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xl/tables/table2.xml" ContentType="application/vnd.openxmlformats-officedocument.spreadsheetml.table+xml"/>
  <Override PartName="/xl/drawings/drawing3.xml" ContentType="application/vnd.openxmlformats-officedocument.drawing+xml"/>
  <Override PartName="/xl/ctrlProps/ctrlProp7.xml" ContentType="application/vnd.ms-excel.controlpropertie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510" yWindow="420" windowWidth="15600" windowHeight="10980" tabRatio="817"/>
  </bookViews>
  <sheets>
    <sheet name="Dashboard Page" sheetId="2" r:id="rId1"/>
    <sheet name="Tracker Sheet" sheetId="8" r:id="rId2"/>
    <sheet name="Health and Saftey" sheetId="13" r:id="rId3"/>
    <sheet name="Stage Gate 5" sheetId="12" r:id="rId4"/>
    <sheet name="Closed Projects (Stage Gate 6)" sheetId="17" r:id="rId5"/>
    <sheet name="Archive" sheetId="16" r:id="rId6"/>
    <sheet name="Change Control Register" sheetId="14" r:id="rId7"/>
    <sheet name="Finance" sheetId="11" state="hidden" r:id="rId8"/>
    <sheet name="Rag Coding" sheetId="3" state="hidden" r:id="rId9"/>
    <sheet name="Sheet2" sheetId="4" state="hidden" r:id="rId10"/>
    <sheet name="Head Office Buildings" sheetId="5" state="hidden" r:id="rId11"/>
    <sheet name="Sponsors" sheetId="6" state="hidden" r:id="rId12"/>
    <sheet name="Project Managers &amp; FacOps Reps" sheetId="7" state="hidden" r:id="rId13"/>
    <sheet name="Resources Data" sheetId="18" r:id="rId14"/>
    <sheet name="Resources Planner" sheetId="20" r:id="rId15"/>
  </sheets>
  <definedNames>
    <definedName name="_xlnm._FilterDatabase" localSheetId="5" hidden="1">Archive!$A$2:$G$47</definedName>
    <definedName name="_xlnm._FilterDatabase" localSheetId="4" hidden="1">'Closed Projects (Stage Gate 6)'!$A$2:$S$43</definedName>
    <definedName name="_xlnm._FilterDatabase" localSheetId="0" hidden="1">'Dashboard Page'!$A$3:$N$37</definedName>
    <definedName name="_xlnm._FilterDatabase" localSheetId="2" hidden="1">'Health and Saftey'!$B$2:$R$63</definedName>
    <definedName name="_xlnm._FilterDatabase" localSheetId="3" hidden="1">'Stage Gate 5'!$A$1:$G$41</definedName>
    <definedName name="_xlnm._FilterDatabase" localSheetId="1" hidden="1">'Tracker Sheet'!$A$2:$G$40</definedName>
    <definedName name="_xlnm.Print_Area" localSheetId="0">'Dashboard Page'!$A$1:$P$28</definedName>
    <definedName name="_xlnm.Print_Titles" localSheetId="0">'Dashboard Page'!$1:$3</definedName>
  </definedNames>
  <calcPr calcId="145621"/>
</workbook>
</file>

<file path=xl/calcChain.xml><?xml version="1.0" encoding="utf-8"?>
<calcChain xmlns="http://schemas.openxmlformats.org/spreadsheetml/2006/main">
  <c r="L40" i="17" l="1"/>
  <c r="CA33" i="8" l="1"/>
  <c r="BX33" i="8"/>
  <c r="BZ33" i="8" s="1"/>
  <c r="BV33" i="8"/>
  <c r="BW33" i="8" s="1"/>
  <c r="BT33" i="8"/>
  <c r="BU33" i="8" s="1"/>
  <c r="BR33" i="8"/>
  <c r="BS33" i="8" s="1"/>
  <c r="BQ33" i="8"/>
  <c r="BM33" i="8"/>
  <c r="BK33" i="8"/>
  <c r="BH33" i="8"/>
  <c r="BL33" i="8" s="1"/>
  <c r="BD33" i="8"/>
  <c r="BC33" i="8"/>
  <c r="BB33" i="8"/>
  <c r="AY33" i="8"/>
  <c r="AR33" i="8"/>
  <c r="AQ33" i="8"/>
  <c r="AP33" i="8"/>
  <c r="AG33" i="8"/>
  <c r="AF33" i="8"/>
  <c r="AE33" i="8"/>
  <c r="V33" i="8"/>
  <c r="U33" i="8"/>
  <c r="T33" i="8"/>
  <c r="K33" i="8"/>
  <c r="I33" i="8"/>
  <c r="L33" i="8" s="1"/>
  <c r="CA10" i="16"/>
  <c r="BX10" i="16"/>
  <c r="BY10" i="16" s="1"/>
  <c r="BV10" i="16"/>
  <c r="BW10" i="16" s="1"/>
  <c r="BT10" i="16"/>
  <c r="BU10" i="16" s="1"/>
  <c r="BR10" i="16"/>
  <c r="BS10" i="16" s="1"/>
  <c r="BK10" i="16"/>
  <c r="BH10" i="16"/>
  <c r="BL10" i="16" s="1"/>
  <c r="BD10" i="16"/>
  <c r="BE10" i="16" s="1"/>
  <c r="BC10" i="16"/>
  <c r="BB10" i="16"/>
  <c r="AY10" i="16"/>
  <c r="AR10" i="16"/>
  <c r="AQ10" i="16"/>
  <c r="AP10" i="16"/>
  <c r="AG10" i="16"/>
  <c r="AF10" i="16"/>
  <c r="AE10" i="16"/>
  <c r="V10" i="16"/>
  <c r="U10" i="16"/>
  <c r="T10" i="16"/>
  <c r="I10" i="16"/>
  <c r="L10" i="16" s="1"/>
  <c r="CA32" i="8"/>
  <c r="BX32" i="8"/>
  <c r="BZ32" i="8" s="1"/>
  <c r="BV32" i="8"/>
  <c r="BW32" i="8" s="1"/>
  <c r="BT32" i="8"/>
  <c r="BU32" i="8" s="1"/>
  <c r="BR32" i="8"/>
  <c r="BS32" i="8" s="1"/>
  <c r="BQ32" i="8"/>
  <c r="BM32" i="8"/>
  <c r="BK32" i="8"/>
  <c r="BH32" i="8"/>
  <c r="BL32" i="8" s="1"/>
  <c r="BD32" i="8"/>
  <c r="BC32" i="8"/>
  <c r="BB32" i="8"/>
  <c r="AY32" i="8"/>
  <c r="AR32" i="8"/>
  <c r="AQ32" i="8"/>
  <c r="AP32" i="8"/>
  <c r="AG32" i="8"/>
  <c r="AF32" i="8"/>
  <c r="AE32" i="8"/>
  <c r="V32" i="8"/>
  <c r="U32" i="8"/>
  <c r="T32" i="8"/>
  <c r="K32" i="8"/>
  <c r="I32" i="8"/>
  <c r="L32" i="8" s="1"/>
  <c r="CA9" i="16"/>
  <c r="BV9" i="16"/>
  <c r="BW9" i="16" s="1"/>
  <c r="BT9" i="16"/>
  <c r="BU9" i="16" s="1"/>
  <c r="BR9" i="16"/>
  <c r="BS9" i="16" s="1"/>
  <c r="BK9" i="16"/>
  <c r="BH9" i="16"/>
  <c r="BL9" i="16" s="1"/>
  <c r="BD9" i="16"/>
  <c r="BE9" i="16" s="1"/>
  <c r="BC9" i="16"/>
  <c r="BB9" i="16"/>
  <c r="AY9" i="16"/>
  <c r="AR9" i="16"/>
  <c r="AQ9" i="16"/>
  <c r="AP9" i="16"/>
  <c r="AG9" i="16"/>
  <c r="AF9" i="16"/>
  <c r="AE9" i="16"/>
  <c r="V9" i="16"/>
  <c r="U9" i="16"/>
  <c r="T9" i="16"/>
  <c r="I9" i="16"/>
  <c r="L9" i="16" s="1"/>
  <c r="CA31" i="8"/>
  <c r="BX31" i="8"/>
  <c r="BZ31" i="8" s="1"/>
  <c r="BV31" i="8"/>
  <c r="BW31" i="8" s="1"/>
  <c r="BT31" i="8"/>
  <c r="BU31" i="8" s="1"/>
  <c r="BR31" i="8"/>
  <c r="BS31" i="8" s="1"/>
  <c r="BQ31" i="8"/>
  <c r="BM31" i="8"/>
  <c r="BK31" i="8"/>
  <c r="BH31" i="8"/>
  <c r="BL31" i="8" s="1"/>
  <c r="BD31" i="8"/>
  <c r="BC31" i="8"/>
  <c r="BB31" i="8"/>
  <c r="AY31" i="8"/>
  <c r="AR31" i="8"/>
  <c r="AQ31" i="8"/>
  <c r="AP31" i="8"/>
  <c r="AG31" i="8"/>
  <c r="AF31" i="8"/>
  <c r="AE31" i="8"/>
  <c r="V31" i="8"/>
  <c r="U31" i="8"/>
  <c r="T31" i="8"/>
  <c r="K31" i="8"/>
  <c r="I31" i="8"/>
  <c r="L31" i="8" s="1"/>
  <c r="CA30" i="8"/>
  <c r="BX30" i="8"/>
  <c r="BZ30" i="8" s="1"/>
  <c r="BV30" i="8"/>
  <c r="BW30" i="8" s="1"/>
  <c r="BT30" i="8"/>
  <c r="BU30" i="8" s="1"/>
  <c r="BR30" i="8"/>
  <c r="BS30" i="8" s="1"/>
  <c r="BQ30" i="8"/>
  <c r="BM30" i="8"/>
  <c r="BK30" i="8"/>
  <c r="BH30" i="8"/>
  <c r="BL30" i="8" s="1"/>
  <c r="BD30" i="8"/>
  <c r="BC30" i="8"/>
  <c r="BB30" i="8"/>
  <c r="AY30" i="8"/>
  <c r="AR30" i="8"/>
  <c r="AQ30" i="8"/>
  <c r="AP30" i="8"/>
  <c r="AG30" i="8"/>
  <c r="AF30" i="8"/>
  <c r="AE30" i="8"/>
  <c r="V30" i="8"/>
  <c r="U30" i="8"/>
  <c r="T30" i="8"/>
  <c r="K30" i="8"/>
  <c r="I30" i="8"/>
  <c r="L30" i="8" s="1"/>
  <c r="CA7" i="16"/>
  <c r="BX7" i="16"/>
  <c r="BZ7" i="16" s="1"/>
  <c r="BV7" i="16"/>
  <c r="BW7" i="16" s="1"/>
  <c r="BT7" i="16"/>
  <c r="BU7" i="16" s="1"/>
  <c r="BR7" i="16"/>
  <c r="BS7" i="16" s="1"/>
  <c r="BM7" i="16"/>
  <c r="BK7" i="16"/>
  <c r="BH7" i="16"/>
  <c r="BL7" i="16" s="1"/>
  <c r="BD7" i="16"/>
  <c r="BE7" i="16" s="1"/>
  <c r="BC7" i="16"/>
  <c r="BB7" i="16"/>
  <c r="AY7" i="16"/>
  <c r="AR7" i="16"/>
  <c r="AQ7" i="16"/>
  <c r="AP7" i="16"/>
  <c r="AG7" i="16"/>
  <c r="AF7" i="16"/>
  <c r="AE7" i="16"/>
  <c r="V7" i="16"/>
  <c r="U7" i="16"/>
  <c r="T7" i="16"/>
  <c r="I7" i="16"/>
  <c r="L7" i="16" s="1"/>
  <c r="CA8" i="16"/>
  <c r="BX8" i="16"/>
  <c r="BZ8" i="16" s="1"/>
  <c r="BV8" i="16"/>
  <c r="BW8" i="16" s="1"/>
  <c r="BT8" i="16"/>
  <c r="BU8" i="16" s="1"/>
  <c r="BR8" i="16"/>
  <c r="BS8" i="16" s="1"/>
  <c r="BM8" i="16"/>
  <c r="BK8" i="16"/>
  <c r="BH8" i="16"/>
  <c r="BL8" i="16" s="1"/>
  <c r="BD8" i="16"/>
  <c r="BE8" i="16" s="1"/>
  <c r="BC8" i="16"/>
  <c r="BB8" i="16"/>
  <c r="AY8" i="16"/>
  <c r="AR8" i="16"/>
  <c r="AQ8" i="16"/>
  <c r="AP8" i="16"/>
  <c r="AG8" i="16"/>
  <c r="AF8" i="16"/>
  <c r="AE8" i="16"/>
  <c r="V8" i="16"/>
  <c r="U8" i="16"/>
  <c r="T8" i="16"/>
  <c r="I8" i="16"/>
  <c r="L8" i="16" s="1"/>
  <c r="CA29" i="8"/>
  <c r="BX29" i="8"/>
  <c r="BZ29" i="8" s="1"/>
  <c r="BV29" i="8"/>
  <c r="BW29" i="8" s="1"/>
  <c r="BT29" i="8"/>
  <c r="BU29" i="8" s="1"/>
  <c r="BR29" i="8"/>
  <c r="BS29" i="8" s="1"/>
  <c r="BQ29" i="8"/>
  <c r="BM29" i="8"/>
  <c r="BK29" i="8"/>
  <c r="BH29" i="8"/>
  <c r="BL29" i="8" s="1"/>
  <c r="BD29" i="8"/>
  <c r="BC29" i="8"/>
  <c r="BB29" i="8"/>
  <c r="AY29" i="8"/>
  <c r="AR29" i="8"/>
  <c r="AQ29" i="8"/>
  <c r="AP29" i="8"/>
  <c r="AG29" i="8"/>
  <c r="AF29" i="8"/>
  <c r="AE29" i="8"/>
  <c r="V29" i="8"/>
  <c r="U29" i="8"/>
  <c r="T29" i="8"/>
  <c r="K29" i="8"/>
  <c r="I29" i="8"/>
  <c r="L29" i="8" s="1"/>
  <c r="CA11" i="16"/>
  <c r="BX11" i="16"/>
  <c r="BY11" i="16" s="1"/>
  <c r="BV11" i="16"/>
  <c r="BW11" i="16" s="1"/>
  <c r="BT11" i="16"/>
  <c r="BU11" i="16" s="1"/>
  <c r="BK11" i="16"/>
  <c r="BH11" i="16"/>
  <c r="BL11" i="16" s="1"/>
  <c r="BD11" i="16"/>
  <c r="BC11" i="16"/>
  <c r="BB11" i="16"/>
  <c r="AY11" i="16"/>
  <c r="AR11" i="16"/>
  <c r="AQ11" i="16"/>
  <c r="AP11" i="16"/>
  <c r="AG11" i="16"/>
  <c r="AF11" i="16"/>
  <c r="AE11" i="16"/>
  <c r="V11" i="16"/>
  <c r="U11" i="16"/>
  <c r="BR11" i="16" s="1"/>
  <c r="BS11" i="16" s="1"/>
  <c r="T11" i="16"/>
  <c r="K11" i="16"/>
  <c r="I11" i="16"/>
  <c r="L11" i="16" s="1"/>
  <c r="AH11" i="16" l="1"/>
  <c r="BM11" i="16"/>
  <c r="AH8" i="16"/>
  <c r="AH9" i="16"/>
  <c r="AS10" i="16"/>
  <c r="BX9" i="16"/>
  <c r="BZ9" i="16" s="1"/>
  <c r="BE33" i="8"/>
  <c r="AS11" i="16"/>
  <c r="AS7" i="16"/>
  <c r="AH10" i="16"/>
  <c r="AH7" i="16"/>
  <c r="W10" i="16"/>
  <c r="W8" i="16"/>
  <c r="W9" i="16"/>
  <c r="W11" i="16"/>
  <c r="BE11" i="16"/>
  <c r="AS8" i="16"/>
  <c r="W7" i="16"/>
  <c r="AS9" i="16"/>
  <c r="W33" i="8"/>
  <c r="AS33" i="8"/>
  <c r="AH33" i="8"/>
  <c r="BY33" i="8"/>
  <c r="AS32" i="8"/>
  <c r="BM10" i="16"/>
  <c r="BZ10" i="16"/>
  <c r="K10" i="16"/>
  <c r="AH32" i="8"/>
  <c r="W32" i="8"/>
  <c r="AH31" i="8"/>
  <c r="BE32" i="8"/>
  <c r="BY32" i="8"/>
  <c r="BM9" i="16"/>
  <c r="K9" i="16"/>
  <c r="AS29" i="8"/>
  <c r="W30" i="8"/>
  <c r="W31" i="8"/>
  <c r="AS31" i="8"/>
  <c r="BE31" i="8"/>
  <c r="BY31" i="8"/>
  <c r="AS30" i="8"/>
  <c r="BE30" i="8"/>
  <c r="AH30" i="8"/>
  <c r="BY30" i="8"/>
  <c r="K7" i="16"/>
  <c r="BY7" i="16"/>
  <c r="K8" i="16"/>
  <c r="BY8" i="16"/>
  <c r="BY29" i="8"/>
  <c r="W29" i="8"/>
  <c r="BE29" i="8"/>
  <c r="AH29" i="8"/>
  <c r="BZ11" i="16"/>
  <c r="G13" i="18"/>
  <c r="K13" i="18" s="1"/>
  <c r="I13" i="18" s="1"/>
  <c r="E13" i="18"/>
  <c r="D13" i="18"/>
  <c r="C13" i="18" s="1"/>
  <c r="CA28" i="8"/>
  <c r="BX28" i="8"/>
  <c r="BZ28" i="8" s="1"/>
  <c r="BV28" i="8"/>
  <c r="BW28" i="8" s="1"/>
  <c r="BT28" i="8"/>
  <c r="BU28" i="8" s="1"/>
  <c r="BR28" i="8"/>
  <c r="BS28" i="8" s="1"/>
  <c r="BQ28" i="8"/>
  <c r="BM28" i="8"/>
  <c r="BK28" i="8"/>
  <c r="BH28" i="8"/>
  <c r="BL28" i="8" s="1"/>
  <c r="BD28" i="8"/>
  <c r="BC28" i="8"/>
  <c r="BB28" i="8"/>
  <c r="AY28" i="8"/>
  <c r="AR28" i="8"/>
  <c r="AQ28" i="8"/>
  <c r="AP28" i="8"/>
  <c r="AG28" i="8"/>
  <c r="AF28" i="8"/>
  <c r="AE28" i="8"/>
  <c r="V28" i="8"/>
  <c r="U28" i="8"/>
  <c r="T28" i="8"/>
  <c r="K28" i="8"/>
  <c r="I28" i="8"/>
  <c r="L28" i="8" s="1"/>
  <c r="CA27" i="8"/>
  <c r="BX27" i="8"/>
  <c r="BZ27" i="8" s="1"/>
  <c r="BV27" i="8"/>
  <c r="BW27" i="8" s="1"/>
  <c r="BT27" i="8"/>
  <c r="BU27" i="8" s="1"/>
  <c r="BR27" i="8"/>
  <c r="BS27" i="8" s="1"/>
  <c r="BQ27" i="8"/>
  <c r="BM27" i="8"/>
  <c r="BK27" i="8"/>
  <c r="BH27" i="8"/>
  <c r="BL27" i="8" s="1"/>
  <c r="BD27" i="8"/>
  <c r="BC27" i="8"/>
  <c r="BB27" i="8"/>
  <c r="AY27" i="8"/>
  <c r="AR27" i="8"/>
  <c r="AQ27" i="8"/>
  <c r="AP27" i="8"/>
  <c r="AG27" i="8"/>
  <c r="AF27" i="8"/>
  <c r="AE27" i="8"/>
  <c r="V27" i="8"/>
  <c r="U27" i="8"/>
  <c r="T27" i="8"/>
  <c r="K27" i="8"/>
  <c r="I27" i="8"/>
  <c r="L27" i="8" s="1"/>
  <c r="CA26" i="8"/>
  <c r="BX26" i="8"/>
  <c r="BZ26" i="8" s="1"/>
  <c r="BV26" i="8"/>
  <c r="BW26" i="8" s="1"/>
  <c r="BT26" i="8"/>
  <c r="BU26" i="8" s="1"/>
  <c r="BR26" i="8"/>
  <c r="BS26" i="8" s="1"/>
  <c r="BQ26" i="8"/>
  <c r="BM26" i="8"/>
  <c r="BK26" i="8"/>
  <c r="BH26" i="8"/>
  <c r="BL26" i="8" s="1"/>
  <c r="BD26" i="8"/>
  <c r="BC26" i="8"/>
  <c r="BB26" i="8"/>
  <c r="AY26" i="8"/>
  <c r="AR26" i="8"/>
  <c r="AQ26" i="8"/>
  <c r="AP26" i="8"/>
  <c r="AG26" i="8"/>
  <c r="AF26" i="8"/>
  <c r="AE26" i="8"/>
  <c r="V26" i="8"/>
  <c r="U26" i="8"/>
  <c r="T26" i="8"/>
  <c r="K26" i="8"/>
  <c r="I26" i="8"/>
  <c r="L26" i="8" s="1"/>
  <c r="CA25" i="8"/>
  <c r="BX25" i="8"/>
  <c r="BY25" i="8" s="1"/>
  <c r="BV25" i="8"/>
  <c r="BW25" i="8" s="1"/>
  <c r="BT25" i="8"/>
  <c r="BU25" i="8" s="1"/>
  <c r="BR25" i="8"/>
  <c r="BS25" i="8" s="1"/>
  <c r="BQ25" i="8"/>
  <c r="BM25" i="8"/>
  <c r="BK25" i="8"/>
  <c r="BH25" i="8"/>
  <c r="BL25" i="8" s="1"/>
  <c r="BD25" i="8"/>
  <c r="BC25" i="8"/>
  <c r="BB25" i="8"/>
  <c r="AY25" i="8"/>
  <c r="AR25" i="8"/>
  <c r="AQ25" i="8"/>
  <c r="AP25" i="8"/>
  <c r="AG25" i="8"/>
  <c r="AF25" i="8"/>
  <c r="AE25" i="8"/>
  <c r="V25" i="8"/>
  <c r="U25" i="8"/>
  <c r="T25" i="8"/>
  <c r="K25" i="8"/>
  <c r="I25" i="8"/>
  <c r="L25" i="8" s="1"/>
  <c r="BP10" i="16" l="1"/>
  <c r="BP8" i="16"/>
  <c r="BP7" i="16"/>
  <c r="BP32" i="8"/>
  <c r="BP11" i="16"/>
  <c r="BY9" i="16"/>
  <c r="BP33" i="8"/>
  <c r="BP9" i="16"/>
  <c r="BP31" i="8"/>
  <c r="BP30" i="8"/>
  <c r="BP29" i="8"/>
  <c r="H13" i="18"/>
  <c r="W28" i="8"/>
  <c r="AS28" i="8"/>
  <c r="BE28" i="8"/>
  <c r="AH28" i="8"/>
  <c r="W27" i="8"/>
  <c r="BY28" i="8"/>
  <c r="AS27" i="8"/>
  <c r="BE27" i="8"/>
  <c r="AH27" i="8"/>
  <c r="BY27" i="8"/>
  <c r="AS26" i="8"/>
  <c r="BE26" i="8"/>
  <c r="W26" i="8"/>
  <c r="AS25" i="8"/>
  <c r="AH26" i="8"/>
  <c r="AH25" i="8"/>
  <c r="W25" i="8"/>
  <c r="BY26" i="8"/>
  <c r="BE25" i="8"/>
  <c r="BZ25" i="8"/>
  <c r="CA24" i="8"/>
  <c r="L13" i="18" s="1"/>
  <c r="BV24" i="8"/>
  <c r="BW24" i="8" s="1"/>
  <c r="BT24" i="8"/>
  <c r="BU24" i="8" s="1"/>
  <c r="BR24" i="8"/>
  <c r="BS24" i="8" s="1"/>
  <c r="BQ24" i="8"/>
  <c r="BK24" i="8"/>
  <c r="BH24" i="8"/>
  <c r="BL24" i="8" s="1"/>
  <c r="BD24" i="8"/>
  <c r="BC24" i="8"/>
  <c r="BB24" i="8"/>
  <c r="AY24" i="8"/>
  <c r="AR24" i="8"/>
  <c r="AQ24" i="8"/>
  <c r="AP24" i="8"/>
  <c r="AG24" i="8"/>
  <c r="AF24" i="8"/>
  <c r="AE24" i="8"/>
  <c r="V24" i="8"/>
  <c r="U24" i="8"/>
  <c r="T24" i="8"/>
  <c r="K24" i="8"/>
  <c r="I24" i="8"/>
  <c r="L24" i="8" s="1"/>
  <c r="BX24" i="8" l="1"/>
  <c r="BZ24" i="8" s="1"/>
  <c r="BP28" i="8"/>
  <c r="BM24" i="8"/>
  <c r="BP27" i="8"/>
  <c r="BP25" i="8"/>
  <c r="BP26" i="8"/>
  <c r="AS24" i="8"/>
  <c r="AH24" i="8"/>
  <c r="W24" i="8"/>
  <c r="BE24" i="8"/>
  <c r="E4" i="12"/>
  <c r="D4" i="12"/>
  <c r="D3" i="12"/>
  <c r="D2" i="12"/>
  <c r="D41" i="12"/>
  <c r="D40" i="12"/>
  <c r="D39" i="12"/>
  <c r="D38" i="12"/>
  <c r="D37" i="12"/>
  <c r="D36" i="12"/>
  <c r="D35" i="12"/>
  <c r="D34" i="12"/>
  <c r="D33" i="12"/>
  <c r="D32" i="12"/>
  <c r="D31" i="12"/>
  <c r="D30" i="12"/>
  <c r="D29" i="12"/>
  <c r="D28" i="12"/>
  <c r="D27" i="12"/>
  <c r="D16" i="12"/>
  <c r="D15" i="12"/>
  <c r="D13" i="12"/>
  <c r="D26" i="12"/>
  <c r="D5" i="12"/>
  <c r="D14" i="12"/>
  <c r="D10" i="12"/>
  <c r="D6" i="12"/>
  <c r="D17" i="12"/>
  <c r="D7" i="12"/>
  <c r="D9" i="12"/>
  <c r="D8" i="12"/>
  <c r="D25" i="12"/>
  <c r="D24" i="12"/>
  <c r="D11" i="12"/>
  <c r="D23" i="12"/>
  <c r="D12" i="12"/>
  <c r="D22" i="12"/>
  <c r="D21" i="12"/>
  <c r="D20" i="12"/>
  <c r="D19" i="12"/>
  <c r="D18" i="12"/>
  <c r="C4" i="12"/>
  <c r="C3" i="12"/>
  <c r="C2" i="12"/>
  <c r="C41" i="12"/>
  <c r="C40" i="12"/>
  <c r="C39" i="12"/>
  <c r="C38" i="12"/>
  <c r="C37" i="12"/>
  <c r="C36" i="12"/>
  <c r="C35" i="12"/>
  <c r="C34" i="12"/>
  <c r="C33" i="12"/>
  <c r="C32" i="12"/>
  <c r="C31" i="12"/>
  <c r="C30" i="12"/>
  <c r="C29" i="12"/>
  <c r="C28" i="12"/>
  <c r="C27" i="12"/>
  <c r="C16" i="12"/>
  <c r="C15" i="12"/>
  <c r="C13" i="12"/>
  <c r="C26" i="12"/>
  <c r="C5" i="12"/>
  <c r="C14" i="12"/>
  <c r="C10" i="12"/>
  <c r="C6" i="12"/>
  <c r="C17" i="12"/>
  <c r="C7" i="12"/>
  <c r="C9" i="12"/>
  <c r="C8" i="12"/>
  <c r="C25" i="12"/>
  <c r="C24" i="12"/>
  <c r="C11" i="12"/>
  <c r="C23" i="12"/>
  <c r="C12" i="12"/>
  <c r="C22" i="12"/>
  <c r="C21" i="12"/>
  <c r="C20" i="12"/>
  <c r="C19" i="12"/>
  <c r="C18" i="12"/>
  <c r="B4" i="12"/>
  <c r="B3" i="12"/>
  <c r="B2" i="12"/>
  <c r="B41" i="12"/>
  <c r="B40" i="12"/>
  <c r="B39" i="12"/>
  <c r="B38" i="12"/>
  <c r="B37" i="12"/>
  <c r="B36" i="12"/>
  <c r="B35" i="12"/>
  <c r="B34" i="12"/>
  <c r="B33" i="12"/>
  <c r="B32" i="12"/>
  <c r="B31" i="12"/>
  <c r="B30" i="12"/>
  <c r="B29" i="12"/>
  <c r="B28" i="12"/>
  <c r="B27" i="12"/>
  <c r="B16" i="12"/>
  <c r="B15" i="12"/>
  <c r="B13" i="12"/>
  <c r="B26" i="12"/>
  <c r="B5" i="12"/>
  <c r="B14" i="12"/>
  <c r="B10" i="12"/>
  <c r="B6" i="12"/>
  <c r="B17" i="12"/>
  <c r="B7" i="12"/>
  <c r="B9" i="12"/>
  <c r="B8" i="12"/>
  <c r="B25" i="12"/>
  <c r="B24" i="12"/>
  <c r="B11" i="12"/>
  <c r="B23" i="12"/>
  <c r="B12" i="12"/>
  <c r="B22" i="12"/>
  <c r="B21" i="12"/>
  <c r="B20" i="12"/>
  <c r="B19" i="12"/>
  <c r="B18" i="12"/>
  <c r="A4" i="12"/>
  <c r="A3" i="12"/>
  <c r="A2" i="12"/>
  <c r="A41" i="12"/>
  <c r="A40" i="12"/>
  <c r="A39" i="12"/>
  <c r="A38" i="12"/>
  <c r="A37" i="12"/>
  <c r="A36" i="12"/>
  <c r="A35" i="12"/>
  <c r="A34" i="12"/>
  <c r="A33" i="12"/>
  <c r="A32" i="12"/>
  <c r="A31" i="12"/>
  <c r="A30" i="12"/>
  <c r="A29" i="12"/>
  <c r="A28" i="12"/>
  <c r="A27" i="12"/>
  <c r="A16" i="12"/>
  <c r="A15" i="12"/>
  <c r="A13" i="12"/>
  <c r="A26" i="12"/>
  <c r="A5" i="12"/>
  <c r="A14" i="12"/>
  <c r="A10" i="12"/>
  <c r="A6" i="12"/>
  <c r="A17" i="12"/>
  <c r="A7" i="12"/>
  <c r="A9" i="12"/>
  <c r="A8" i="12"/>
  <c r="A25" i="12"/>
  <c r="A24" i="12"/>
  <c r="A11" i="12"/>
  <c r="A23" i="12"/>
  <c r="A12" i="12"/>
  <c r="A22" i="12"/>
  <c r="A21" i="12"/>
  <c r="A20" i="12"/>
  <c r="A19" i="12"/>
  <c r="A18" i="12"/>
  <c r="B35" i="2"/>
  <c r="A35" i="2"/>
  <c r="B34" i="2"/>
  <c r="A34" i="2"/>
  <c r="B33" i="2"/>
  <c r="A33" i="2"/>
  <c r="B32" i="2"/>
  <c r="A32" i="2"/>
  <c r="B31" i="2"/>
  <c r="A31" i="2"/>
  <c r="B30" i="2"/>
  <c r="A30" i="2"/>
  <c r="B29" i="2"/>
  <c r="A29" i="2"/>
  <c r="B28" i="2"/>
  <c r="A28" i="2"/>
  <c r="B27" i="2"/>
  <c r="A27" i="2"/>
  <c r="B26" i="2"/>
  <c r="A26" i="2"/>
  <c r="B25" i="2"/>
  <c r="A25" i="2"/>
  <c r="B24" i="2"/>
  <c r="A24" i="2"/>
  <c r="B23" i="2"/>
  <c r="A23" i="2"/>
  <c r="B22" i="2"/>
  <c r="A22" i="2"/>
  <c r="B21" i="2"/>
  <c r="A21" i="2"/>
  <c r="B20" i="2"/>
  <c r="A20" i="2"/>
  <c r="B19" i="2"/>
  <c r="A19" i="2"/>
  <c r="B18" i="2"/>
  <c r="A18" i="2"/>
  <c r="B17" i="2"/>
  <c r="A17" i="2"/>
  <c r="B16" i="2"/>
  <c r="A16" i="2"/>
  <c r="B15" i="2"/>
  <c r="A15" i="2"/>
  <c r="B14" i="2"/>
  <c r="A14" i="2"/>
  <c r="B13" i="2"/>
  <c r="A13" i="2"/>
  <c r="B12" i="2"/>
  <c r="A12" i="2"/>
  <c r="B11" i="2"/>
  <c r="A11" i="2"/>
  <c r="B10" i="2"/>
  <c r="A10" i="2"/>
  <c r="B9" i="2"/>
  <c r="A9" i="2"/>
  <c r="B8" i="2"/>
  <c r="A8" i="2"/>
  <c r="B7" i="2"/>
  <c r="A7" i="2"/>
  <c r="B6" i="2"/>
  <c r="A6" i="2"/>
  <c r="B5" i="2"/>
  <c r="A5" i="2"/>
  <c r="B4" i="2"/>
  <c r="A4" i="2"/>
  <c r="BY24" i="8" l="1"/>
  <c r="BP24" i="8"/>
  <c r="E34" i="12"/>
  <c r="E35" i="12"/>
  <c r="E33" i="12"/>
  <c r="CA38" i="8" l="1"/>
  <c r="BX38" i="8"/>
  <c r="BZ38" i="8" s="1"/>
  <c r="BV38" i="8"/>
  <c r="BW38" i="8" s="1"/>
  <c r="BT38" i="8"/>
  <c r="BU38" i="8" s="1"/>
  <c r="BR38" i="8"/>
  <c r="BS38" i="8" s="1"/>
  <c r="BQ38" i="8"/>
  <c r="BM38" i="8"/>
  <c r="BK38" i="8"/>
  <c r="BH38" i="8"/>
  <c r="BL38" i="8" s="1"/>
  <c r="BD38" i="8"/>
  <c r="BC38" i="8"/>
  <c r="BB38" i="8"/>
  <c r="AY38" i="8"/>
  <c r="AR38" i="8"/>
  <c r="AQ38" i="8"/>
  <c r="AP38" i="8"/>
  <c r="AG38" i="8"/>
  <c r="AF38" i="8"/>
  <c r="AE38" i="8"/>
  <c r="V38" i="8"/>
  <c r="U38" i="8"/>
  <c r="T38" i="8"/>
  <c r="K38" i="8"/>
  <c r="I38" i="8"/>
  <c r="L38" i="8" s="1"/>
  <c r="G3" i="18"/>
  <c r="G4" i="18"/>
  <c r="G5" i="18"/>
  <c r="G6" i="18"/>
  <c r="G7" i="18"/>
  <c r="G8" i="18"/>
  <c r="G9" i="18"/>
  <c r="G10" i="18"/>
  <c r="G11" i="18"/>
  <c r="G12" i="18"/>
  <c r="G14" i="18"/>
  <c r="G15" i="18"/>
  <c r="G16" i="18"/>
  <c r="G17" i="18"/>
  <c r="G18" i="18"/>
  <c r="G19" i="18"/>
  <c r="G20" i="18"/>
  <c r="G21" i="18"/>
  <c r="G22" i="18"/>
  <c r="G2" i="18"/>
  <c r="E3" i="18"/>
  <c r="E4" i="18"/>
  <c r="E5" i="18"/>
  <c r="E6" i="18"/>
  <c r="E7" i="18"/>
  <c r="E8" i="18"/>
  <c r="E9" i="18"/>
  <c r="E10" i="18"/>
  <c r="E11" i="18"/>
  <c r="E12" i="18"/>
  <c r="E14" i="18"/>
  <c r="E15" i="18"/>
  <c r="E16" i="18"/>
  <c r="E17" i="18"/>
  <c r="E18" i="18"/>
  <c r="E19" i="18"/>
  <c r="E20" i="18"/>
  <c r="E21" i="18"/>
  <c r="E22" i="18"/>
  <c r="E2" i="18"/>
  <c r="CA34" i="8"/>
  <c r="BX34" i="8"/>
  <c r="BV34" i="8"/>
  <c r="BT34" i="8"/>
  <c r="BR34" i="8"/>
  <c r="BQ34" i="8"/>
  <c r="BM34" i="8"/>
  <c r="BK34" i="8"/>
  <c r="BH34" i="8"/>
  <c r="BL34" i="8" s="1"/>
  <c r="BD34" i="8"/>
  <c r="BC34" i="8"/>
  <c r="BB34" i="8"/>
  <c r="AY34" i="8"/>
  <c r="AR34" i="8"/>
  <c r="AQ34" i="8"/>
  <c r="AP34" i="8"/>
  <c r="AG34" i="8"/>
  <c r="AF34" i="8"/>
  <c r="AE34" i="8"/>
  <c r="V34" i="8"/>
  <c r="U34" i="8"/>
  <c r="T34" i="8"/>
  <c r="K34" i="8"/>
  <c r="C35" i="2" s="1"/>
  <c r="I34" i="8"/>
  <c r="L34" i="8" s="1"/>
  <c r="F35" i="12"/>
  <c r="E36" i="12" l="1"/>
  <c r="W34" i="8"/>
  <c r="AS38" i="8"/>
  <c r="BE34" i="8"/>
  <c r="BS34" i="8"/>
  <c r="D35" i="2"/>
  <c r="BZ34" i="8"/>
  <c r="H35" i="2" s="1"/>
  <c r="G35" i="2"/>
  <c r="BU34" i="8"/>
  <c r="E35" i="2"/>
  <c r="BW34" i="8"/>
  <c r="F35" i="2"/>
  <c r="AH38" i="8"/>
  <c r="W38" i="8"/>
  <c r="BE38" i="8"/>
  <c r="BY38" i="8"/>
  <c r="AS34" i="8"/>
  <c r="AH34" i="8"/>
  <c r="BY34" i="8"/>
  <c r="BE5" i="16"/>
  <c r="BP38" i="8" l="1"/>
  <c r="BP34" i="8"/>
  <c r="BH23" i="8"/>
  <c r="AY22" i="8" l="1"/>
  <c r="BH4" i="8" l="1"/>
  <c r="BH5" i="8"/>
  <c r="BH6" i="8"/>
  <c r="BH7" i="8"/>
  <c r="BH8" i="8"/>
  <c r="BH9" i="8"/>
  <c r="BH10" i="8"/>
  <c r="BH11" i="8"/>
  <c r="BH12" i="8"/>
  <c r="BH13" i="8"/>
  <c r="BH14" i="8"/>
  <c r="BH15" i="8"/>
  <c r="BH16" i="8"/>
  <c r="BH17" i="8"/>
  <c r="BH18" i="8"/>
  <c r="BH19" i="8"/>
  <c r="BH20" i="8"/>
  <c r="BH21" i="8"/>
  <c r="BH22" i="8"/>
  <c r="BH35" i="8"/>
  <c r="BH36" i="8"/>
  <c r="BH37" i="8"/>
  <c r="BH39" i="8"/>
  <c r="BH40" i="8"/>
  <c r="BH3" i="8"/>
  <c r="I23" i="8" l="1"/>
  <c r="CA4" i="8" l="1"/>
  <c r="L16" i="18" s="1"/>
  <c r="CA5" i="8"/>
  <c r="L8" i="18" s="1"/>
  <c r="CA6" i="8"/>
  <c r="L9" i="18" s="1"/>
  <c r="CA7" i="8"/>
  <c r="L3" i="18" s="1"/>
  <c r="CA8" i="8"/>
  <c r="L4" i="18" s="1"/>
  <c r="CA9" i="8"/>
  <c r="L5" i="18" s="1"/>
  <c r="CA10" i="8"/>
  <c r="L10" i="18" s="1"/>
  <c r="CA11" i="8"/>
  <c r="L6" i="18" s="1"/>
  <c r="CA12" i="8"/>
  <c r="L17" i="18" s="1"/>
  <c r="CA13" i="8"/>
  <c r="L11" i="18" s="1"/>
  <c r="CA14" i="8"/>
  <c r="L18" i="18" s="1"/>
  <c r="CA15" i="8"/>
  <c r="L19" i="18" s="1"/>
  <c r="CA16" i="8"/>
  <c r="L20" i="18" s="1"/>
  <c r="CA17" i="8"/>
  <c r="L21" i="18" s="1"/>
  <c r="CA18" i="8"/>
  <c r="L12" i="18" s="1"/>
  <c r="CA19" i="8"/>
  <c r="L14" i="18" s="1"/>
  <c r="CA20" i="8"/>
  <c r="L22" i="18" s="1"/>
  <c r="CA21" i="8"/>
  <c r="L7" i="18" s="1"/>
  <c r="CA22" i="8"/>
  <c r="L2" i="18" s="1"/>
  <c r="CA23" i="8"/>
  <c r="CA35" i="8"/>
  <c r="CA36" i="8"/>
  <c r="CA37" i="8"/>
  <c r="CA39" i="8"/>
  <c r="CA40" i="8"/>
  <c r="CA3" i="8"/>
  <c r="L15" i="18" s="1"/>
  <c r="D22" i="18" l="1"/>
  <c r="C22" i="18" s="1"/>
  <c r="I11" i="8"/>
  <c r="D16" i="18"/>
  <c r="C16" i="18" s="1"/>
  <c r="H1" i="3"/>
  <c r="H2" i="3"/>
  <c r="D2" i="18"/>
  <c r="C2" i="18" s="1"/>
  <c r="D7" i="18"/>
  <c r="C7" i="18" s="1"/>
  <c r="D14" i="18"/>
  <c r="C14" i="18" s="1"/>
  <c r="D12" i="18"/>
  <c r="C12" i="18" s="1"/>
  <c r="B8" i="18" l="1"/>
  <c r="B3" i="18"/>
  <c r="B12" i="18"/>
  <c r="B2" i="18"/>
  <c r="B15" i="18"/>
  <c r="D8" i="18"/>
  <c r="C8" i="18" s="1"/>
  <c r="D9" i="18"/>
  <c r="C9" i="18" s="1"/>
  <c r="D3" i="18"/>
  <c r="C3" i="18" s="1"/>
  <c r="D4" i="18"/>
  <c r="C4" i="18" s="1"/>
  <c r="D5" i="18"/>
  <c r="C5" i="18" s="1"/>
  <c r="D10" i="18"/>
  <c r="C10" i="18" s="1"/>
  <c r="D6" i="18"/>
  <c r="C6" i="18" s="1"/>
  <c r="D17" i="18"/>
  <c r="C17" i="18" s="1"/>
  <c r="D11" i="18"/>
  <c r="C11" i="18" s="1"/>
  <c r="D18" i="18"/>
  <c r="C18" i="18" s="1"/>
  <c r="D19" i="18"/>
  <c r="C19" i="18" s="1"/>
  <c r="D20" i="18"/>
  <c r="C20" i="18" s="1"/>
  <c r="D21" i="18"/>
  <c r="C21" i="18" s="1"/>
  <c r="D15" i="18"/>
  <c r="C15" i="18" s="1"/>
  <c r="P16" i="17" l="1"/>
  <c r="R16" i="17"/>
  <c r="S16" i="17"/>
  <c r="O9" i="17"/>
  <c r="P9" i="17"/>
  <c r="R9" i="17"/>
  <c r="S9" i="17"/>
  <c r="O15" i="17"/>
  <c r="P15" i="17"/>
  <c r="R15" i="17"/>
  <c r="S15" i="17"/>
  <c r="O12" i="17"/>
  <c r="P12" i="17"/>
  <c r="R12" i="17"/>
  <c r="S12" i="17"/>
  <c r="O3" i="17"/>
  <c r="P3" i="17"/>
  <c r="R3" i="17"/>
  <c r="S3" i="17"/>
  <c r="O5" i="17"/>
  <c r="P5" i="17"/>
  <c r="R5" i="17"/>
  <c r="S5" i="17"/>
  <c r="O8" i="17"/>
  <c r="P8" i="17"/>
  <c r="R8" i="17"/>
  <c r="S8" i="17"/>
  <c r="O4" i="17"/>
  <c r="P4" i="17"/>
  <c r="R4" i="17"/>
  <c r="S4" i="17"/>
  <c r="O13" i="17"/>
  <c r="P13" i="17"/>
  <c r="R13" i="17"/>
  <c r="S13" i="17"/>
  <c r="O6" i="17"/>
  <c r="P6" i="17"/>
  <c r="R6" i="17"/>
  <c r="S6" i="17"/>
  <c r="O10" i="17"/>
  <c r="P10" i="17"/>
  <c r="R10" i="17"/>
  <c r="S10" i="17"/>
  <c r="O16" i="17"/>
  <c r="Q11" i="17" l="1"/>
  <c r="K11" i="8"/>
  <c r="C12" i="2" s="1"/>
  <c r="L11" i="8"/>
  <c r="C29" i="2"/>
  <c r="C34" i="2"/>
  <c r="K35" i="8"/>
  <c r="K36" i="8"/>
  <c r="K37" i="8"/>
  <c r="K39" i="8"/>
  <c r="K40" i="8"/>
  <c r="K16" i="17"/>
  <c r="K11" i="17"/>
  <c r="M11" i="17" s="1"/>
  <c r="K41" i="17"/>
  <c r="M41" i="17" s="1"/>
  <c r="M40" i="17"/>
  <c r="K39" i="17"/>
  <c r="M39" i="17" s="1"/>
  <c r="K38" i="17"/>
  <c r="M38" i="17" s="1"/>
  <c r="K37" i="17"/>
  <c r="M37" i="17" s="1"/>
  <c r="K36" i="17"/>
  <c r="M36" i="17" s="1"/>
  <c r="K35" i="17"/>
  <c r="K34" i="17"/>
  <c r="M34" i="17" s="1"/>
  <c r="K33" i="17"/>
  <c r="M33" i="17" s="1"/>
  <c r="K32" i="17"/>
  <c r="M32" i="17" s="1"/>
  <c r="K31" i="17"/>
  <c r="M31" i="17" s="1"/>
  <c r="K30" i="17"/>
  <c r="M30" i="17" s="1"/>
  <c r="K29" i="17"/>
  <c r="M29" i="17" s="1"/>
  <c r="K28" i="17"/>
  <c r="M28" i="17" s="1"/>
  <c r="K27" i="17"/>
  <c r="M27" i="17" s="1"/>
  <c r="K26" i="17"/>
  <c r="M26" i="17" s="1"/>
  <c r="K25" i="17"/>
  <c r="M25" i="17" s="1"/>
  <c r="K24" i="17"/>
  <c r="M24" i="17" s="1"/>
  <c r="K23" i="17"/>
  <c r="M23" i="17" s="1"/>
  <c r="K22" i="17"/>
  <c r="M22" i="17" s="1"/>
  <c r="K21" i="17"/>
  <c r="M21" i="17" s="1"/>
  <c r="K20" i="17"/>
  <c r="M20" i="17" s="1"/>
  <c r="K19" i="17"/>
  <c r="M19" i="17" s="1"/>
  <c r="K17" i="17"/>
  <c r="M17" i="17" s="1"/>
  <c r="K18" i="17"/>
  <c r="M18" i="17" s="1"/>
  <c r="K10" i="17"/>
  <c r="M10" i="17" s="1"/>
  <c r="K6" i="17"/>
  <c r="M6" i="17" s="1"/>
  <c r="K13" i="17"/>
  <c r="M13" i="17" s="1"/>
  <c r="K4" i="17"/>
  <c r="M4" i="17" s="1"/>
  <c r="K8" i="17"/>
  <c r="M8" i="17" s="1"/>
  <c r="K5" i="17"/>
  <c r="M5" i="17" s="1"/>
  <c r="K3" i="17"/>
  <c r="M3" i="17" s="1"/>
  <c r="K12" i="17"/>
  <c r="M12" i="17" s="1"/>
  <c r="K15" i="17"/>
  <c r="M15" i="17" s="1"/>
  <c r="K9" i="17"/>
  <c r="M9" i="17" s="1"/>
  <c r="K14" i="17"/>
  <c r="M14" i="17" s="1"/>
  <c r="K7" i="17"/>
  <c r="M7" i="17" s="1"/>
  <c r="M42" i="17"/>
  <c r="M35" i="17"/>
  <c r="C31" i="2" l="1"/>
  <c r="C30" i="2"/>
  <c r="C33" i="2"/>
  <c r="C32" i="2"/>
  <c r="M16" i="17"/>
  <c r="I21" i="8" l="1"/>
  <c r="L21" i="8" l="1"/>
  <c r="K21" i="8"/>
  <c r="F58" i="13"/>
  <c r="E58" i="13"/>
  <c r="D58" i="13"/>
  <c r="C58" i="13"/>
  <c r="I22" i="8" l="1"/>
  <c r="I20" i="8"/>
  <c r="I19" i="8"/>
  <c r="I18" i="8"/>
  <c r="I17" i="8"/>
  <c r="I16" i="8"/>
  <c r="I15" i="8"/>
  <c r="I14" i="8"/>
  <c r="I13" i="8"/>
  <c r="I12" i="8"/>
  <c r="I10" i="8"/>
  <c r="I9" i="8"/>
  <c r="I8" i="8"/>
  <c r="I7" i="8"/>
  <c r="I6" i="8"/>
  <c r="I5" i="8"/>
  <c r="I4" i="8"/>
  <c r="I3" i="8"/>
  <c r="I40" i="8"/>
  <c r="L40" i="8" s="1"/>
  <c r="I39" i="8"/>
  <c r="L39" i="8" s="1"/>
  <c r="I37" i="8"/>
  <c r="L37" i="8" s="1"/>
  <c r="I36" i="8"/>
  <c r="L36" i="8" s="1"/>
  <c r="I35" i="8"/>
  <c r="L35" i="8" s="1"/>
  <c r="L3" i="8" l="1"/>
  <c r="K3" i="8"/>
  <c r="C4" i="2" s="1"/>
  <c r="L23" i="8"/>
  <c r="K23" i="8"/>
  <c r="C28" i="2" s="1"/>
  <c r="L10" i="8"/>
  <c r="K10" i="8"/>
  <c r="C11" i="2" s="1"/>
  <c r="L14" i="8"/>
  <c r="K14" i="8"/>
  <c r="C15" i="2" s="1"/>
  <c r="L20" i="8"/>
  <c r="K20" i="8"/>
  <c r="L7" i="8"/>
  <c r="K7" i="8"/>
  <c r="C8" i="2" s="1"/>
  <c r="L12" i="8"/>
  <c r="K12" i="8"/>
  <c r="C13" i="2" s="1"/>
  <c r="L15" i="8"/>
  <c r="K15" i="8"/>
  <c r="C16" i="2" s="1"/>
  <c r="L8" i="8"/>
  <c r="K8" i="8"/>
  <c r="C9" i="2" s="1"/>
  <c r="L13" i="8"/>
  <c r="K13" i="8"/>
  <c r="C14" i="2" s="1"/>
  <c r="L16" i="8"/>
  <c r="K16" i="8"/>
  <c r="C17" i="2" s="1"/>
  <c r="L18" i="8"/>
  <c r="K18" i="8"/>
  <c r="C19" i="2" s="1"/>
  <c r="L9" i="8"/>
  <c r="K9" i="8"/>
  <c r="C10" i="2" s="1"/>
  <c r="L17" i="8"/>
  <c r="K17" i="8"/>
  <c r="C18" i="2" s="1"/>
  <c r="L19" i="8"/>
  <c r="K19" i="8"/>
  <c r="C22" i="2" s="1"/>
  <c r="L6" i="8"/>
  <c r="K6" i="8"/>
  <c r="C7" i="2" s="1"/>
  <c r="L5" i="8"/>
  <c r="K5" i="8"/>
  <c r="C6" i="2" s="1"/>
  <c r="L4" i="8"/>
  <c r="K4" i="8"/>
  <c r="C5" i="2" s="1"/>
  <c r="L22" i="8"/>
  <c r="K22" i="8"/>
  <c r="C25" i="2" s="1"/>
  <c r="Q7" i="17"/>
  <c r="I3" i="16"/>
  <c r="L3" i="16" s="1"/>
  <c r="K3" i="16"/>
  <c r="T3" i="16"/>
  <c r="U3" i="16"/>
  <c r="V3" i="16"/>
  <c r="AE3" i="16"/>
  <c r="AF3" i="16"/>
  <c r="AG3" i="16"/>
  <c r="AP3" i="16"/>
  <c r="AQ3" i="16"/>
  <c r="AR3" i="16"/>
  <c r="AY3" i="16"/>
  <c r="BB3" i="16"/>
  <c r="BC3" i="16"/>
  <c r="BD3" i="16"/>
  <c r="BE3" i="16" s="1"/>
  <c r="I4" i="16"/>
  <c r="L4" i="16" s="1"/>
  <c r="K4" i="16"/>
  <c r="T4" i="16"/>
  <c r="U4" i="16"/>
  <c r="V4" i="16"/>
  <c r="AE4" i="16"/>
  <c r="AF4" i="16"/>
  <c r="AG4" i="16"/>
  <c r="AP4" i="16"/>
  <c r="AQ4" i="16"/>
  <c r="AR4" i="16"/>
  <c r="AY4" i="16"/>
  <c r="BB4" i="16"/>
  <c r="BC4" i="16"/>
  <c r="BD4" i="16"/>
  <c r="BE4" i="16" s="1"/>
  <c r="C23" i="2" l="1"/>
  <c r="C21" i="2"/>
  <c r="C24" i="2"/>
  <c r="C20" i="2"/>
  <c r="C27" i="2"/>
  <c r="C26" i="2"/>
  <c r="W3" i="16"/>
  <c r="AH3" i="16"/>
  <c r="AS3" i="16"/>
  <c r="AH4" i="16"/>
  <c r="AS4" i="16"/>
  <c r="W4" i="16"/>
  <c r="BX4" i="16"/>
  <c r="BH4" i="16"/>
  <c r="BL4" i="16" s="1"/>
  <c r="BK4" i="16"/>
  <c r="BR4" i="16"/>
  <c r="BS4" i="16" s="1"/>
  <c r="BT4" i="16"/>
  <c r="BU4" i="16" s="1"/>
  <c r="BV4" i="16"/>
  <c r="BW4" i="16" s="1"/>
  <c r="BM4" i="16" l="1"/>
  <c r="BP4" i="16" s="1"/>
  <c r="BZ4" i="16"/>
  <c r="BY4" i="16"/>
  <c r="BV3" i="16"/>
  <c r="BW3" i="16" s="1"/>
  <c r="BT3" i="16"/>
  <c r="BU3" i="16" s="1"/>
  <c r="BR3" i="16"/>
  <c r="BS3" i="16" s="1"/>
  <c r="BK3" i="16"/>
  <c r="BH3" i="16"/>
  <c r="BL3" i="16" s="1"/>
  <c r="BX3" i="16"/>
  <c r="BZ3" i="16" s="1"/>
  <c r="BX47" i="16"/>
  <c r="BY47" i="16" s="1"/>
  <c r="BV47" i="16"/>
  <c r="BW47" i="16" s="1"/>
  <c r="BT47" i="16"/>
  <c r="BU47" i="16" s="1"/>
  <c r="BR47" i="16"/>
  <c r="BS47" i="16" s="1"/>
  <c r="BX46" i="16"/>
  <c r="BZ46" i="16" s="1"/>
  <c r="BV46" i="16"/>
  <c r="BW46" i="16" s="1"/>
  <c r="BT46" i="16"/>
  <c r="BU46" i="16" s="1"/>
  <c r="BR46" i="16"/>
  <c r="BS46" i="16" s="1"/>
  <c r="BX45" i="16"/>
  <c r="BZ45" i="16" s="1"/>
  <c r="BV45" i="16"/>
  <c r="BW45" i="16" s="1"/>
  <c r="BT45" i="16"/>
  <c r="BU45" i="16" s="1"/>
  <c r="BR45" i="16"/>
  <c r="BS45" i="16" s="1"/>
  <c r="BX44" i="16"/>
  <c r="BZ44" i="16" s="1"/>
  <c r="BV44" i="16"/>
  <c r="BW44" i="16" s="1"/>
  <c r="BT44" i="16"/>
  <c r="BU44" i="16" s="1"/>
  <c r="BR44" i="16"/>
  <c r="BS44" i="16" s="1"/>
  <c r="BX43" i="16"/>
  <c r="BZ43" i="16" s="1"/>
  <c r="BV43" i="16"/>
  <c r="BW43" i="16" s="1"/>
  <c r="BT43" i="16"/>
  <c r="BU43" i="16" s="1"/>
  <c r="BR43" i="16"/>
  <c r="BS43" i="16" s="1"/>
  <c r="BX42" i="16"/>
  <c r="BZ42" i="16" s="1"/>
  <c r="BV42" i="16"/>
  <c r="BW42" i="16" s="1"/>
  <c r="BT42" i="16"/>
  <c r="BU42" i="16" s="1"/>
  <c r="BR42" i="16"/>
  <c r="BS42" i="16" s="1"/>
  <c r="BX41" i="16"/>
  <c r="BZ41" i="16" s="1"/>
  <c r="BV41" i="16"/>
  <c r="BW41" i="16" s="1"/>
  <c r="BT41" i="16"/>
  <c r="BU41" i="16" s="1"/>
  <c r="BR41" i="16"/>
  <c r="BS41" i="16" s="1"/>
  <c r="BX40" i="16"/>
  <c r="BZ40" i="16" s="1"/>
  <c r="BV40" i="16"/>
  <c r="BW40" i="16" s="1"/>
  <c r="BT40" i="16"/>
  <c r="BU40" i="16" s="1"/>
  <c r="BR40" i="16"/>
  <c r="BS40" i="16" s="1"/>
  <c r="BX39" i="16"/>
  <c r="BY39" i="16" s="1"/>
  <c r="BV39" i="16"/>
  <c r="BW39" i="16" s="1"/>
  <c r="BT39" i="16"/>
  <c r="BU39" i="16" s="1"/>
  <c r="BR39" i="16"/>
  <c r="BS39" i="16" s="1"/>
  <c r="BX38" i="16"/>
  <c r="BZ38" i="16" s="1"/>
  <c r="BV38" i="16"/>
  <c r="BW38" i="16" s="1"/>
  <c r="BT38" i="16"/>
  <c r="BU38" i="16" s="1"/>
  <c r="BR38" i="16"/>
  <c r="BS38" i="16" s="1"/>
  <c r="BX37" i="16"/>
  <c r="BZ37" i="16" s="1"/>
  <c r="BV37" i="16"/>
  <c r="BW37" i="16" s="1"/>
  <c r="BT37" i="16"/>
  <c r="BU37" i="16" s="1"/>
  <c r="BR37" i="16"/>
  <c r="BS37" i="16" s="1"/>
  <c r="BX36" i="16"/>
  <c r="BZ36" i="16" s="1"/>
  <c r="BV36" i="16"/>
  <c r="BW36" i="16" s="1"/>
  <c r="BT36" i="16"/>
  <c r="BU36" i="16" s="1"/>
  <c r="BR36" i="16"/>
  <c r="BS36" i="16" s="1"/>
  <c r="BX35" i="16"/>
  <c r="BZ35" i="16" s="1"/>
  <c r="BV35" i="16"/>
  <c r="BW35" i="16" s="1"/>
  <c r="BT35" i="16"/>
  <c r="BU35" i="16" s="1"/>
  <c r="BR35" i="16"/>
  <c r="BS35" i="16" s="1"/>
  <c r="BX34" i="16"/>
  <c r="BZ34" i="16" s="1"/>
  <c r="BV34" i="16"/>
  <c r="BW34" i="16" s="1"/>
  <c r="BT34" i="16"/>
  <c r="BU34" i="16" s="1"/>
  <c r="BR34" i="16"/>
  <c r="BS34" i="16" s="1"/>
  <c r="BX33" i="16"/>
  <c r="BZ33" i="16" s="1"/>
  <c r="BV33" i="16"/>
  <c r="BW33" i="16" s="1"/>
  <c r="BT33" i="16"/>
  <c r="BU33" i="16" s="1"/>
  <c r="BR33" i="16"/>
  <c r="BS33" i="16" s="1"/>
  <c r="BX32" i="16"/>
  <c r="BZ32" i="16" s="1"/>
  <c r="BV32" i="16"/>
  <c r="BW32" i="16" s="1"/>
  <c r="BT32" i="16"/>
  <c r="BU32" i="16" s="1"/>
  <c r="BR32" i="16"/>
  <c r="BS32" i="16" s="1"/>
  <c r="BX31" i="16"/>
  <c r="BY31" i="16" s="1"/>
  <c r="BV31" i="16"/>
  <c r="BW31" i="16" s="1"/>
  <c r="BT31" i="16"/>
  <c r="BU31" i="16" s="1"/>
  <c r="BR31" i="16"/>
  <c r="BS31" i="16" s="1"/>
  <c r="BX30" i="16"/>
  <c r="BZ30" i="16" s="1"/>
  <c r="BV30" i="16"/>
  <c r="BW30" i="16" s="1"/>
  <c r="BT30" i="16"/>
  <c r="BU30" i="16" s="1"/>
  <c r="BR30" i="16"/>
  <c r="BS30" i="16" s="1"/>
  <c r="BX29" i="16"/>
  <c r="BZ29" i="16" s="1"/>
  <c r="BV29" i="16"/>
  <c r="BW29" i="16" s="1"/>
  <c r="BT29" i="16"/>
  <c r="BU29" i="16" s="1"/>
  <c r="BR29" i="16"/>
  <c r="BS29" i="16" s="1"/>
  <c r="BX28" i="16"/>
  <c r="BZ28" i="16" s="1"/>
  <c r="BV28" i="16"/>
  <c r="BW28" i="16" s="1"/>
  <c r="BT28" i="16"/>
  <c r="BU28" i="16" s="1"/>
  <c r="BR28" i="16"/>
  <c r="BS28" i="16" s="1"/>
  <c r="BX27" i="16"/>
  <c r="BY27" i="16" s="1"/>
  <c r="BV27" i="16"/>
  <c r="BW27" i="16" s="1"/>
  <c r="BT27" i="16"/>
  <c r="BU27" i="16" s="1"/>
  <c r="BR27" i="16"/>
  <c r="BS27" i="16" s="1"/>
  <c r="BX26" i="16"/>
  <c r="BZ26" i="16" s="1"/>
  <c r="BV26" i="16"/>
  <c r="BW26" i="16" s="1"/>
  <c r="BT26" i="16"/>
  <c r="BU26" i="16" s="1"/>
  <c r="BR26" i="16"/>
  <c r="BS26" i="16" s="1"/>
  <c r="BX25" i="16"/>
  <c r="BZ25" i="16" s="1"/>
  <c r="BV25" i="16"/>
  <c r="BW25" i="16" s="1"/>
  <c r="BT25" i="16"/>
  <c r="BU25" i="16" s="1"/>
  <c r="BR25" i="16"/>
  <c r="BS25" i="16" s="1"/>
  <c r="BX24" i="16"/>
  <c r="BY24" i="16" s="1"/>
  <c r="BV24" i="16"/>
  <c r="BW24" i="16" s="1"/>
  <c r="BT24" i="16"/>
  <c r="BU24" i="16" s="1"/>
  <c r="BR24" i="16"/>
  <c r="BS24" i="16" s="1"/>
  <c r="BX23" i="16"/>
  <c r="BY23" i="16" s="1"/>
  <c r="BV23" i="16"/>
  <c r="BW23" i="16" s="1"/>
  <c r="BT23" i="16"/>
  <c r="BU23" i="16" s="1"/>
  <c r="BR23" i="16"/>
  <c r="BS23" i="16" s="1"/>
  <c r="BX22" i="16"/>
  <c r="BZ22" i="16" s="1"/>
  <c r="BV22" i="16"/>
  <c r="BW22" i="16" s="1"/>
  <c r="BT22" i="16"/>
  <c r="BU22" i="16" s="1"/>
  <c r="BR22" i="16"/>
  <c r="BS22" i="16" s="1"/>
  <c r="BX21" i="16"/>
  <c r="BZ21" i="16" s="1"/>
  <c r="BV21" i="16"/>
  <c r="BW21" i="16" s="1"/>
  <c r="BT21" i="16"/>
  <c r="BU21" i="16" s="1"/>
  <c r="BR21" i="16"/>
  <c r="BS21" i="16" s="1"/>
  <c r="BX20" i="16"/>
  <c r="BZ20" i="16" s="1"/>
  <c r="BV20" i="16"/>
  <c r="BW20" i="16" s="1"/>
  <c r="BT20" i="16"/>
  <c r="BU20" i="16" s="1"/>
  <c r="BR20" i="16"/>
  <c r="BS20" i="16" s="1"/>
  <c r="BX19" i="16"/>
  <c r="BY19" i="16" s="1"/>
  <c r="BV19" i="16"/>
  <c r="BW19" i="16" s="1"/>
  <c r="BT19" i="16"/>
  <c r="BU19" i="16" s="1"/>
  <c r="BR19" i="16"/>
  <c r="BS19" i="16" s="1"/>
  <c r="BX18" i="16"/>
  <c r="BZ18" i="16" s="1"/>
  <c r="BV18" i="16"/>
  <c r="BW18" i="16" s="1"/>
  <c r="BT18" i="16"/>
  <c r="BU18" i="16" s="1"/>
  <c r="BR18" i="16"/>
  <c r="BS18" i="16" s="1"/>
  <c r="BX17" i="16"/>
  <c r="BY17" i="16" s="1"/>
  <c r="BV17" i="16"/>
  <c r="BW17" i="16" s="1"/>
  <c r="BT17" i="16"/>
  <c r="BU17" i="16" s="1"/>
  <c r="BR17" i="16"/>
  <c r="BS17" i="16" s="1"/>
  <c r="BX16" i="16"/>
  <c r="BZ16" i="16" s="1"/>
  <c r="BV16" i="16"/>
  <c r="BW16" i="16" s="1"/>
  <c r="BT16" i="16"/>
  <c r="BU16" i="16" s="1"/>
  <c r="BR16" i="16"/>
  <c r="BS16" i="16" s="1"/>
  <c r="BX15" i="16"/>
  <c r="BY15" i="16" s="1"/>
  <c r="BV15" i="16"/>
  <c r="BW15" i="16" s="1"/>
  <c r="BT15" i="16"/>
  <c r="BU15" i="16" s="1"/>
  <c r="BR15" i="16"/>
  <c r="BS15" i="16" s="1"/>
  <c r="BX14" i="16"/>
  <c r="BZ14" i="16" s="1"/>
  <c r="BV14" i="16"/>
  <c r="BW14" i="16" s="1"/>
  <c r="BT14" i="16"/>
  <c r="BU14" i="16" s="1"/>
  <c r="BR14" i="16"/>
  <c r="BS14" i="16" s="1"/>
  <c r="BX13" i="16"/>
  <c r="BZ13" i="16" s="1"/>
  <c r="BV13" i="16"/>
  <c r="BW13" i="16" s="1"/>
  <c r="BT13" i="16"/>
  <c r="BU13" i="16" s="1"/>
  <c r="BR13" i="16"/>
  <c r="BS13" i="16" s="1"/>
  <c r="BX12" i="16"/>
  <c r="BZ12" i="16" s="1"/>
  <c r="BV12" i="16"/>
  <c r="BW12" i="16" s="1"/>
  <c r="BT12" i="16"/>
  <c r="BU12" i="16" s="1"/>
  <c r="BR12" i="16"/>
  <c r="BS12" i="16" s="1"/>
  <c r="BM3" i="16" l="1"/>
  <c r="BY16" i="16"/>
  <c r="BZ47" i="16"/>
  <c r="BY28" i="16"/>
  <c r="BY32" i="16"/>
  <c r="BY12" i="16"/>
  <c r="BZ24" i="16"/>
  <c r="BY20" i="16"/>
  <c r="BY40" i="16"/>
  <c r="BY36" i="16"/>
  <c r="BZ19" i="16"/>
  <c r="BZ27" i="16"/>
  <c r="BZ39" i="16"/>
  <c r="BY44" i="16"/>
  <c r="BZ15" i="16"/>
  <c r="BZ23" i="16"/>
  <c r="BZ31" i="16"/>
  <c r="BY29" i="16"/>
  <c r="BY35" i="16"/>
  <c r="BY37" i="16"/>
  <c r="BY43" i="16"/>
  <c r="BY45" i="16"/>
  <c r="BY25" i="16"/>
  <c r="BY33" i="16"/>
  <c r="BY41" i="16"/>
  <c r="BY13" i="16"/>
  <c r="BY21" i="16"/>
  <c r="BY14" i="16"/>
  <c r="BZ17" i="16"/>
  <c r="BY18" i="16"/>
  <c r="BY22" i="16"/>
  <c r="BY26" i="16"/>
  <c r="BY30" i="16"/>
  <c r="BY34" i="16"/>
  <c r="BY38" i="16"/>
  <c r="BY42" i="16"/>
  <c r="BY46" i="16"/>
  <c r="BY3" i="16"/>
  <c r="BP3" i="16" l="1"/>
  <c r="AY4" i="8"/>
  <c r="E19" i="12" s="1"/>
  <c r="AY5" i="8" l="1"/>
  <c r="E20" i="12" l="1"/>
  <c r="Q10" i="17"/>
  <c r="Q4" i="17"/>
  <c r="Q8" i="17"/>
  <c r="Q5" i="17"/>
  <c r="Q3" i="17"/>
  <c r="Q12" i="17"/>
  <c r="Q15" i="17"/>
  <c r="Q9" i="17"/>
  <c r="Q16" i="17"/>
  <c r="Q13" i="17" l="1"/>
  <c r="Q6" i="17"/>
  <c r="F29" i="13" l="1"/>
  <c r="E29" i="13"/>
  <c r="D29" i="13"/>
  <c r="C29" i="13"/>
  <c r="B62" i="13" l="1"/>
  <c r="E62" i="13" s="1"/>
  <c r="B60" i="13"/>
  <c r="E60" i="13" s="1"/>
  <c r="D60" i="13" l="1"/>
  <c r="C60" i="13"/>
  <c r="F60" i="13"/>
  <c r="F62" i="13"/>
  <c r="C62" i="13"/>
  <c r="D62" i="13"/>
  <c r="AY3" i="8" l="1"/>
  <c r="E18" i="12" s="1"/>
  <c r="K15" i="18" l="1"/>
  <c r="I15" i="18" s="1"/>
  <c r="BX5" i="8"/>
  <c r="G6" i="2" s="1"/>
  <c r="BX6" i="8"/>
  <c r="G7" i="2" s="1"/>
  <c r="BX9" i="8"/>
  <c r="G10" i="2" s="1"/>
  <c r="BX11" i="8"/>
  <c r="G12" i="2" s="1"/>
  <c r="BX12" i="8"/>
  <c r="G13" i="2" s="1"/>
  <c r="BX20" i="8"/>
  <c r="BX23" i="8"/>
  <c r="G28" i="2" s="1"/>
  <c r="G34" i="2"/>
  <c r="BX35" i="8"/>
  <c r="BX36" i="8"/>
  <c r="BX37" i="8"/>
  <c r="BX39" i="8"/>
  <c r="BX40" i="8"/>
  <c r="G29" i="2" l="1"/>
  <c r="G31" i="2"/>
  <c r="G30" i="2"/>
  <c r="G33" i="2"/>
  <c r="G32" i="2"/>
  <c r="H15" i="18"/>
  <c r="BZ40" i="8"/>
  <c r="BZ39" i="8"/>
  <c r="BZ37" i="8"/>
  <c r="BZ36" i="8"/>
  <c r="BZ35" i="8"/>
  <c r="H34" i="2"/>
  <c r="BZ23" i="8"/>
  <c r="H28" i="2" s="1"/>
  <c r="BZ20" i="8"/>
  <c r="BZ12" i="8"/>
  <c r="H13" i="2" s="1"/>
  <c r="BZ11" i="8"/>
  <c r="H12" i="2" s="1"/>
  <c r="BZ9" i="8"/>
  <c r="H10" i="2" s="1"/>
  <c r="BZ6" i="8"/>
  <c r="H7" i="2" s="1"/>
  <c r="BZ5" i="8"/>
  <c r="H6" i="2" s="1"/>
  <c r="H29" i="2" l="1"/>
  <c r="H31" i="2"/>
  <c r="H30" i="2"/>
  <c r="H33" i="2"/>
  <c r="H32" i="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BQ4" i="8"/>
  <c r="BQ5" i="8"/>
  <c r="BQ6" i="8"/>
  <c r="BQ7" i="8"/>
  <c r="BQ8" i="8"/>
  <c r="BQ9" i="8"/>
  <c r="BQ10" i="8"/>
  <c r="BQ11" i="8"/>
  <c r="BQ12" i="8"/>
  <c r="BQ13" i="8"/>
  <c r="BQ14" i="8"/>
  <c r="BQ15" i="8"/>
  <c r="BQ16" i="8"/>
  <c r="BQ17" i="8"/>
  <c r="BQ18" i="8"/>
  <c r="BQ19" i="8"/>
  <c r="BQ20" i="8"/>
  <c r="BQ21" i="8"/>
  <c r="BQ22" i="8"/>
  <c r="BQ23" i="8"/>
  <c r="BQ35" i="8"/>
  <c r="BQ36" i="8"/>
  <c r="BQ37" i="8"/>
  <c r="BQ39" i="8"/>
  <c r="BQ40" i="8"/>
  <c r="H27" i="12" l="1"/>
  <c r="H7" i="12"/>
  <c r="H22" i="12"/>
  <c r="H8" i="12"/>
  <c r="H24" i="12"/>
  <c r="H25" i="12"/>
  <c r="H4" i="12"/>
  <c r="H26" i="12"/>
  <c r="BQ3" i="8"/>
  <c r="BV4" i="8" l="1"/>
  <c r="F5" i="2" s="1"/>
  <c r="BV6" i="8"/>
  <c r="F7" i="2" s="1"/>
  <c r="BV7" i="8"/>
  <c r="F8" i="2" s="1"/>
  <c r="BV8" i="8"/>
  <c r="F9" i="2" s="1"/>
  <c r="BV13" i="8"/>
  <c r="F14" i="2" s="1"/>
  <c r="BV14" i="8"/>
  <c r="F15" i="2" s="1"/>
  <c r="BV15" i="8"/>
  <c r="F16" i="2" s="1"/>
  <c r="BV16" i="8"/>
  <c r="F17" i="2" s="1"/>
  <c r="BV17" i="8"/>
  <c r="F18" i="2" s="1"/>
  <c r="BV18" i="8"/>
  <c r="F19" i="2" s="1"/>
  <c r="BV19" i="8"/>
  <c r="BV20" i="8"/>
  <c r="BV21" i="8"/>
  <c r="BV22" i="8"/>
  <c r="BV23" i="8"/>
  <c r="F28" i="2" s="1"/>
  <c r="F34" i="2"/>
  <c r="BV35" i="8"/>
  <c r="BV36" i="8"/>
  <c r="BV37" i="8"/>
  <c r="BV39" i="8"/>
  <c r="BV40" i="8"/>
  <c r="BV3" i="8"/>
  <c r="F4" i="2" s="1"/>
  <c r="BT4" i="8"/>
  <c r="E5" i="2" s="1"/>
  <c r="BT7" i="8"/>
  <c r="E8" i="2" s="1"/>
  <c r="BT8" i="8"/>
  <c r="E9" i="2" s="1"/>
  <c r="BT9" i="8"/>
  <c r="E10" i="2" s="1"/>
  <c r="BT10" i="8"/>
  <c r="E11" i="2" s="1"/>
  <c r="BT11" i="8"/>
  <c r="E12" i="2" s="1"/>
  <c r="BT12" i="8"/>
  <c r="E13" i="2" s="1"/>
  <c r="BT13" i="8"/>
  <c r="E14" i="2" s="1"/>
  <c r="BT14" i="8"/>
  <c r="E15" i="2" s="1"/>
  <c r="BT15" i="8"/>
  <c r="E16" i="2" s="1"/>
  <c r="BT16" i="8"/>
  <c r="E17" i="2" s="1"/>
  <c r="BT17" i="8"/>
  <c r="E18" i="2" s="1"/>
  <c r="BT18" i="8"/>
  <c r="E19" i="2" s="1"/>
  <c r="BT19" i="8"/>
  <c r="BT20" i="8"/>
  <c r="BT21" i="8"/>
  <c r="BT22" i="8"/>
  <c r="BT23" i="8"/>
  <c r="E28" i="2" s="1"/>
  <c r="E34" i="2"/>
  <c r="BT35" i="8"/>
  <c r="BT36" i="8"/>
  <c r="BT37" i="8"/>
  <c r="BT39" i="8"/>
  <c r="BT40" i="8"/>
  <c r="BR3" i="8"/>
  <c r="BR4" i="8"/>
  <c r="D5" i="2" s="1"/>
  <c r="BR7" i="8"/>
  <c r="D8" i="2" s="1"/>
  <c r="BR8" i="8"/>
  <c r="D9" i="2" s="1"/>
  <c r="BR9" i="8"/>
  <c r="D10" i="2" s="1"/>
  <c r="BR10" i="8"/>
  <c r="D11" i="2" s="1"/>
  <c r="BR11" i="8"/>
  <c r="D12" i="2" s="1"/>
  <c r="BR12" i="8"/>
  <c r="D13" i="2" s="1"/>
  <c r="BR13" i="8"/>
  <c r="D14" i="2" s="1"/>
  <c r="BR14" i="8"/>
  <c r="D15" i="2" s="1"/>
  <c r="BR15" i="8"/>
  <c r="D16" i="2" s="1"/>
  <c r="BR16" i="8"/>
  <c r="D17" i="2" s="1"/>
  <c r="BR17" i="8"/>
  <c r="D18" i="2" s="1"/>
  <c r="BR18" i="8"/>
  <c r="D19" i="2" s="1"/>
  <c r="BR19" i="8"/>
  <c r="BR20" i="8"/>
  <c r="BR21" i="8"/>
  <c r="BR22" i="8"/>
  <c r="D27" i="2" s="1"/>
  <c r="BR23" i="8"/>
  <c r="D28" i="2" s="1"/>
  <c r="BR35" i="8"/>
  <c r="BR36" i="8"/>
  <c r="BR37" i="8"/>
  <c r="BR39" i="8"/>
  <c r="BR40" i="8"/>
  <c r="E20" i="2" l="1"/>
  <c r="D21" i="2"/>
  <c r="F23" i="2"/>
  <c r="E23" i="2"/>
  <c r="F22" i="2"/>
  <c r="F21" i="2"/>
  <c r="D20" i="2"/>
  <c r="E22" i="2"/>
  <c r="F25" i="2"/>
  <c r="D23" i="2"/>
  <c r="D22" i="2"/>
  <c r="E21" i="2"/>
  <c r="F24" i="2"/>
  <c r="F20" i="2"/>
  <c r="E25" i="2"/>
  <c r="D25" i="2"/>
  <c r="D24" i="2"/>
  <c r="E24" i="2"/>
  <c r="F26" i="2"/>
  <c r="D26" i="2"/>
  <c r="E27" i="2"/>
  <c r="E26" i="2"/>
  <c r="F27" i="2"/>
  <c r="F29" i="2"/>
  <c r="E29" i="2"/>
  <c r="E31" i="2"/>
  <c r="E30" i="2"/>
  <c r="D31" i="2"/>
  <c r="D30" i="2"/>
  <c r="F31" i="2"/>
  <c r="F30" i="2"/>
  <c r="D33" i="2"/>
  <c r="D32" i="2"/>
  <c r="E33" i="2"/>
  <c r="E32" i="2"/>
  <c r="F33" i="2"/>
  <c r="F32" i="2"/>
  <c r="AY6" i="8"/>
  <c r="E21" i="12" s="1"/>
  <c r="AY7" i="8"/>
  <c r="E22" i="12" s="1"/>
  <c r="AY8" i="8"/>
  <c r="E12" i="12" s="1"/>
  <c r="AY9" i="8"/>
  <c r="E23" i="12" s="1"/>
  <c r="AY10" i="8"/>
  <c r="E11" i="12" s="1"/>
  <c r="AY11" i="8"/>
  <c r="E24" i="12" s="1"/>
  <c r="AY12" i="8"/>
  <c r="E25" i="12" s="1"/>
  <c r="AY13" i="8"/>
  <c r="E8" i="12" s="1"/>
  <c r="AY14" i="8"/>
  <c r="E9" i="12" s="1"/>
  <c r="AY15" i="8"/>
  <c r="E7" i="12" s="1"/>
  <c r="AY16" i="8"/>
  <c r="E17" i="12" s="1"/>
  <c r="AY17" i="8"/>
  <c r="E6" i="12" s="1"/>
  <c r="F6" i="12" s="1"/>
  <c r="AY18" i="8"/>
  <c r="E10" i="12" s="1"/>
  <c r="AY19" i="8"/>
  <c r="AY20" i="8"/>
  <c r="E13" i="12" s="1"/>
  <c r="AY21" i="8"/>
  <c r="AY23" i="8"/>
  <c r="E32" i="12"/>
  <c r="AY35" i="8"/>
  <c r="AY36" i="8"/>
  <c r="AY37" i="8"/>
  <c r="E40" i="12" s="1"/>
  <c r="AY39" i="8"/>
  <c r="E41" i="12" s="1"/>
  <c r="F41" i="12" s="1"/>
  <c r="AY40" i="8"/>
  <c r="BU9" i="8"/>
  <c r="BU10" i="8"/>
  <c r="BU13" i="8"/>
  <c r="BU17" i="8"/>
  <c r="BU18" i="8"/>
  <c r="BU20" i="8"/>
  <c r="BU22" i="8"/>
  <c r="BU36" i="8"/>
  <c r="BU40" i="8"/>
  <c r="AG40" i="8"/>
  <c r="AF40" i="8"/>
  <c r="AE40" i="8"/>
  <c r="AG39" i="8"/>
  <c r="AF39" i="8"/>
  <c r="AE39" i="8"/>
  <c r="AG37" i="8"/>
  <c r="AF37" i="8"/>
  <c r="AE37" i="8"/>
  <c r="AG36" i="8"/>
  <c r="AF36" i="8"/>
  <c r="AE36" i="8"/>
  <c r="AG35" i="8"/>
  <c r="AF35" i="8"/>
  <c r="AE35" i="8"/>
  <c r="AG23" i="8"/>
  <c r="AF23" i="8"/>
  <c r="AE23" i="8"/>
  <c r="AG22" i="8"/>
  <c r="AF22" i="8"/>
  <c r="AE22" i="8"/>
  <c r="AG21" i="8"/>
  <c r="AF21" i="8"/>
  <c r="AE21" i="8"/>
  <c r="AG20" i="8"/>
  <c r="AF20" i="8"/>
  <c r="AE20" i="8"/>
  <c r="AG19" i="8"/>
  <c r="AF19" i="8"/>
  <c r="AE19" i="8"/>
  <c r="AG18" i="8"/>
  <c r="AF18" i="8"/>
  <c r="AE18" i="8"/>
  <c r="AG17" i="8"/>
  <c r="AF17" i="8"/>
  <c r="AE17" i="8"/>
  <c r="AG16" i="8"/>
  <c r="AF16" i="8"/>
  <c r="AE16" i="8"/>
  <c r="AG15" i="8"/>
  <c r="AF15" i="8"/>
  <c r="AE15" i="8"/>
  <c r="AG14" i="8"/>
  <c r="AF14" i="8"/>
  <c r="AE14" i="8"/>
  <c r="AG13" i="8"/>
  <c r="AF13" i="8"/>
  <c r="AE13" i="8"/>
  <c r="AG12" i="8"/>
  <c r="AF12" i="8"/>
  <c r="AE12" i="8"/>
  <c r="AG11" i="8"/>
  <c r="AF11" i="8"/>
  <c r="AE11" i="8"/>
  <c r="AG10" i="8"/>
  <c r="AF10" i="8"/>
  <c r="AE10" i="8"/>
  <c r="AG9" i="8"/>
  <c r="AF9" i="8"/>
  <c r="AE9" i="8"/>
  <c r="AG8" i="8"/>
  <c r="AF8" i="8"/>
  <c r="AE8" i="8"/>
  <c r="AG7" i="8"/>
  <c r="AF7" i="8"/>
  <c r="AE7" i="8"/>
  <c r="AG6" i="8"/>
  <c r="AF6" i="8"/>
  <c r="AE6" i="8"/>
  <c r="AG5" i="8"/>
  <c r="AF5" i="8"/>
  <c r="AE5" i="8"/>
  <c r="AG4" i="8"/>
  <c r="AF4" i="8"/>
  <c r="AE4" i="8"/>
  <c r="AG3" i="8"/>
  <c r="BT3" i="8" s="1"/>
  <c r="E4" i="2" s="1"/>
  <c r="AF3" i="8"/>
  <c r="AE3" i="8"/>
  <c r="E26" i="12" l="1"/>
  <c r="F26" i="12" s="1"/>
  <c r="E15" i="12"/>
  <c r="F15" i="12" s="1"/>
  <c r="E14" i="12"/>
  <c r="F14" i="12" s="1"/>
  <c r="E5" i="12"/>
  <c r="F5" i="12" s="1"/>
  <c r="E27" i="12"/>
  <c r="F27" i="12" s="1"/>
  <c r="E16" i="12"/>
  <c r="F16" i="12" s="1"/>
  <c r="E29" i="12"/>
  <c r="F29" i="12" s="1"/>
  <c r="E28" i="12"/>
  <c r="F28" i="12" s="1"/>
  <c r="E39" i="12"/>
  <c r="F39" i="12" s="1"/>
  <c r="E38" i="12"/>
  <c r="F38" i="12" s="1"/>
  <c r="E37" i="12"/>
  <c r="F37" i="12" s="1"/>
  <c r="E31" i="12"/>
  <c r="F31" i="12" s="1"/>
  <c r="E30" i="12"/>
  <c r="F30" i="12" s="1"/>
  <c r="E3" i="12"/>
  <c r="F3" i="12" s="1"/>
  <c r="E2" i="12"/>
  <c r="F2" i="12" s="1"/>
  <c r="F12" i="12"/>
  <c r="F21" i="12"/>
  <c r="F10" i="12"/>
  <c r="F11" i="12"/>
  <c r="F34" i="12"/>
  <c r="F20" i="12"/>
  <c r="F19" i="12"/>
  <c r="F32" i="12"/>
  <c r="F25" i="12"/>
  <c r="F9" i="12"/>
  <c r="F40" i="12"/>
  <c r="F33" i="12"/>
  <c r="F22" i="12"/>
  <c r="F24" i="12"/>
  <c r="F13" i="12"/>
  <c r="F23" i="12"/>
  <c r="F36" i="12"/>
  <c r="F8" i="12"/>
  <c r="F18" i="12"/>
  <c r="F17" i="12"/>
  <c r="F7" i="12"/>
  <c r="BU3" i="8"/>
  <c r="K22" i="18"/>
  <c r="I22" i="18" s="1"/>
  <c r="K14" i="18"/>
  <c r="I14" i="18" s="1"/>
  <c r="H16" i="18"/>
  <c r="K16" i="18"/>
  <c r="I16" i="18" s="1"/>
  <c r="BT6" i="8"/>
  <c r="E7" i="2" s="1"/>
  <c r="BT5" i="8"/>
  <c r="E6" i="2" s="1"/>
  <c r="AH8" i="8"/>
  <c r="AH15" i="8"/>
  <c r="AH21" i="8"/>
  <c r="AH35" i="8"/>
  <c r="AH39" i="8"/>
  <c r="AH4" i="8"/>
  <c r="BU8" i="8"/>
  <c r="BU7" i="8"/>
  <c r="BU21" i="8"/>
  <c r="BU12" i="8"/>
  <c r="BU15" i="8"/>
  <c r="BU4" i="8"/>
  <c r="BU39" i="8"/>
  <c r="BU37" i="8"/>
  <c r="BU23" i="8"/>
  <c r="BU19" i="8"/>
  <c r="BU14" i="8"/>
  <c r="BU35" i="8"/>
  <c r="BU11" i="8"/>
  <c r="AH7" i="8"/>
  <c r="AH14" i="8"/>
  <c r="AH19" i="8"/>
  <c r="AH23" i="8"/>
  <c r="AH37" i="8"/>
  <c r="AH3" i="8"/>
  <c r="AH6" i="8"/>
  <c r="AH17" i="8"/>
  <c r="AH18" i="8"/>
  <c r="AH36" i="8"/>
  <c r="AH5" i="8"/>
  <c r="AH9" i="8"/>
  <c r="AH13" i="8"/>
  <c r="AH16" i="8"/>
  <c r="AH20" i="8"/>
  <c r="AH22" i="8"/>
  <c r="AH40" i="8"/>
  <c r="BU16" i="8"/>
  <c r="AH12" i="8"/>
  <c r="AH11" i="8"/>
  <c r="AH10" i="8"/>
  <c r="BU5" i="8" l="1"/>
  <c r="BU6" i="8"/>
  <c r="H22" i="18"/>
  <c r="H14" i="18"/>
  <c r="K17" i="18"/>
  <c r="I17" i="18" s="1"/>
  <c r="H17" i="18"/>
  <c r="K9" i="18"/>
  <c r="I9" i="18" s="1"/>
  <c r="H9" i="18"/>
  <c r="K8" i="18"/>
  <c r="I8" i="18" s="1"/>
  <c r="H8" i="18"/>
  <c r="K11" i="18"/>
  <c r="I11" i="18" s="1"/>
  <c r="H11" i="18"/>
  <c r="K12" i="18"/>
  <c r="I12" i="18" s="1"/>
  <c r="H12" i="18"/>
  <c r="H10" i="18"/>
  <c r="K10" i="18"/>
  <c r="I10" i="18" s="1"/>
  <c r="H3" i="18"/>
  <c r="K3" i="18"/>
  <c r="I3" i="18" s="1"/>
  <c r="H18" i="18"/>
  <c r="K18" i="18"/>
  <c r="I18" i="18" s="1"/>
  <c r="K4" i="18"/>
  <c r="I4" i="18" s="1"/>
  <c r="H4" i="18"/>
  <c r="K19" i="18"/>
  <c r="I19" i="18" s="1"/>
  <c r="H19" i="18"/>
  <c r="H5" i="18"/>
  <c r="K5" i="18"/>
  <c r="I5" i="18" s="1"/>
  <c r="H20" i="18"/>
  <c r="K20" i="18"/>
  <c r="I20" i="18" s="1"/>
  <c r="H7" i="18"/>
  <c r="K7" i="18"/>
  <c r="I7" i="18" s="1"/>
  <c r="H21" i="18"/>
  <c r="K21" i="18"/>
  <c r="I21" i="18" s="1"/>
  <c r="H6" i="18"/>
  <c r="K6" i="18"/>
  <c r="I6" i="18" s="1"/>
  <c r="H2" i="18"/>
  <c r="K2" i="18"/>
  <c r="I2" i="18" s="1"/>
  <c r="BW40" i="8" l="1"/>
  <c r="BS40" i="8"/>
  <c r="AQ9" i="8"/>
  <c r="BB9" i="8"/>
  <c r="BC9" i="8"/>
  <c r="BD9" i="8"/>
  <c r="BB10" i="8"/>
  <c r="BC10" i="8"/>
  <c r="BD10" i="8"/>
  <c r="BB11" i="8"/>
  <c r="BC11" i="8"/>
  <c r="BD11" i="8"/>
  <c r="BB12" i="8"/>
  <c r="BC12" i="8"/>
  <c r="BD12" i="8"/>
  <c r="BB13" i="8"/>
  <c r="BC13" i="8"/>
  <c r="BD13" i="8"/>
  <c r="BB14" i="8"/>
  <c r="BC14" i="8"/>
  <c r="BD14" i="8"/>
  <c r="BB15" i="8"/>
  <c r="BC15" i="8"/>
  <c r="BD15" i="8"/>
  <c r="BB16" i="8"/>
  <c r="BC16" i="8"/>
  <c r="BD16" i="8"/>
  <c r="T9" i="8"/>
  <c r="U9" i="8"/>
  <c r="V9" i="8"/>
  <c r="T10" i="8"/>
  <c r="U10" i="8"/>
  <c r="V10" i="8"/>
  <c r="T11" i="8"/>
  <c r="U11" i="8"/>
  <c r="V11" i="8"/>
  <c r="T12" i="8"/>
  <c r="U12" i="8"/>
  <c r="V12" i="8"/>
  <c r="T13" i="8"/>
  <c r="U13" i="8"/>
  <c r="V13" i="8"/>
  <c r="T14" i="8"/>
  <c r="U14" i="8"/>
  <c r="V14" i="8"/>
  <c r="T15" i="8"/>
  <c r="U15" i="8"/>
  <c r="V15" i="8"/>
  <c r="T16" i="8"/>
  <c r="U16" i="8"/>
  <c r="V16" i="8"/>
  <c r="AP9" i="8"/>
  <c r="AR9" i="8"/>
  <c r="AP10" i="8"/>
  <c r="AQ10" i="8"/>
  <c r="AR10" i="8"/>
  <c r="BV10" i="8" s="1"/>
  <c r="F11" i="2" s="1"/>
  <c r="AP11" i="8"/>
  <c r="AQ11" i="8"/>
  <c r="AR11" i="8"/>
  <c r="AP12" i="8"/>
  <c r="AQ12" i="8"/>
  <c r="AR12" i="8"/>
  <c r="AP13" i="8"/>
  <c r="AQ13" i="8"/>
  <c r="AR13" i="8"/>
  <c r="AP14" i="8"/>
  <c r="AQ14" i="8"/>
  <c r="AR14" i="8"/>
  <c r="AP15" i="8"/>
  <c r="AQ15" i="8"/>
  <c r="AR15" i="8"/>
  <c r="AP16" i="8"/>
  <c r="AQ16" i="8"/>
  <c r="AR16" i="8"/>
  <c r="BX14" i="8" l="1"/>
  <c r="BX10" i="8"/>
  <c r="BX15" i="8"/>
  <c r="BX16" i="8"/>
  <c r="BX13" i="8"/>
  <c r="BV11" i="8"/>
  <c r="F12" i="2" s="1"/>
  <c r="BY5" i="8"/>
  <c r="BY12" i="8"/>
  <c r="BY6" i="8"/>
  <c r="BY9" i="8"/>
  <c r="BY11" i="8"/>
  <c r="BY40" i="8"/>
  <c r="BE10" i="8"/>
  <c r="AS12" i="8"/>
  <c r="BV12" i="8"/>
  <c r="AS9" i="8"/>
  <c r="BV9" i="8"/>
  <c r="BE13" i="8"/>
  <c r="BE9" i="8"/>
  <c r="BE15" i="8"/>
  <c r="BE12" i="8"/>
  <c r="BE11" i="8"/>
  <c r="W11" i="8"/>
  <c r="BE14" i="8"/>
  <c r="W10" i="8"/>
  <c r="W12" i="8"/>
  <c r="AS16" i="8"/>
  <c r="AS11" i="8"/>
  <c r="W14" i="8"/>
  <c r="W9" i="8"/>
  <c r="BW15" i="8"/>
  <c r="BW6" i="8"/>
  <c r="BW14" i="8"/>
  <c r="BW10" i="8"/>
  <c r="BW8" i="8"/>
  <c r="BW4" i="8"/>
  <c r="BW16" i="8"/>
  <c r="BW13" i="8"/>
  <c r="BW7" i="8"/>
  <c r="AS13" i="8"/>
  <c r="W16" i="8"/>
  <c r="W13" i="8"/>
  <c r="AS10" i="8"/>
  <c r="BE16" i="8"/>
  <c r="W15" i="8"/>
  <c r="BS14" i="8"/>
  <c r="BS11" i="8"/>
  <c r="BS7" i="8"/>
  <c r="BS10" i="8"/>
  <c r="BS4" i="8"/>
  <c r="BS16" i="8"/>
  <c r="BS13" i="8"/>
  <c r="BS9" i="8"/>
  <c r="BS15" i="8"/>
  <c r="BS12" i="8"/>
  <c r="BS8" i="8"/>
  <c r="BS39" i="8"/>
  <c r="BS19" i="8"/>
  <c r="BW39" i="8"/>
  <c r="BW35" i="8"/>
  <c r="BW21" i="8"/>
  <c r="BY36" i="8"/>
  <c r="BS35" i="8"/>
  <c r="BS37" i="8"/>
  <c r="BS23" i="8"/>
  <c r="BS36" i="8"/>
  <c r="BS18" i="8"/>
  <c r="BS17" i="8"/>
  <c r="BW37" i="8"/>
  <c r="BW23" i="8"/>
  <c r="BW19" i="8"/>
  <c r="BY23" i="8"/>
  <c r="BY37" i="8"/>
  <c r="BS22" i="8"/>
  <c r="BS20" i="8"/>
  <c r="BW36" i="8"/>
  <c r="BW18" i="8"/>
  <c r="BW17" i="8"/>
  <c r="BY35" i="8"/>
  <c r="BY39" i="8"/>
  <c r="BS21" i="8"/>
  <c r="BW22" i="8"/>
  <c r="BW20" i="8"/>
  <c r="BY20" i="8"/>
  <c r="AS14" i="8"/>
  <c r="AS15" i="8"/>
  <c r="BZ16" i="8" l="1"/>
  <c r="H17" i="2" s="1"/>
  <c r="BZ15" i="8"/>
  <c r="H16" i="2" s="1"/>
  <c r="BZ10" i="8"/>
  <c r="H11" i="2" s="1"/>
  <c r="BZ13" i="8"/>
  <c r="H14" i="2" s="1"/>
  <c r="BZ14" i="8"/>
  <c r="H15" i="2" s="1"/>
  <c r="BW11" i="8"/>
  <c r="BY15" i="8"/>
  <c r="G16" i="2" s="1"/>
  <c r="BY13" i="8"/>
  <c r="G14" i="2" s="1"/>
  <c r="BY16" i="8"/>
  <c r="G17" i="2" s="1"/>
  <c r="BY14" i="8"/>
  <c r="G15" i="2" s="1"/>
  <c r="BY10" i="8"/>
  <c r="G11" i="2" s="1"/>
  <c r="BW12" i="8"/>
  <c r="F13" i="2" s="1"/>
  <c r="BW9" i="8"/>
  <c r="F10" i="2" s="1"/>
  <c r="BM20" i="8" l="1"/>
  <c r="BM35" i="8"/>
  <c r="BM36" i="8"/>
  <c r="BM37" i="8"/>
  <c r="BM39" i="8"/>
  <c r="BM40" i="8"/>
  <c r="T22" i="8" l="1"/>
  <c r="U22" i="8"/>
  <c r="V22" i="8"/>
  <c r="AP22" i="8"/>
  <c r="AQ22" i="8"/>
  <c r="AR22" i="8"/>
  <c r="BB22" i="8"/>
  <c r="BC22" i="8"/>
  <c r="BD22" i="8"/>
  <c r="BK22" i="8"/>
  <c r="BL22" i="8"/>
  <c r="T23" i="8"/>
  <c r="U23" i="8"/>
  <c r="V23" i="8"/>
  <c r="AP23" i="8"/>
  <c r="AQ23" i="8"/>
  <c r="AR23" i="8"/>
  <c r="BB23" i="8"/>
  <c r="BC23" i="8"/>
  <c r="BD23" i="8"/>
  <c r="BK23" i="8"/>
  <c r="BL23" i="8"/>
  <c r="T35" i="8"/>
  <c r="U35" i="8"/>
  <c r="V35" i="8"/>
  <c r="AP35" i="8"/>
  <c r="AQ35" i="8"/>
  <c r="AR35" i="8"/>
  <c r="BB35" i="8"/>
  <c r="BC35" i="8"/>
  <c r="BD35" i="8"/>
  <c r="BK35" i="8"/>
  <c r="BL35" i="8"/>
  <c r="T36" i="8"/>
  <c r="U36" i="8"/>
  <c r="V36" i="8"/>
  <c r="AP36" i="8"/>
  <c r="AQ36" i="8"/>
  <c r="AR36" i="8"/>
  <c r="BB36" i="8"/>
  <c r="BC36" i="8"/>
  <c r="BD36" i="8"/>
  <c r="BK36" i="8"/>
  <c r="BL36" i="8"/>
  <c r="T37" i="8"/>
  <c r="U37" i="8"/>
  <c r="V37" i="8"/>
  <c r="AP37" i="8"/>
  <c r="AQ37" i="8"/>
  <c r="AR37" i="8"/>
  <c r="BB37" i="8"/>
  <c r="BC37" i="8"/>
  <c r="BD37" i="8"/>
  <c r="BK37" i="8"/>
  <c r="BL37" i="8"/>
  <c r="T39" i="8"/>
  <c r="U39" i="8"/>
  <c r="V39" i="8"/>
  <c r="AP39" i="8"/>
  <c r="AQ39" i="8"/>
  <c r="AR39" i="8"/>
  <c r="BB39" i="8"/>
  <c r="BC39" i="8"/>
  <c r="BD39" i="8"/>
  <c r="BK39" i="8"/>
  <c r="BL39" i="8"/>
  <c r="T40" i="8"/>
  <c r="U40" i="8"/>
  <c r="V40" i="8"/>
  <c r="AP40" i="8"/>
  <c r="AQ40" i="8"/>
  <c r="AR40" i="8"/>
  <c r="BB40" i="8"/>
  <c r="BC40" i="8"/>
  <c r="BD40" i="8"/>
  <c r="BK40" i="8"/>
  <c r="BL40" i="8"/>
  <c r="D34" i="2" l="1"/>
  <c r="BM23" i="8"/>
  <c r="BX22" i="8"/>
  <c r="G27" i="2" s="1"/>
  <c r="BM22" i="8"/>
  <c r="W22" i="8"/>
  <c r="BE40" i="8"/>
  <c r="BE39" i="8"/>
  <c r="BE37" i="8"/>
  <c r="BE36" i="8"/>
  <c r="BE35" i="8"/>
  <c r="BE23" i="8"/>
  <c r="W40" i="8"/>
  <c r="W39" i="8"/>
  <c r="W37" i="8"/>
  <c r="W36" i="8"/>
  <c r="W35" i="8"/>
  <c r="W23" i="8"/>
  <c r="AS40" i="8"/>
  <c r="AS39" i="8"/>
  <c r="AS37" i="8"/>
  <c r="AS36" i="8"/>
  <c r="AS35" i="8"/>
  <c r="AS23" i="8"/>
  <c r="AS22" i="8"/>
  <c r="BE22" i="8"/>
  <c r="T18" i="8"/>
  <c r="U18" i="8"/>
  <c r="V18" i="8"/>
  <c r="AP18" i="8"/>
  <c r="AQ18" i="8"/>
  <c r="AR18" i="8"/>
  <c r="BB18" i="8"/>
  <c r="BC18" i="8"/>
  <c r="BD18" i="8"/>
  <c r="BK18" i="8"/>
  <c r="BL18" i="8"/>
  <c r="T19" i="8"/>
  <c r="U19" i="8"/>
  <c r="V19" i="8"/>
  <c r="AP19" i="8"/>
  <c r="AQ19" i="8"/>
  <c r="AR19" i="8"/>
  <c r="BB19" i="8"/>
  <c r="BC19" i="8"/>
  <c r="BD19" i="8"/>
  <c r="BK19" i="8"/>
  <c r="BL19" i="8"/>
  <c r="T20" i="8"/>
  <c r="U20" i="8"/>
  <c r="V20" i="8"/>
  <c r="AP20" i="8"/>
  <c r="AQ20" i="8"/>
  <c r="AR20" i="8"/>
  <c r="BB20" i="8"/>
  <c r="BC20" i="8"/>
  <c r="BD20" i="8"/>
  <c r="BK20" i="8"/>
  <c r="BL20" i="8"/>
  <c r="T21" i="8"/>
  <c r="U21" i="8"/>
  <c r="V21" i="8"/>
  <c r="AP21" i="8"/>
  <c r="AQ21" i="8"/>
  <c r="AR21" i="8"/>
  <c r="BB21" i="8"/>
  <c r="BC21" i="8"/>
  <c r="BD21" i="8"/>
  <c r="BX21" i="8" s="1"/>
  <c r="BK21" i="8"/>
  <c r="BL21" i="8"/>
  <c r="BK10" i="8"/>
  <c r="BL10" i="8"/>
  <c r="BK11" i="8"/>
  <c r="BL11" i="8"/>
  <c r="BK12" i="8"/>
  <c r="BL12" i="8"/>
  <c r="BK13" i="8"/>
  <c r="BL13" i="8"/>
  <c r="BK14" i="8"/>
  <c r="BL14" i="8"/>
  <c r="BK15" i="8"/>
  <c r="BL15" i="8"/>
  <c r="BK16" i="8"/>
  <c r="BL16" i="8"/>
  <c r="T17" i="8"/>
  <c r="U17" i="8"/>
  <c r="V17" i="8"/>
  <c r="AP17" i="8"/>
  <c r="AQ17" i="8"/>
  <c r="AR17" i="8"/>
  <c r="BB17" i="8"/>
  <c r="BC17" i="8"/>
  <c r="BD17" i="8"/>
  <c r="BK17" i="8"/>
  <c r="BL17" i="8"/>
  <c r="T4" i="8"/>
  <c r="U4" i="8"/>
  <c r="V4" i="8"/>
  <c r="AP4" i="8"/>
  <c r="AQ4" i="8"/>
  <c r="AR4" i="8"/>
  <c r="BB4" i="8"/>
  <c r="BC4" i="8"/>
  <c r="BD4" i="8"/>
  <c r="BK4" i="8"/>
  <c r="BL4" i="8"/>
  <c r="T5" i="8"/>
  <c r="U5" i="8"/>
  <c r="V5" i="8"/>
  <c r="AP5" i="8"/>
  <c r="AQ5" i="8"/>
  <c r="AR5" i="8"/>
  <c r="BB5" i="8"/>
  <c r="BC5" i="8"/>
  <c r="BD5" i="8"/>
  <c r="BK5" i="8"/>
  <c r="BL5" i="8"/>
  <c r="T6" i="8"/>
  <c r="U6" i="8"/>
  <c r="V6" i="8"/>
  <c r="BR6" i="8" s="1"/>
  <c r="AP6" i="8"/>
  <c r="AQ6" i="8"/>
  <c r="AR6" i="8"/>
  <c r="BB6" i="8"/>
  <c r="BC6" i="8"/>
  <c r="BD6" i="8"/>
  <c r="BK6" i="8"/>
  <c r="BL6" i="8"/>
  <c r="T7" i="8"/>
  <c r="U7" i="8"/>
  <c r="V7" i="8"/>
  <c r="AP7" i="8"/>
  <c r="AQ7" i="8"/>
  <c r="AR7" i="8"/>
  <c r="BB7" i="8"/>
  <c r="BC7" i="8"/>
  <c r="BD7" i="8"/>
  <c r="BK7" i="8"/>
  <c r="BL7" i="8"/>
  <c r="T8" i="8"/>
  <c r="U8" i="8"/>
  <c r="V8" i="8"/>
  <c r="AP8" i="8"/>
  <c r="AQ8" i="8"/>
  <c r="AR8" i="8"/>
  <c r="BB8" i="8"/>
  <c r="BC8" i="8"/>
  <c r="BD8" i="8"/>
  <c r="BK8" i="8"/>
  <c r="BL8" i="8"/>
  <c r="BK9" i="8"/>
  <c r="BL9" i="8"/>
  <c r="T3" i="8"/>
  <c r="BD3" i="8"/>
  <c r="BC3" i="8"/>
  <c r="BB3" i="8"/>
  <c r="AR3" i="8"/>
  <c r="AQ3" i="8"/>
  <c r="AP3" i="8"/>
  <c r="G24" i="2" l="1"/>
  <c r="G23" i="2"/>
  <c r="G26" i="2"/>
  <c r="G25" i="2"/>
  <c r="D29" i="2"/>
  <c r="BZ21" i="8"/>
  <c r="BY21" i="8"/>
  <c r="BZ22" i="8"/>
  <c r="H27" i="2" s="1"/>
  <c r="BY22" i="8"/>
  <c r="BM21" i="8"/>
  <c r="BR5" i="8"/>
  <c r="BX7" i="8"/>
  <c r="G8" i="2" s="1"/>
  <c r="BX17" i="8"/>
  <c r="BX18" i="8"/>
  <c r="BX19" i="8"/>
  <c r="G22" i="2" s="1"/>
  <c r="BX3" i="8"/>
  <c r="G4" i="2" s="1"/>
  <c r="BX8" i="8"/>
  <c r="BX4" i="8"/>
  <c r="G5" i="2" s="1"/>
  <c r="BM19" i="8"/>
  <c r="BM18" i="8"/>
  <c r="BM11" i="8"/>
  <c r="BP40" i="8"/>
  <c r="BV5" i="8"/>
  <c r="F6" i="2" s="1"/>
  <c r="BW3" i="8"/>
  <c r="BP23" i="8"/>
  <c r="BP37" i="8"/>
  <c r="BP22" i="8"/>
  <c r="BS6" i="8"/>
  <c r="D7" i="2" s="1"/>
  <c r="BM17" i="8"/>
  <c r="BM9" i="8"/>
  <c r="BM16" i="8"/>
  <c r="BM13" i="8"/>
  <c r="BM15" i="8"/>
  <c r="BM10" i="8"/>
  <c r="BM12" i="8"/>
  <c r="BM14" i="8"/>
  <c r="BM8" i="8"/>
  <c r="BM7" i="8"/>
  <c r="BM6" i="8"/>
  <c r="BM5" i="8"/>
  <c r="BM4" i="8"/>
  <c r="W4" i="8"/>
  <c r="W7" i="8"/>
  <c r="W5" i="8"/>
  <c r="BP36" i="8"/>
  <c r="W6" i="8"/>
  <c r="BP35" i="8"/>
  <c r="BP39" i="8"/>
  <c r="BE7" i="8"/>
  <c r="AS17" i="8"/>
  <c r="AS21" i="8"/>
  <c r="AS20" i="8"/>
  <c r="AS19" i="8"/>
  <c r="AS18" i="8"/>
  <c r="BE17" i="8"/>
  <c r="BE21" i="8"/>
  <c r="BE20" i="8"/>
  <c r="BE19" i="8"/>
  <c r="BE18" i="8"/>
  <c r="W17" i="8"/>
  <c r="W21" i="8"/>
  <c r="W20" i="8"/>
  <c r="W19" i="8"/>
  <c r="W18" i="8"/>
  <c r="AS3" i="8"/>
  <c r="BE3" i="8"/>
  <c r="BE8" i="8"/>
  <c r="AS5" i="8"/>
  <c r="BE4" i="8"/>
  <c r="BE5" i="8"/>
  <c r="BE6" i="8"/>
  <c r="AS6" i="8"/>
  <c r="AS7" i="8"/>
  <c r="AS8" i="8"/>
  <c r="AS4" i="8"/>
  <c r="W8" i="8"/>
  <c r="H24" i="2" l="1"/>
  <c r="H23" i="2"/>
  <c r="H26" i="2"/>
  <c r="H25" i="2"/>
  <c r="BZ7" i="8"/>
  <c r="H8" i="2" s="1"/>
  <c r="BZ19" i="8"/>
  <c r="H22" i="2" s="1"/>
  <c r="BZ4" i="8"/>
  <c r="H5" i="2" s="1"/>
  <c r="BZ18" i="8"/>
  <c r="BZ8" i="8"/>
  <c r="H9" i="2" s="1"/>
  <c r="BZ17" i="8"/>
  <c r="H18" i="2" s="1"/>
  <c r="BW5" i="8"/>
  <c r="BS5" i="8"/>
  <c r="D6" i="2" s="1"/>
  <c r="BZ3" i="8"/>
  <c r="H4" i="2" s="1"/>
  <c r="BY19" i="8"/>
  <c r="BY18" i="8"/>
  <c r="G21" i="2" s="1"/>
  <c r="BY3" i="8"/>
  <c r="BY8" i="8"/>
  <c r="G9" i="2" s="1"/>
  <c r="BP21" i="8"/>
  <c r="BY17" i="8"/>
  <c r="G18" i="2" s="1"/>
  <c r="BY4" i="8"/>
  <c r="BY7" i="8"/>
  <c r="BP15" i="8"/>
  <c r="BP12" i="8"/>
  <c r="BP18" i="8"/>
  <c r="BP19" i="8"/>
  <c r="BP8" i="8"/>
  <c r="BP16" i="8"/>
  <c r="BP20" i="8"/>
  <c r="BP17" i="8"/>
  <c r="BP10" i="8"/>
  <c r="BP11" i="8"/>
  <c r="BP14" i="8"/>
  <c r="BP13" i="8"/>
  <c r="BP4" i="8"/>
  <c r="BP5" i="8"/>
  <c r="BP9" i="8"/>
  <c r="BP7" i="8"/>
  <c r="BP6" i="8"/>
  <c r="H20" i="2" l="1"/>
  <c r="H19" i="2"/>
  <c r="G19" i="2"/>
  <c r="G20" i="2"/>
  <c r="H21" i="2"/>
  <c r="U3" i="8"/>
  <c r="V3" i="8"/>
  <c r="W3" i="8" l="1"/>
  <c r="BL3" i="8"/>
  <c r="BK3" i="8"/>
  <c r="BS3" i="8" l="1"/>
  <c r="BM3" i="8"/>
  <c r="BP3" i="8" l="1"/>
</calcChain>
</file>

<file path=xl/comments1.xml><?xml version="1.0" encoding="utf-8"?>
<comments xmlns="http://schemas.openxmlformats.org/spreadsheetml/2006/main">
  <authors>
    <author>veronicasenior</author>
  </authors>
  <commentList>
    <comment ref="D2" authorId="0">
      <text>
        <r>
          <rPr>
            <b/>
            <sz val="9"/>
            <color indexed="81"/>
            <rFont val="Tahoma"/>
            <family val="2"/>
          </rPr>
          <t>veronicasenior:</t>
        </r>
        <r>
          <rPr>
            <sz val="9"/>
            <color indexed="81"/>
            <rFont val="Tahoma"/>
            <family val="2"/>
          </rPr>
          <t xml:space="preserve">
Choose from drop down menu</t>
        </r>
      </text>
    </comment>
    <comment ref="E2" authorId="0">
      <text>
        <r>
          <rPr>
            <b/>
            <sz val="9"/>
            <color indexed="81"/>
            <rFont val="Tahoma"/>
            <family val="2"/>
          </rPr>
          <t>veronicasenior:</t>
        </r>
        <r>
          <rPr>
            <sz val="9"/>
            <color indexed="81"/>
            <rFont val="Tahoma"/>
            <family val="2"/>
          </rPr>
          <t xml:space="preserve">
Choose from drop down menu</t>
        </r>
      </text>
    </comment>
    <comment ref="G2" authorId="0">
      <text>
        <r>
          <rPr>
            <b/>
            <sz val="9"/>
            <color indexed="81"/>
            <rFont val="Tahoma"/>
            <family val="2"/>
          </rPr>
          <t>veronicasenior:</t>
        </r>
        <r>
          <rPr>
            <sz val="9"/>
            <color indexed="81"/>
            <rFont val="Tahoma"/>
            <family val="2"/>
          </rPr>
          <t xml:space="preserve">
Insert from drop down menu</t>
        </r>
      </text>
    </comment>
  </commentList>
</comments>
</file>

<file path=xl/comments2.xml><?xml version="1.0" encoding="utf-8"?>
<comments xmlns="http://schemas.openxmlformats.org/spreadsheetml/2006/main">
  <authors>
    <author>veronicasenior</author>
  </authors>
  <commentList>
    <comment ref="D2" authorId="0">
      <text>
        <r>
          <rPr>
            <b/>
            <sz val="9"/>
            <color indexed="81"/>
            <rFont val="Tahoma"/>
            <family val="2"/>
          </rPr>
          <t>veronicasenior:</t>
        </r>
        <r>
          <rPr>
            <sz val="9"/>
            <color indexed="81"/>
            <rFont val="Tahoma"/>
            <family val="2"/>
          </rPr>
          <t xml:space="preserve">
Choose from drop down menu</t>
        </r>
      </text>
    </comment>
    <comment ref="E2" authorId="0">
      <text>
        <r>
          <rPr>
            <b/>
            <sz val="9"/>
            <color indexed="81"/>
            <rFont val="Tahoma"/>
            <family val="2"/>
          </rPr>
          <t>veronicasenior:</t>
        </r>
        <r>
          <rPr>
            <sz val="9"/>
            <color indexed="81"/>
            <rFont val="Tahoma"/>
            <family val="2"/>
          </rPr>
          <t xml:space="preserve">
Choose from drop down menu</t>
        </r>
      </text>
    </comment>
    <comment ref="G2" authorId="0">
      <text>
        <r>
          <rPr>
            <b/>
            <sz val="9"/>
            <color indexed="81"/>
            <rFont val="Tahoma"/>
            <family val="2"/>
          </rPr>
          <t>veronicasenior:</t>
        </r>
        <r>
          <rPr>
            <sz val="9"/>
            <color indexed="81"/>
            <rFont val="Tahoma"/>
            <family val="2"/>
          </rPr>
          <t xml:space="preserve">
Insert from drop down menu</t>
        </r>
      </text>
    </comment>
  </commentList>
</comments>
</file>

<file path=xl/comments3.xml><?xml version="1.0" encoding="utf-8"?>
<comments xmlns="http://schemas.openxmlformats.org/spreadsheetml/2006/main">
  <authors>
    <author>veronicasenior</author>
  </authors>
  <commentList>
    <comment ref="D2" authorId="0">
      <text>
        <r>
          <rPr>
            <b/>
            <sz val="9"/>
            <color indexed="81"/>
            <rFont val="Tahoma"/>
            <family val="2"/>
          </rPr>
          <t>veronicasenior:</t>
        </r>
        <r>
          <rPr>
            <sz val="9"/>
            <color indexed="81"/>
            <rFont val="Tahoma"/>
            <family val="2"/>
          </rPr>
          <t xml:space="preserve">
Choose from drop down menu</t>
        </r>
      </text>
    </comment>
    <comment ref="E2" authorId="0">
      <text>
        <r>
          <rPr>
            <b/>
            <sz val="9"/>
            <color indexed="81"/>
            <rFont val="Tahoma"/>
            <family val="2"/>
          </rPr>
          <t>veronicasenior:</t>
        </r>
        <r>
          <rPr>
            <sz val="9"/>
            <color indexed="81"/>
            <rFont val="Tahoma"/>
            <family val="2"/>
          </rPr>
          <t xml:space="preserve">
Choose from drop down menu</t>
        </r>
      </text>
    </comment>
    <comment ref="G2" authorId="0">
      <text>
        <r>
          <rPr>
            <b/>
            <sz val="9"/>
            <color indexed="81"/>
            <rFont val="Tahoma"/>
            <family val="2"/>
          </rPr>
          <t>veronicasenior:</t>
        </r>
        <r>
          <rPr>
            <sz val="9"/>
            <color indexed="81"/>
            <rFont val="Tahoma"/>
            <family val="2"/>
          </rPr>
          <t xml:space="preserve">
Insert from drop down menu</t>
        </r>
      </text>
    </comment>
  </commentList>
</comments>
</file>

<file path=xl/comments4.xml><?xml version="1.0" encoding="utf-8"?>
<comments xmlns="http://schemas.openxmlformats.org/spreadsheetml/2006/main">
  <authors>
    <author>Dom Moorhouse</author>
    <author>EdwardClancy</author>
  </authors>
  <commentList>
    <comment ref="C2" authorId="0">
      <text>
        <r>
          <rPr>
            <sz val="12"/>
            <color indexed="8"/>
            <rFont val="Tahoma"/>
            <family val="2"/>
          </rPr>
          <t>Describe the change being requested including analysis of impact.</t>
        </r>
      </text>
    </comment>
    <comment ref="D2" authorId="1">
      <text>
        <r>
          <rPr>
            <b/>
            <sz val="8"/>
            <color indexed="8"/>
            <rFont val="Tahoma"/>
            <family val="2"/>
          </rPr>
          <t>EdwardClancy:</t>
        </r>
        <r>
          <rPr>
            <sz val="8"/>
            <color indexed="8"/>
            <rFont val="Tahoma"/>
            <family val="2"/>
          </rPr>
          <t xml:space="preserve">
Quantify the Impact of the change</t>
        </r>
      </text>
    </comment>
    <comment ref="F2" authorId="0">
      <text>
        <r>
          <rPr>
            <sz val="12"/>
            <color indexed="8"/>
            <rFont val="Tahoma"/>
            <family val="2"/>
          </rPr>
          <t>Identify the person submitting the change request.</t>
        </r>
      </text>
    </comment>
    <comment ref="G2" authorId="0">
      <text>
        <r>
          <rPr>
            <sz val="12"/>
            <color indexed="8"/>
            <rFont val="Tahoma"/>
            <family val="2"/>
          </rPr>
          <t>Enter the date the change request was submitted.</t>
        </r>
      </text>
    </comment>
    <comment ref="I2" authorId="0">
      <text>
        <r>
          <rPr>
            <sz val="12"/>
            <color indexed="8"/>
            <rFont val="Tahoma"/>
            <family val="2"/>
          </rPr>
          <t xml:space="preserve">Use this field to provide running commentary with regards approval. Prefix with Date and Initials of author e.g. 
'12/08/04; DM - Approval given'
</t>
        </r>
      </text>
    </comment>
  </commentList>
</comments>
</file>

<file path=xl/sharedStrings.xml><?xml version="1.0" encoding="utf-8"?>
<sst xmlns="http://schemas.openxmlformats.org/spreadsheetml/2006/main" count="2420" uniqueCount="673">
  <si>
    <t>Forecast Completion</t>
  </si>
  <si>
    <t>Baseline Completion</t>
  </si>
  <si>
    <t>Stage Gate 5 Completion</t>
  </si>
  <si>
    <t>RAG Status</t>
  </si>
  <si>
    <t>Stage Gate 4 Completion</t>
  </si>
  <si>
    <t>Construction Stage Gate 5</t>
  </si>
  <si>
    <t>Feasibility Stage Gate 2</t>
  </si>
  <si>
    <t>Project Finance</t>
  </si>
  <si>
    <t>Projct ID</t>
  </si>
  <si>
    <t>WBS Element</t>
  </si>
  <si>
    <t>Project Name</t>
  </si>
  <si>
    <t xml:space="preserve">Project Detail </t>
  </si>
  <si>
    <t>Designer</t>
  </si>
  <si>
    <t>Contractor</t>
  </si>
  <si>
    <t>Project Comments</t>
  </si>
  <si>
    <t>Risk &amp; Issues:</t>
  </si>
  <si>
    <t>Current Comments</t>
  </si>
  <si>
    <t xml:space="preserve">Project Overall RAG Status </t>
  </si>
  <si>
    <t>Building</t>
  </si>
  <si>
    <t>Project Sponsor</t>
  </si>
  <si>
    <t>Project Manager</t>
  </si>
  <si>
    <t>Stakeholder Comments</t>
  </si>
  <si>
    <t>Baseline Start</t>
  </si>
  <si>
    <t>Actual Start</t>
  </si>
  <si>
    <t>Actual Completion</t>
  </si>
  <si>
    <t>Approved Budget</t>
  </si>
  <si>
    <t>Overall RAG</t>
  </si>
  <si>
    <t>Project</t>
  </si>
  <si>
    <t>G</t>
  </si>
  <si>
    <t>Finance</t>
  </si>
  <si>
    <t>A</t>
  </si>
  <si>
    <t>Project 1</t>
  </si>
  <si>
    <t>AGGG</t>
  </si>
  <si>
    <t>AAGG</t>
  </si>
  <si>
    <t>AAAG</t>
  </si>
  <si>
    <t>AAAA</t>
  </si>
  <si>
    <t>GAGG</t>
  </si>
  <si>
    <t>GGAG</t>
  </si>
  <si>
    <t>GGGA</t>
  </si>
  <si>
    <t>AGAG</t>
  </si>
  <si>
    <t>AGGA</t>
  </si>
  <si>
    <t>GAGA</t>
  </si>
  <si>
    <t>GAAG</t>
  </si>
  <si>
    <t>GGAA</t>
  </si>
  <si>
    <t>AAGA</t>
  </si>
  <si>
    <t>AGAA</t>
  </si>
  <si>
    <t>GAAA</t>
  </si>
  <si>
    <t>GGGG</t>
  </si>
  <si>
    <t>GG</t>
  </si>
  <si>
    <t>GGG</t>
  </si>
  <si>
    <t>AA</t>
  </si>
  <si>
    <t>AAA</t>
  </si>
  <si>
    <t>GA</t>
  </si>
  <si>
    <t>AG</t>
  </si>
  <si>
    <t>GAA</t>
  </si>
  <si>
    <t>GGA</t>
  </si>
  <si>
    <t>AGG</t>
  </si>
  <si>
    <t>AAG</t>
  </si>
  <si>
    <t>AGA</t>
  </si>
  <si>
    <t>Select Project:</t>
  </si>
  <si>
    <t>15 Penton Street, N1 9PU</t>
  </si>
  <si>
    <t>7 Beaumont Avenue, W14 9UY</t>
  </si>
  <si>
    <t>200 Baker Street, NW1 5RZ</t>
  </si>
  <si>
    <t>31 Borough High Street, SE1 9AW</t>
  </si>
  <si>
    <t>19 Naval Row, Poplar, E14 9RY</t>
  </si>
  <si>
    <t>210/212 Baker Street, NW1 5RT</t>
  </si>
  <si>
    <t>216 Baker Street, NW1 5RT</t>
  </si>
  <si>
    <t>15-17Allsop Place, NW1 5LJ</t>
  </si>
  <si>
    <t>13 Allsop Place. NW1 5LJ</t>
  </si>
  <si>
    <t>13 Allsop Place, NW1 5LJ</t>
  </si>
  <si>
    <t>Aldgate Station, EC3N 1AH</t>
  </si>
  <si>
    <t>280 Marylebone Road, NW1 5RJ</t>
  </si>
  <si>
    <t>8 Chancel Street, SE1 0UX</t>
  </si>
  <si>
    <t>245 Oxford Street, W1D 2LS</t>
  </si>
  <si>
    <t>313 Kilburn Lane, W9 3EG</t>
  </si>
  <si>
    <t>70 Old Broad Street, EC2M 1QT</t>
  </si>
  <si>
    <t>63-81 Pelham Street, SW7 2NJ</t>
  </si>
  <si>
    <t>Greycoat Place, SW1P 1BL</t>
  </si>
  <si>
    <t>Unit 2, Victoria Industrial Estate,</t>
  </si>
  <si>
    <t>Vandon Street, SW1</t>
  </si>
  <si>
    <t>237-239 Oxford Street, W1R 1AB</t>
  </si>
  <si>
    <t>75 Davies Street, Westminster, W1K 5JN</t>
  </si>
  <si>
    <t>172 Buckingham Palace Road</t>
  </si>
  <si>
    <t>200 Buckingham Palace Road</t>
  </si>
  <si>
    <t xml:space="preserve">
Penton Street (NW1)</t>
  </si>
  <si>
    <t xml:space="preserve">
Baker Street, 210-212 (NW1)</t>
  </si>
  <si>
    <t xml:space="preserve">
Allsop Place, 13 (NW1)</t>
  </si>
  <si>
    <t xml:space="preserve">
Griffith House (NW1)</t>
  </si>
  <si>
    <t>Victoria Station House</t>
  </si>
  <si>
    <t xml:space="preserve">
172 Buckingham Palace Road</t>
  </si>
  <si>
    <t xml:space="preserve">
200 Buckingham Palace Road</t>
  </si>
  <si>
    <t xml:space="preserve">
Multi Sites</t>
  </si>
  <si>
    <t xml:space="preserve">
Palestra</t>
  </si>
  <si>
    <t xml:space="preserve">
Templar House</t>
  </si>
  <si>
    <t xml:space="preserve">
Victoria Station House</t>
  </si>
  <si>
    <t>Albany House</t>
  </si>
  <si>
    <t xml:space="preserve">
Albany House</t>
  </si>
  <si>
    <t>Paul Doyle</t>
  </si>
  <si>
    <t>Esther Sharples</t>
  </si>
  <si>
    <t>Simona Kuhl</t>
  </si>
  <si>
    <t>Christine Peppiatt</t>
  </si>
  <si>
    <t>John Murphy</t>
  </si>
  <si>
    <t>Helena Healy</t>
  </si>
  <si>
    <t>Alan Crossan</t>
  </si>
  <si>
    <t>Tony Hunter</t>
  </si>
  <si>
    <t>Martin Smith</t>
  </si>
  <si>
    <t>Laurie Morely</t>
  </si>
  <si>
    <t>Andrew Jefferies</t>
  </si>
  <si>
    <t>Jerry Young</t>
  </si>
  <si>
    <t>Martina Perkins</t>
  </si>
  <si>
    <t>Karl Mitchell</t>
  </si>
  <si>
    <t>Initial Budget</t>
  </si>
  <si>
    <t xml:space="preserve">EFC Forecast </t>
  </si>
  <si>
    <t>Stage Gate 2 Completion</t>
  </si>
  <si>
    <t>Status and Comments</t>
  </si>
  <si>
    <t>PCP/16/020</t>
  </si>
  <si>
    <t>RX04F.033.307.01</t>
  </si>
  <si>
    <t>Consultant</t>
  </si>
  <si>
    <t>Stage Gate 2 Status</t>
  </si>
  <si>
    <t>Stage Gate 5 Status</t>
  </si>
  <si>
    <t>Overrun?</t>
  </si>
  <si>
    <t>PCP/12/033</t>
  </si>
  <si>
    <t>RX04F.014.2007.708.02</t>
  </si>
  <si>
    <t>Albany House - Plant Optimisation</t>
  </si>
  <si>
    <t>PCP/15/003</t>
  </si>
  <si>
    <t>RX04F.014.2007.903.01</t>
  </si>
  <si>
    <t>Victoria Station House Fire Doors</t>
  </si>
  <si>
    <t>JNG Ltd</t>
  </si>
  <si>
    <t>PCP/15/006</t>
  </si>
  <si>
    <t>RX04F.014.2007.903.03</t>
  </si>
  <si>
    <t>Baker Street Complex - Fire Compliance - Fire Alarms no MICC</t>
  </si>
  <si>
    <t>BBC</t>
  </si>
  <si>
    <t>BTU</t>
  </si>
  <si>
    <t>Building Facades Risk Assessments (7 Building)</t>
  </si>
  <si>
    <t>PCP/16/007</t>
  </si>
  <si>
    <t>RX04F.033.303.02</t>
  </si>
  <si>
    <t>200 BPR Toilet Refurbishment</t>
  </si>
  <si>
    <t>CBRE</t>
  </si>
  <si>
    <t>PCP/15/007</t>
  </si>
  <si>
    <t>RX04F.033.201.05/06</t>
  </si>
  <si>
    <t>172 BPR &amp; Windsor House Chiller Remedial</t>
  </si>
  <si>
    <t>PCP/15/009</t>
  </si>
  <si>
    <t>RX04F.033.201.07</t>
  </si>
  <si>
    <t>Basement Leak Detection and Sump Pump</t>
  </si>
  <si>
    <t>PCP/16/006</t>
  </si>
  <si>
    <t>RX04.033.303.04</t>
  </si>
  <si>
    <t>Toilet Flushing Upgrade</t>
  </si>
  <si>
    <t>AECOM</t>
  </si>
  <si>
    <t>PRS</t>
  </si>
  <si>
    <t>Cundalls</t>
  </si>
  <si>
    <t>PCP/16/016</t>
  </si>
  <si>
    <t>RX04F.033.301.01</t>
  </si>
  <si>
    <t>Templar House Boiler Replacement</t>
  </si>
  <si>
    <t>PCP/16/018</t>
  </si>
  <si>
    <t>RX04F.033.303.08</t>
  </si>
  <si>
    <t>VSH Roof and Facades Repairs</t>
  </si>
  <si>
    <t>PCP/16/019</t>
  </si>
  <si>
    <t>172 BPR LV Infrastructure Upgrade</t>
  </si>
  <si>
    <t>FACOPS/16/001</t>
  </si>
  <si>
    <t>RX04F.033.302.02</t>
  </si>
  <si>
    <t>172 BPR 5th Floor Power</t>
  </si>
  <si>
    <t>PCP/16/022</t>
  </si>
  <si>
    <t>Penton Street Upper Roof</t>
  </si>
  <si>
    <t>Vinci FM</t>
  </si>
  <si>
    <t>John Cobbs</t>
  </si>
  <si>
    <t>Powersys</t>
  </si>
  <si>
    <t>Frankhams</t>
  </si>
  <si>
    <t>CC10284</t>
  </si>
  <si>
    <t>200 BPR New Kitchens 4th,5th and 6th Floors</t>
  </si>
  <si>
    <t>Oaklands</t>
  </si>
  <si>
    <t>Baqus</t>
  </si>
  <si>
    <t>RX04F.029.037</t>
  </si>
  <si>
    <t>13 Allsop Place Refurbishment ex-police cells to make new into lockers</t>
  </si>
  <si>
    <t>Fusion</t>
  </si>
  <si>
    <t>OCR/16/001</t>
  </si>
  <si>
    <t>IO2147462</t>
  </si>
  <si>
    <t>Uniform Store relocation to Penton Street</t>
  </si>
  <si>
    <t>Veronica Senior</t>
  </si>
  <si>
    <t>Nicky Mahood</t>
  </si>
  <si>
    <t>Amanda Morrison</t>
  </si>
  <si>
    <t>LSTOC Accommodation Workstream</t>
  </si>
  <si>
    <t>PRS, Furness Green, Sandy Brown</t>
  </si>
  <si>
    <t>London Fit Out</t>
  </si>
  <si>
    <t>Rech/15/ACR10556-10722</t>
  </si>
  <si>
    <t>Removal of existing partitions to form new larger open plan office for Commercial Strategy &amp; Performance team 17th Floor</t>
  </si>
  <si>
    <t>Design Stage Gate 4</t>
  </si>
  <si>
    <t>Design Stage Gate 3</t>
  </si>
  <si>
    <t>Stage Gate 4 Status</t>
  </si>
  <si>
    <t>Stage Gate 3 Status</t>
  </si>
  <si>
    <r>
      <t xml:space="preserve">Stage 2
</t>
    </r>
    <r>
      <rPr>
        <b/>
        <sz val="10"/>
        <color theme="3" tint="0.39997558519241921"/>
        <rFont val="Calibri"/>
        <scheme val="minor"/>
      </rPr>
      <t>Feasibility</t>
    </r>
  </si>
  <si>
    <r>
      <t xml:space="preserve">Stage 5
</t>
    </r>
    <r>
      <rPr>
        <b/>
        <sz val="10"/>
        <color theme="3" tint="0.39997558519241921"/>
        <rFont val="Calibri"/>
        <scheme val="minor"/>
      </rPr>
      <t>Delivery</t>
    </r>
  </si>
  <si>
    <r>
      <t xml:space="preserve">Stage 3
</t>
    </r>
    <r>
      <rPr>
        <b/>
        <sz val="10"/>
        <color theme="3" tint="0.39997558519241921"/>
        <rFont val="Calibri"/>
        <scheme val="minor"/>
      </rPr>
      <t>Concept Design</t>
    </r>
  </si>
  <si>
    <r>
      <t xml:space="preserve">Stage 4
</t>
    </r>
    <r>
      <rPr>
        <b/>
        <sz val="10"/>
        <color theme="3" tint="0.39997558519241921"/>
        <rFont val="Calibri"/>
        <scheme val="minor"/>
      </rPr>
      <t>Detailed Design</t>
    </r>
  </si>
  <si>
    <t>Calculations</t>
  </si>
  <si>
    <t>Project Details</t>
  </si>
  <si>
    <t>Project ID</t>
  </si>
  <si>
    <t>Project Stage</t>
  </si>
  <si>
    <t>PM</t>
  </si>
  <si>
    <t>Costs Incurred</t>
  </si>
  <si>
    <t>To Occur</t>
  </si>
  <si>
    <t>Total</t>
  </si>
  <si>
    <t>Commercial</t>
  </si>
  <si>
    <t>RX04F.033.109.05</t>
  </si>
  <si>
    <t>Procurement Support</t>
  </si>
  <si>
    <t xml:space="preserve">Multisite </t>
  </si>
  <si>
    <t>VS</t>
  </si>
  <si>
    <t>Project Management</t>
  </si>
  <si>
    <t>RX04F.014.2007.709.04</t>
  </si>
  <si>
    <t>Health &amp; Safety</t>
  </si>
  <si>
    <t>RX04F.033.309.01</t>
  </si>
  <si>
    <t>5 - Delivery</t>
  </si>
  <si>
    <t>JY</t>
  </si>
  <si>
    <t>PCP/14/007</t>
  </si>
  <si>
    <t>RX04F.033.207.03</t>
  </si>
  <si>
    <t>Multisite - Fire compartmentation work</t>
  </si>
  <si>
    <t>6 - Project Close</t>
  </si>
  <si>
    <t>JM</t>
  </si>
  <si>
    <t>Victoria Station House-Fire Doors</t>
  </si>
  <si>
    <t>JC</t>
  </si>
  <si>
    <t>Baker Street Complex-Fire Alarm Phase 2</t>
  </si>
  <si>
    <t>Baker Street</t>
  </si>
  <si>
    <t>RX04F.033.201.05</t>
  </si>
  <si>
    <t>Windsor House Chiller Remedials</t>
  </si>
  <si>
    <t>4 - Detailed Design</t>
  </si>
  <si>
    <t>Windsor House/172 BPR</t>
  </si>
  <si>
    <t>Palestra</t>
  </si>
  <si>
    <t>PCP/15/014</t>
  </si>
  <si>
    <t>RX04F.014.2007.903.04</t>
  </si>
  <si>
    <t>Victoria Station House - Redecoration</t>
  </si>
  <si>
    <t>RX04F.033.303.04</t>
  </si>
  <si>
    <t>3 - Concept Design</t>
  </si>
  <si>
    <t>200 BPR</t>
  </si>
  <si>
    <t>HH</t>
  </si>
  <si>
    <t>PCP/16/010</t>
  </si>
  <si>
    <t>RX04F.033.303.03</t>
  </si>
  <si>
    <t>Griffith House Redecs</t>
  </si>
  <si>
    <t>Griffith House</t>
  </si>
  <si>
    <t xml:space="preserve">Templar House - Boiler Replacement </t>
  </si>
  <si>
    <t>Templar House</t>
  </si>
  <si>
    <t>VSH Roof and Facade Repair</t>
  </si>
  <si>
    <t>MS</t>
  </si>
  <si>
    <t>RX04F.033.302.06</t>
  </si>
  <si>
    <t>172 BPR</t>
  </si>
  <si>
    <t>LM</t>
  </si>
  <si>
    <t>Building Facade Risk Assessment</t>
  </si>
  <si>
    <t>2 - Feasibility</t>
  </si>
  <si>
    <t>Multisite</t>
  </si>
  <si>
    <t>FacOps/16/001</t>
  </si>
  <si>
    <t>172 BPR  5th Floor Power</t>
  </si>
  <si>
    <t>RX04F.033.305.02</t>
  </si>
  <si>
    <t>Penton Street</t>
  </si>
  <si>
    <t>PCP/16/023</t>
  </si>
  <si>
    <t>RX04F.033.307.03</t>
  </si>
  <si>
    <t>PA/VA</t>
  </si>
  <si>
    <t>Broadway</t>
  </si>
  <si>
    <t>PCP/16/017</t>
  </si>
  <si>
    <t>RX04F.033.302.01</t>
  </si>
  <si>
    <t>Palestra-Power Resilience</t>
  </si>
  <si>
    <t>AJ</t>
  </si>
  <si>
    <t>YTD</t>
  </si>
  <si>
    <t>Stage Gate 3 Completion</t>
  </si>
  <si>
    <t>Reason for Change</t>
  </si>
  <si>
    <t>Facilities Operations</t>
  </si>
  <si>
    <t>Days Until Stage 5 Completion</t>
  </si>
  <si>
    <t>John Cousins</t>
  </si>
  <si>
    <t>Competent Principal Designer</t>
  </si>
  <si>
    <t>Competent Principal Contractor</t>
  </si>
  <si>
    <t>F10 Notifications and Renotifications</t>
  </si>
  <si>
    <t>Written Principal Designer Appointment</t>
  </si>
  <si>
    <t>Written Principal Contractor Appointment</t>
  </si>
  <si>
    <t>Designer General Principals of Prevention</t>
  </si>
  <si>
    <t>Preconstruction Information</t>
  </si>
  <si>
    <t>Construction Phase Plan</t>
  </si>
  <si>
    <t>Asbestos Impact Assessment (AIA)</t>
  </si>
  <si>
    <t xml:space="preserve">Competency of Site Manager </t>
  </si>
  <si>
    <t>Construction Site Inspections</t>
  </si>
  <si>
    <t xml:space="preserve">Health and Safety File </t>
  </si>
  <si>
    <t>09.01 CDM</t>
  </si>
  <si>
    <t>09.02 Health &amp; Safety Plan</t>
  </si>
  <si>
    <t>09.05 Audit &amp; Inspection</t>
  </si>
  <si>
    <t>09.03 Health and Saftely File</t>
  </si>
  <si>
    <t>172 BPR &amp; Windsor House - Chillers Remedial</t>
  </si>
  <si>
    <t>Refurbishment Griffith House</t>
  </si>
  <si>
    <t>Templar House - Boiler Replacement</t>
  </si>
  <si>
    <t>Building Facade Risk Assessment (7 Buildings)</t>
  </si>
  <si>
    <t xml:space="preserve">Industrial Kitchen/Rest Room Refurbishment </t>
  </si>
  <si>
    <t>Templar House Basement Changing Room for Chancery Lane Escalator Replacement Project</t>
  </si>
  <si>
    <t>Templar House Tea points</t>
  </si>
  <si>
    <t>200 BPR New Kitchens 4th 5th 6th Floor</t>
  </si>
  <si>
    <t>New meeting rooms for Steve Burton EOS Director</t>
  </si>
  <si>
    <t>RNC Relocation to Palestra; Varied to include Reinstatement Works at 55 Broadway</t>
  </si>
  <si>
    <t>13 Allsop Place Refurbishment ex-police cells to make new Locker rooms X-Rail</t>
  </si>
  <si>
    <t>Uniform store relocation to Penton Street</t>
  </si>
  <si>
    <t>Palestra-Power Integration Project</t>
  </si>
  <si>
    <t>Safety Replacement of Meeting Chairs</t>
  </si>
  <si>
    <t>2nd Floor Kitchen area - Palestra</t>
  </si>
  <si>
    <t>M Hollis</t>
  </si>
  <si>
    <t>Door View</t>
  </si>
  <si>
    <t>Scope changed to include review of back panels and toilet operation. Risks include float installed with insufficient falls; cistern refill speed insufficient; poor quality fire stopping behind panels; poor quality electrical installation behind panels.</t>
  </si>
  <si>
    <t>No Issue</t>
  </si>
  <si>
    <t>Risk: No Risks
Issues: No Issues</t>
  </si>
  <si>
    <t xml:space="preserve">CBRE have completed all surveys. Update to be sent to project team. Report to follow. </t>
  </si>
  <si>
    <t xml:space="preserve">Jerry Young </t>
  </si>
  <si>
    <t xml:space="preserve">John Cousins </t>
  </si>
  <si>
    <t>RX04F.033.201.05 / 06</t>
  </si>
  <si>
    <t>Windsor House</t>
  </si>
  <si>
    <t>Griffiths House</t>
  </si>
  <si>
    <t xml:space="preserve">John Murphy </t>
  </si>
  <si>
    <t xml:space="preserve">Martin Smith </t>
  </si>
  <si>
    <t>Laurie Morley</t>
  </si>
  <si>
    <t>Rech/16/ACR12908</t>
  </si>
  <si>
    <t>CC20418</t>
  </si>
  <si>
    <t>Rech/15/ACR10787</t>
  </si>
  <si>
    <t>Palestra &amp; 200BPR</t>
  </si>
  <si>
    <t>Rech/16/ACR10994</t>
  </si>
  <si>
    <t>IO 2147043</t>
  </si>
  <si>
    <t>Rech/16/ACR11245</t>
  </si>
  <si>
    <t>CC11000</t>
  </si>
  <si>
    <t>Rech/16/ACR12721</t>
  </si>
  <si>
    <t xml:space="preserve">CC 10284 </t>
  </si>
  <si>
    <t>Rech/16/ACR6446</t>
  </si>
  <si>
    <t>IO 2146323</t>
  </si>
  <si>
    <t>Rech/16/ACR7149</t>
  </si>
  <si>
    <t>RX04F.036.002</t>
  </si>
  <si>
    <t>Palestra / 55 Broadway</t>
  </si>
  <si>
    <t>RX04F.033.303.09</t>
  </si>
  <si>
    <t>Rech/16/ACR13748</t>
  </si>
  <si>
    <t xml:space="preserve">IO 2147462 </t>
  </si>
  <si>
    <t>PCP/16/021</t>
  </si>
  <si>
    <t>RX04F.033.307.02</t>
  </si>
  <si>
    <t>Gary Evans</t>
  </si>
  <si>
    <t>Rech/16/ACR14011</t>
  </si>
  <si>
    <t>IO 21300220</t>
  </si>
  <si>
    <t>Risks: 
(1) There has been discovery of asbestos, 
(2) Works will be undertaken in an occupied areas
Issues 
(1) Poor contractor performance</t>
  </si>
  <si>
    <t xml:space="preserve">Budget (+-): Change Request 06 has been issued and signed off
Programme: Water systems works complete, balancing and commissioning  has been completed by BTU, BTU are undertaking a number of critical valve replacements due to commence early October. The Air System  commissioning report has been issued and actions have been undertaken. Logi-tek have completed their comissioning works. The IS team have requested some BMS functionality, CR06 has been signed to undertake these work, Logi-tek to undertake the works. Logi-tek have been appointed to undertake the outstadning comissioning as signed CR04 and 05. Programme and change request to be updated upon receipt of BTU information. </t>
  </si>
  <si>
    <t>Complete stage gate 1; commence tender for designers and survey. Subject to finalising details with Procurment out to tender w.c. 11 April 16. Procurment issue experienced: Tender issued but not acknowledged by many on list. Flagged to procurement who confirmed problem. Procurement extended tender return date to 13 May 2016. Await return of tenders to evaluate. Tenders evaluated and agreed with Procurement. Procurment have completed their assessment. Confirmed Frankhams are successful. Updated PEP submitted to Simona on 14 June for sign off. Remainder of stage gate 3 info prepared and submitted 16 June for board on 22 June. Understood PEP not signed nor project considered at board. Await istructions. Surveys undertaken. Designs commenced. Design review meeting being set up await feedback from Frankhams. Frankhams rep in hospital afteraccident. Meeting to be arranged for w.c. 10 Oct. Design review posted for 3 Nove at which scheme will be reviewed and signed off and or altered. Anticipate design phase - end of comission will be completed by end Nov 16</t>
  </si>
  <si>
    <t xml:space="preserve">Budget (+/-): 
1 week delay to programme
Programme:  
</t>
  </si>
  <si>
    <t>Tender docs assembled. Contractors enquiry ready to go. Await procurement approval to strategy docuemnt requested. In hand. Out to tender. Project on site as of 31/12/16 pending WAR approvals.</t>
  </si>
  <si>
    <t>Currently on programme</t>
  </si>
  <si>
    <t>YES</t>
  </si>
  <si>
    <t>N/A</t>
  </si>
  <si>
    <t>NO</t>
  </si>
  <si>
    <t>Templar House Tea Points</t>
  </si>
  <si>
    <t>BMS system graphics requested via email 30/12/15 - Chased 25/01/16 - to date none received.
Pre-contract information lacking - no as-built information issued to date.
Potential delay to start on site. Stakeholder buy-in necessary, meetings difficult due to individuals schedules.
Start on site delayed by 1 week to allow for stakeholder meeting to be undertaken, and agreement achieved.
Risk becomes issue - Durat worktop delivery risk, delay 2 weeks - delivery took 5 weeks, not 3 as promised by Durat.
Both tea-points completed by contractor subject to snagging items.</t>
  </si>
  <si>
    <t>Current risk: IM not agreeing to strategy of running services pipe-work through IM room. Currently designing out the risk for agreement. IM agreement to route forward. Design agreed.
Risk: Current draft costplan higher than originally anticipated due to additional DDA requirements and necessary alterations to IM room to mitigate risk of leaking pipe-work. Risk of project cancellation if deemed too high a cost by project sponsor. Project currently out to tender o ratify budget.
Client liaison necessary due to costplan estimate being higher than anticipated originally.
Tenders returned. Costs issued to MN to obtain financial authority.
Financial authority 95% completed. Meeting arranged for final sign off of design 23/06/17.
AC redesign complete and contractor agreement obtained to costs.</t>
  </si>
  <si>
    <t>Industrial Kitchen/Rest Room Refurbishment</t>
  </si>
  <si>
    <t>Outturn Cost</t>
  </si>
  <si>
    <t>IO2146323</t>
  </si>
  <si>
    <t xml:space="preserve">New Meeting Rooms for Steve Burton EOS Director </t>
  </si>
  <si>
    <t>2nd Floor Kitchen area Palestra</t>
  </si>
  <si>
    <t>IO2147043</t>
  </si>
  <si>
    <t>Templar House Basement Changeing Room for Chancery Lane Escalator Replacement Project</t>
  </si>
  <si>
    <t>Windsor House Complex</t>
  </si>
  <si>
    <t>42-50 Victoria Street SW1H 0TL</t>
  </si>
  <si>
    <t>RNC Relocation to Palestra Varied to include Reinstatement Works at 55 Broadway</t>
  </si>
  <si>
    <t>Vinci Technology</t>
  </si>
  <si>
    <t>Contractual Practical Completion</t>
  </si>
  <si>
    <t>FacOps Action</t>
  </si>
  <si>
    <t>2-4 Weeks Overdue</t>
  </si>
  <si>
    <t>4+ Weeks Overdue</t>
  </si>
  <si>
    <t>Construction work to be started in 2017 financial year
A variation to brief cost, and programme</t>
  </si>
  <si>
    <t>Stage Gate 1</t>
  </si>
  <si>
    <t>Handover Date</t>
  </si>
  <si>
    <t>Forcast Board Date</t>
  </si>
  <si>
    <t>Actual Board Date</t>
  </si>
  <si>
    <t>PCP/16/024</t>
  </si>
  <si>
    <t>Griffith House Facade Repairs</t>
  </si>
  <si>
    <t>Stage 1</t>
  </si>
  <si>
    <t>Rag Status</t>
  </si>
  <si>
    <t>Broadway PA/VA system</t>
  </si>
  <si>
    <t>Broadway Complex</t>
  </si>
  <si>
    <t>55 Broadway SW1H 0BD</t>
  </si>
  <si>
    <t>Comments Key</t>
  </si>
  <si>
    <t>Health and Safety Documentation</t>
  </si>
  <si>
    <t>09.03 Health and Safety File</t>
  </si>
  <si>
    <t>On Hold</t>
  </si>
  <si>
    <t>Change Control Register - Property Care Programme</t>
  </si>
  <si>
    <t>Change Request Description</t>
  </si>
  <si>
    <t>Summary of Impact 
(Cost / Schedule / Quality )</t>
  </si>
  <si>
    <t>Submitted By</t>
  </si>
  <si>
    <t>Date Submitted</t>
  </si>
  <si>
    <t>Date Approved / Rejected</t>
  </si>
  <si>
    <t>Approval / Rejection comment</t>
  </si>
  <si>
    <t>PCP/13/010</t>
  </si>
  <si>
    <t>Oxford Circus House BMS connectivity / standards upgrade</t>
  </si>
  <si>
    <t>Programme revision to reflect full range of activities / Actual start date / FAC OPPS Close out</t>
  </si>
  <si>
    <t>8 wks on programme</t>
  </si>
  <si>
    <t>based on contractor programme</t>
  </si>
  <si>
    <t>Approved</t>
  </si>
  <si>
    <t>PCP/12/039</t>
  </si>
  <si>
    <t>Multisite - Install BMS to Critical IT Facilities</t>
  </si>
  <si>
    <t>Change of Contractor</t>
  </si>
  <si>
    <t>Cost impact - negligible
programme impact being assessed</t>
  </si>
  <si>
    <t>overcome poor performance issues with Mitie Controls</t>
  </si>
  <si>
    <t>Additional Works</t>
  </si>
  <si>
    <t>Cost / schedule impact being assessed</t>
  </si>
  <si>
    <t>Additional works requested by Fac Ops</t>
  </si>
  <si>
    <t>Impact of technical / operational issues on cost and programme</t>
  </si>
  <si>
    <t>being assessed</t>
  </si>
  <si>
    <t>Professional Cleaning of Air Systems</t>
  </si>
  <si>
    <t>cost impact £ 135,676</t>
  </si>
  <si>
    <t>Increase efficiency of the building</t>
  </si>
  <si>
    <t>Chairman's action</t>
  </si>
  <si>
    <t>Compliance works and schedule of recommendations as requested by Arup and TfL Team</t>
  </si>
  <si>
    <t>cost impact £ 47,631</t>
  </si>
  <si>
    <t>to ensure project undertaken in compliance with the Brief, Fire Strategy and Fire Risk Assessment</t>
  </si>
  <si>
    <t>Programme Extension</t>
  </si>
  <si>
    <t>Impact on programme (baseline extended); Impact on cost assessed in CCR 2015/1</t>
  </si>
  <si>
    <t>Decision to undertake the Asbestos Impact Assessments and Detailed Design Development</t>
  </si>
  <si>
    <t>RNC Relocation to Palestra</t>
  </si>
  <si>
    <t>Programme Extension/ Budget amendment</t>
  </si>
  <si>
    <t xml:space="preserve">4 weeks on programme (new project finish date 05/10/2015) 
£ 59,000 cost increase (new EFC £ 112,500)
</t>
  </si>
  <si>
    <t>Change/Extended of work scope of RNC Relocation</t>
  </si>
  <si>
    <t>Rech/15/ACR7705</t>
  </si>
  <si>
    <t>Griffith House - Replacement 2 Roller Shutter Doors</t>
  </si>
  <si>
    <t>2 weeks on programme (new baseline finish date 31/08/2015) 
Budget Correction of £10,317 (New Budget confirmed - £ 58,744)</t>
  </si>
  <si>
    <t>Initial Budget Incorrectly Recorded/ Extension of Time to Complete the Defects Resolution</t>
  </si>
  <si>
    <t>Increase of delivery scope to provide Building Services enhancements</t>
  </si>
  <si>
    <t xml:space="preserve">20 weeks on programme (new baseline finish date 29/12/2015) </t>
  </si>
  <si>
    <t>Add. works will provide broader connectivity across BMS network, greater consistency in the system. Also, will improve system functionality, control and operation</t>
  </si>
  <si>
    <t>Victoria Station House - Redecoration Works</t>
  </si>
  <si>
    <t>Programme Extension and Budget increase to facilitate daylight dimming</t>
  </si>
  <si>
    <t xml:space="preserve">8 weeks on programme (new project finish date 26/10/2015)
Cost impact - £ 20,000 (New Budget confirmed - £ 115,000)
</t>
  </si>
  <si>
    <t>Submitted design did not meet TfL Standards and did not offer daylight dimming. The subsequent design revision resulted delay and increase of the costs.</t>
  </si>
  <si>
    <t>Due to presence of Asbestos which compromise the installation of Fire Alarm installation remediation and fabric remedial works are required</t>
  </si>
  <si>
    <t>Cost Impact £ 350,650 (New Budget  confirmed - £ 1,506,239)</t>
  </si>
  <si>
    <t>Works are required to ensure there are no contraventions to the Statutory Regulations and Compliance with Health and Safety Risk</t>
  </si>
  <si>
    <t xml:space="preserve">23 weeks on programme (new project finish date 14/03/2016) 
£ 40,000 cost increase (new EFC £ 152,500) - ( £40k covered by PCP budget)
</t>
  </si>
  <si>
    <t>Extended Scope of Project to incorporate works to adapt Solar Shading Devices, 4th and 5th Fl 55 Broadway</t>
  </si>
  <si>
    <t xml:space="preserve">42 days on programme (new project finish date 11/03/2016) 
£ 122,100 cost increase (new Budget confirmed £ 423,300)
</t>
  </si>
  <si>
    <t>Extra Works discovered during intrusive site surveys and testing; Change of contract</t>
  </si>
  <si>
    <t>PCP/13/014</t>
  </si>
  <si>
    <t xml:space="preserve">13 Allsop Pl - Versatemp refurbishment &amp; R22 Replacement </t>
  </si>
  <si>
    <t xml:space="preserve">Critical Delivery Date 12 Nov 2015 
£ 3,578 cost increase (new Budget confirmed £ 275,578)
</t>
  </si>
  <si>
    <t>Extra Works - Repair and Upgrade All Electrical Spares to Versatemp Units</t>
  </si>
  <si>
    <t>Budget amendment</t>
  </si>
  <si>
    <t xml:space="preserve">
£ 59,576 cost increase (new Budget confirmed £ 225,717)
</t>
  </si>
  <si>
    <t>Water Systems Commissioning in accordance with Core Groups recommendations to enhance the optimisation of Mech Systems. Works will be carried for 8 weeks (Finish date change from 27/11/2015 to 19/02/2016)</t>
  </si>
  <si>
    <t>PCP/15/011</t>
  </si>
  <si>
    <t>Old Broad Street - Install New HVAC System - Feasibility</t>
  </si>
  <si>
    <t>Uplift in Budget for Passive Haus Consultant</t>
  </si>
  <si>
    <t>£ 11,000 cost increase (New Budget confirmed £ 25,300)</t>
  </si>
  <si>
    <t>Additional £ 11k required to undertake Passive Haus Feasibility and review in Old Broad Street</t>
  </si>
  <si>
    <t>Extension on Programme</t>
  </si>
  <si>
    <t xml:space="preserve">31 days on programme (new baseline finish date 30/01/2016) </t>
  </si>
  <si>
    <t>Delay by Air Handling Unit manufacturer in attending site to inspect AHU resulted the change in completion date</t>
  </si>
  <si>
    <t xml:space="preserve">27 weeks on programme (new baseline finish date 11/04/2016) </t>
  </si>
  <si>
    <t>Multisite - Fire Compartmentation Work</t>
  </si>
  <si>
    <t>3 months on programme (new baseline finish date 25/08/2015)</t>
  </si>
  <si>
    <t>Change request submitted to align the Baseline Completion date with Practical Completion date</t>
  </si>
  <si>
    <t xml:space="preserve">2 weeks on programme (new project finish date 12/02/2016) 
£ 750 cost increase (New Budget confirmed £ 26,050)
</t>
  </si>
  <si>
    <t>Air Pressure Testing  - Additional Building test to receive more accurate information for undertaking the modelling</t>
  </si>
  <si>
    <t xml:space="preserve">6 weeks on programme (new project finish date 1/04/2016) 
£ 25,000 cost increase (New Budget confirmed £ 250,717)
</t>
  </si>
  <si>
    <t>Air Systems remedial works in accordance with Core Group recommendations to achieve the TfL criteria</t>
  </si>
  <si>
    <t>Facilitating Construction Works for RNC Relocation to Palestra</t>
  </si>
  <si>
    <t xml:space="preserve">4 weeks on programme (new project finish date 09/05/2016) 
</t>
  </si>
  <si>
    <t>Extend Project Close to accommodate supplier delay in planning and manufacture of blinds impacting on works on site</t>
  </si>
  <si>
    <t xml:space="preserve">16 weeks on programme (new project finish date 18/05/2016) 
</t>
  </si>
  <si>
    <t>First test cancelled by TfL for business reasons which resulted the delay, additional time being required for re-evaluation of works stages and planning of target dates</t>
  </si>
  <si>
    <t xml:space="preserve">20 weeks on programme (new project finish date 30/09/2016) 
</t>
  </si>
  <si>
    <t>Programme Extension due to presence of asbestos, remediation works, slow containment installation and poor contractor performance</t>
  </si>
  <si>
    <t xml:space="preserve">£ 6,250 cost increase (New Budget confirmed £ 564,250)
</t>
  </si>
  <si>
    <t>Additional Survey of Incomplete works needed</t>
  </si>
  <si>
    <t xml:space="preserve">£ 4,918 cost increase (New Budget confirmed £ 114,918)
</t>
  </si>
  <si>
    <t>Additional 5 doors to be renewed (riser cupboards)</t>
  </si>
  <si>
    <t xml:space="preserve">4 weeks on programme (new project finish date 06/06/2016) 
</t>
  </si>
  <si>
    <t>Extend Project Close to accommodate supplier delays in planning and manufacture of blinds impacting on works on site &amp; close out</t>
  </si>
  <si>
    <t>Palestra-Basement Leak Detection and Sump Pump</t>
  </si>
  <si>
    <t xml:space="preserve">£ 5,343 cost increase (New Budget confirmed £ 131,343)
</t>
  </si>
  <si>
    <t>Investigation and Report to perform by Gemimi Fire Ltd on Leak Detection System on Upper Floors, Palestra</t>
  </si>
  <si>
    <t xml:space="preserve">11 weeks on programme (new project finish date 12/08/2016) 
</t>
  </si>
  <si>
    <t>Rebalancing and commissioning of the Air System together with the witnessing and commissioning of the wet systems. The work is a direct result of Core Group refusal to work with TfL</t>
  </si>
  <si>
    <t xml:space="preserve">2 weeks on programme (new project finish date 31/08/2016) 
£ 16,790 cost increase (New Budget confirmed £ 267,507)
</t>
  </si>
  <si>
    <t>Undertake detailed condition report on mechanical and BMS functionality</t>
  </si>
  <si>
    <t xml:space="preserve">£ 33,268 cost increase (New Budget confirmed £ 300,775)
</t>
  </si>
  <si>
    <t>Undertake the replacement of critical faulty valves with new fixed Qrifice double regulating valves in various location</t>
  </si>
  <si>
    <t>Change of Proposed Project Completion Date to 16/12/2016</t>
  </si>
  <si>
    <t>The Extension to the BMS system cannot be commissioned or tested because the existing system doesn't not operate as expected</t>
  </si>
  <si>
    <t>£800 Cost increase to £180111</t>
  </si>
  <si>
    <t>Asbestos found and needs to be removed</t>
  </si>
  <si>
    <t>RECH/16/ACR646</t>
  </si>
  <si>
    <t>Palestra 9th Floor Meeting Rooms</t>
  </si>
  <si>
    <t>£25600 Cost increase 
New Project Finish Date 07/12/2016</t>
  </si>
  <si>
    <t>RECH/16/ACR12908</t>
  </si>
  <si>
    <t>Griffith House 3rd Floor Industrial Kitchen</t>
  </si>
  <si>
    <t>Project Completion Date 15/11/2016</t>
  </si>
  <si>
    <t>Snagging deal Leg to be Removed</t>
  </si>
  <si>
    <t>Change of Proposed Project Completion Date to 28/10/2016</t>
  </si>
  <si>
    <t>Allow more Time to Resolve BMS Issues</t>
  </si>
  <si>
    <t>Programme Extension/Budget Amendment</t>
  </si>
  <si>
    <t>Change of Proposed Project Completion Date 12/12/2016 and £9311 Cost Increase to £179311</t>
  </si>
  <si>
    <t>Delay in delivery of the BMS Element of the project against the project schedule there is a need to extend the delivery period</t>
  </si>
  <si>
    <t>Change of Proposed Project Start date to match actual start date</t>
  </si>
  <si>
    <t>Change to budget will be incorporated in to the Project Risk Costs</t>
  </si>
  <si>
    <t>Due to the age and the existing ceiling it is now beyond economical repair to maintain. Ceiling soft fit is required to ensure fire compartment integrity</t>
  </si>
  <si>
    <t>Change to Project Completion date</t>
  </si>
  <si>
    <t>Original scope of project did not incorporate installing the upgrade to the BMS.</t>
  </si>
  <si>
    <t>Risk: No Risks
Issues: Heating system is open without open vent and will be referred to FO/IS (R Sciberras) for technical consideration. There appears to be a BMS philosophy/control concern which has been notified to FO/IS (R Sciberras)</t>
  </si>
  <si>
    <t>Risks have been released.
Several hinges have had hinge pins come loose. The manufacturer has visited site to inspect and has taken a sample defect. Report and proposal awaited from JNG.</t>
  </si>
  <si>
    <t>Budget (+-): Final account agreed with JNG.
Programme: O&amp;Ms revised and agreed. H&amp;S File submitted. PCHC signed. Gate 5 documents submited for review on 23rd November 2016.</t>
  </si>
  <si>
    <t>Project initiation meeting to be held</t>
  </si>
  <si>
    <t>Extension of time to programme due to illness of designer and design review has flagged further issue and design developemtn relating to acess and physical implications of undertaking work. Design due for completion by Christmas 2016</t>
  </si>
  <si>
    <t>Project Completion Date from 15/05/2016 to 23/12/2016</t>
  </si>
  <si>
    <t>RECH/16/ACR/13748</t>
  </si>
  <si>
    <t>Extenstion of time to programme due to late receipt of design information</t>
  </si>
  <si>
    <t>Project Completion Date from 28/09/2016 to 09/11/2017</t>
  </si>
  <si>
    <t>Project Completion Date from 28/09/2016 to 09/11/2018</t>
  </si>
  <si>
    <t>Rech/15/ACR/10787</t>
  </si>
  <si>
    <t>Technical Fit-out delayed  untill April 16 user acceptance was not completed until 01/09/2016 due to technical issues with new tunnels control system. Many other issue please refure to change Request</t>
  </si>
  <si>
    <t>Palestra 2nd Floor Kitchen</t>
  </si>
  <si>
    <t>Change to Baseline Start date from 23/07/2016 to 09/01/2017
Change to Baseline Completion from 12/08/2016 to 13/02/2017
Increase to budget from £40000-£42000</t>
  </si>
  <si>
    <t>Progress to Project Delivery</t>
  </si>
  <si>
    <t>RX04F.033.307.04.01</t>
  </si>
  <si>
    <t xml:space="preserve">Griffiths House Facade Repairs - Enabling </t>
  </si>
  <si>
    <t>RX04F.033.307.04.02</t>
  </si>
  <si>
    <t>Griffiths House Facade Repairs - Project</t>
  </si>
  <si>
    <t>1 - Outline Definition</t>
  </si>
  <si>
    <t>RX04F.033.303.10</t>
  </si>
  <si>
    <t>2nd Floor Kitchen</t>
  </si>
  <si>
    <t xml:space="preserve">5- Delivery </t>
  </si>
  <si>
    <t>MP</t>
  </si>
  <si>
    <t>Closed</t>
  </si>
  <si>
    <t>17th Floor Partition</t>
  </si>
  <si>
    <t xml:space="preserve">Delivery </t>
  </si>
  <si>
    <t>Templar House Basement</t>
  </si>
  <si>
    <t>RNC Relocation works to Palestra</t>
  </si>
  <si>
    <t>AC</t>
  </si>
  <si>
    <t>New Meeting Rooms for Steve Burton</t>
  </si>
  <si>
    <t>Pier Walk</t>
  </si>
  <si>
    <t>Ex Police Cells refurbishment</t>
  </si>
  <si>
    <t>13 Allsop Place</t>
  </si>
  <si>
    <t xml:space="preserve">17th Floor    </t>
  </si>
  <si>
    <t>Rech/14/ACR3958</t>
  </si>
  <si>
    <t xml:space="preserve"> IO 1012369</t>
  </si>
  <si>
    <t>New Consulting Rooms</t>
  </si>
  <si>
    <t>Townsend House</t>
  </si>
  <si>
    <t>IO 2146842</t>
  </si>
  <si>
    <t>RX04F.036.005</t>
  </si>
  <si>
    <t>TH</t>
  </si>
  <si>
    <t>RX04F.036.002 RX04F.033.303.09</t>
  </si>
  <si>
    <t>CC 11000</t>
  </si>
  <si>
    <t>Rech/16/ACR11193</t>
  </si>
  <si>
    <t>IO 2147303</t>
  </si>
  <si>
    <t>Albany House Ground Floor Kitchen Refurbishment</t>
  </si>
  <si>
    <t>IO 2147405</t>
  </si>
  <si>
    <t>Rech/16/ACR14719</t>
  </si>
  <si>
    <t xml:space="preserve">IO 2147503 </t>
  </si>
  <si>
    <t>9th  Floor Kitchen Refurb</t>
  </si>
  <si>
    <t>IO 2130087</t>
  </si>
  <si>
    <t xml:space="preserve">Locker Rooms </t>
  </si>
  <si>
    <t>Cranbourne Street</t>
  </si>
  <si>
    <t>IO 2146942</t>
  </si>
  <si>
    <t>IO 2147484</t>
  </si>
  <si>
    <t>Auditorium, 2nd Floor</t>
  </si>
  <si>
    <t>IO 2147462</t>
  </si>
  <si>
    <t>Uniform store relocation to Penton St</t>
  </si>
  <si>
    <t>IO 2130220</t>
  </si>
  <si>
    <t>Rech/16/ACR12770</t>
  </si>
  <si>
    <t>Rech/16/ACR14308</t>
  </si>
  <si>
    <t>Rech/16/ACR13713</t>
  </si>
  <si>
    <t>RECH/16/ACR13748</t>
  </si>
  <si>
    <t>Project handed over - complete - snagging to pursue</t>
  </si>
  <si>
    <t>Project submitted stage gate 1 on 20.7.16; Project submitted for stage gate 4,  2 sept. Tender evaluation completed. Contract ready to go. Procurment will not release until stage gate approval. CAR agreed and signed off. PO placed. Project was delayed to next stage gate. Due to start on site 28 sept 16, pending M&amp;E sign off. Project delayed 1 week due to late production of RAMS for WAZ. Start on site date now 3 Oct. Project on site. PC expected 3 Nov. X rail have confirmed not occupying until 21 Nov. PC acheived on 18 Nov 16</t>
  </si>
  <si>
    <t>* Stage Gate 5 approved. * Stage Gate 6 submitted on Friday 25/11/2016. *The project should be removed from the tracker's live projects.</t>
  </si>
  <si>
    <t xml:space="preserve">Submitted to Stage Gate 5 Board </t>
  </si>
  <si>
    <t>Permission given to proceed to tender</t>
  </si>
  <si>
    <t>Project Requirement issued</t>
  </si>
  <si>
    <t>Forecast Board Date</t>
  </si>
  <si>
    <t>CC10284 / IO2147442</t>
  </si>
  <si>
    <t xml:space="preserve">Stage Gate 2: Was put on hold to redefine scope of works.
</t>
  </si>
  <si>
    <t xml:space="preserve">
Authority for Board submission received. Submission due 01/07/16.
Stage 4 approval Submission due 01/07/16.
Stage Gate 4 success and approval to proceed received.
Pre-Start meeting convened 17/07/16.
Fujitsu to complete enabling works by 31/07/16 - main contractor start on site 01/08/16. Works duration 10 weeks. 
Actual start on site: 03/08/16
Stage Gate 5 Waiting on Operation representative to sign off handover certificate. Will be completed by chairs actions
</t>
  </si>
  <si>
    <t xml:space="preserve">BMS connection via main contractor cancelled due to lack of funding via Fac Ops Dept. Main Contractor instructed not to connect extract fan to BMS.
Risk of delay due to Durat specified worktops coming from Helsinki. Worktop delivery did delay project completion.
Anticipated additional costs for additional vinyl coverings and necessary alterations to ceiling.
Previous handover meeting cancelled due to family matter. 
Final O&amp;M issued by contractor - reviewed - 'As Built' drawings outstanding. Due w/c 09/05/16
Installation complete - sign off process begun.
Handover meeting rearranged for wc 26/05/16. Handover meeting completed. O&amp;M to be issued 31/05/16.
O&amp;M Issued to Fac Ops 03/06/16 - awaiting sign off. Snags received. Issued to contractor. Contractor has agreed suitable date for snag attendance. Snagging ongoing. Due for completion w/c 27/06/15.
Snags completed and list issued back to Fac Ops 06/07/16 with photos and updated snag list. Sign off requested by AC.
Agreed close out measures.
Project Completed and Handed over 02/12/2016.
Stage Gate 5 handover certificate to be completed by chairs action 05/12/2016
</t>
  </si>
  <si>
    <t>yes</t>
  </si>
  <si>
    <t>Risk: Discovery of additional works when close inspection is available.
Issues: No Issues</t>
  </si>
  <si>
    <t>Practical completion envisaged 12/12/2016</t>
  </si>
  <si>
    <t xml:space="preserve">Nicky Mahood agreed final account/variations with FM Conway and will be closing this project. </t>
  </si>
  <si>
    <t>Contractual practical completion</t>
  </si>
  <si>
    <t>Retention Release Date</t>
  </si>
  <si>
    <t>Retention Amount</t>
  </si>
  <si>
    <t>Retention Released</t>
  </si>
  <si>
    <t>Defects liablity Period (Months)</t>
  </si>
  <si>
    <t>Yes</t>
  </si>
  <si>
    <t>Rentention and Release</t>
  </si>
  <si>
    <t>\</t>
  </si>
  <si>
    <t>NEC3 Form Contract</t>
  </si>
  <si>
    <t>In Year Position as @ P9</t>
  </si>
  <si>
    <t>Project Description</t>
  </si>
  <si>
    <t>Start date</t>
  </si>
  <si>
    <t>Completion</t>
  </si>
  <si>
    <t>Today</t>
  </si>
  <si>
    <t>Column1</t>
  </si>
  <si>
    <t>PulledCompletion</t>
  </si>
  <si>
    <t>Days</t>
  </si>
  <si>
    <t>Pulled DaysColumn1</t>
  </si>
  <si>
    <t>Project Managers</t>
  </si>
  <si>
    <t>Pulled Project Manager</t>
  </si>
  <si>
    <t>Pulled DaysColumn2</t>
  </si>
  <si>
    <t>Stage Gate 5</t>
  </si>
  <si>
    <t>Robert Sciberras</t>
  </si>
  <si>
    <t>Dave Parr</t>
  </si>
  <si>
    <t>Quinten Babcock</t>
  </si>
  <si>
    <t>Mike O'Connor</t>
  </si>
  <si>
    <t>Hakeem Makanju</t>
  </si>
  <si>
    <t>Quinten Babcock &amp; Hakeem Makanju</t>
  </si>
  <si>
    <t>4L Emergancy Service Control Centre</t>
  </si>
  <si>
    <t xml:space="preserve">Budget (+-): 19/12/16: Risk fund released; Designer fee reduced to pay for specification error.
Programme: Witness testing on 12/12/16 successful with minor snags. Completion Cert issued (with snags).
</t>
  </si>
  <si>
    <t xml:space="preserve">Budget (+-): 19/12/16: Budget to be developed, but expected to be c. £750,000
Programme: 19/12/16 programme to be developed to prioritise urgent repairs. Structural Engineer to be appointed to specify repair actions.
</t>
  </si>
  <si>
    <t xml:space="preserve">Budget (+-): 19/12/16: Budget will be revised as specification develops.
Programme: 19/12/16 Frankham feasibilty report issued on 21/12/16. This is under review. TfL response with instructions as to how to proceed required by w/c 09/01/17. No works programmed this FY.
</t>
  </si>
  <si>
    <t>Budget (+/-): Completed under budget.
Programme: Completed ahead Programme. Stage Gate 5 achieved on  04/01/2017.</t>
  </si>
  <si>
    <t xml:space="preserve"> Pell Frishmann have declined to provide a Fee for PD role awaiting cost from Cundalls. The budget for this project will be 100k. Stage Gate 1 documentation sent to the PMO on 30/12/2016 for Board meeting date 18/01/2017</t>
  </si>
  <si>
    <t xml:space="preserve">* Vinyl floor - lifting vinyl floor may damage suspended tiles underneath which may result with project delay (1 week) + additional cost (project risk allowance to cover).  
</t>
  </si>
  <si>
    <t>Date: 19/01/2016</t>
  </si>
  <si>
    <t>Change request was submitted to the board 26/11/2016
Extra information submitted
specific meeting to discuss change request</t>
  </si>
  <si>
    <t>BMS to be address by FacOps</t>
  </si>
  <si>
    <t>Remove from Tracker sheet transfer to archive and stage gate 6 sheet</t>
  </si>
  <si>
    <t>PM to finalise costs</t>
  </si>
  <si>
    <t>Stage Gate 5 over due by 39 days</t>
  </si>
  <si>
    <t>Stage gate 5 over due by 212 days</t>
  </si>
  <si>
    <t xml:space="preserve">Needs to issue paperwork for Stage gate 5 Next board to close out 18/01/2017
stage gate 5 overdue by 34 </t>
  </si>
  <si>
    <t/>
  </si>
  <si>
    <t xml:space="preserve">Completed </t>
  </si>
  <si>
    <t>Board Date
01/02/2016</t>
  </si>
  <si>
    <t>R</t>
  </si>
  <si>
    <t>on time</t>
  </si>
  <si>
    <t>Under budget by £42047</t>
  </si>
  <si>
    <t>RECH/16/ACR8658</t>
  </si>
  <si>
    <t>Project has been signed off and passed stage gate 5 to be removed by AW</t>
  </si>
  <si>
    <t xml:space="preserve">Project hand over certificate issued on 30/12/2016
Rob Sciberras has handed project over to Michael O'Connor on departure. 
Meeting arranged Martin Smith / Michael O'Connor for Thursday 19th January on site to review project and discuss handover certificate.
Stage Gate 5 Close Out Report to be prepared in anticipation of handover.
</t>
  </si>
  <si>
    <t>Handover Certificate issued 30/12/2016 supported by Stage Gate 5 Close Out Report.
Handover Certifcate reviewed David Parr / Ray Edwards 06/01/2017, copy of snag sheets requested 06/01/2016 and supplied 11/01/2017. 
Awaiting handover certifcate to be signed</t>
  </si>
  <si>
    <t>Handover Certificate issued 30/12/2016 supported by Stage Gate 5 Close Out Report.
Handover Certifcate reviewed David Parr / Ray Edwards 06/01/2017, copy of snag sheets requested 06/01/2016 and supplied 12/01/2017. 
Awaiting handover certifcate to be signed</t>
  </si>
  <si>
    <r>
      <t xml:space="preserve">Fac Ops handover inspections undertaken for both sites. LSTOC went operational on 1 Sep '16. Variation to extend completion date to cover return visit has been issued. 
Close out activities: 2 items preventing project closure (PCR) - (1) Quote from Mitie to amend 200BPR BMS headend to show new partition; implementation could be post-PCR once PO has been raised. &amp; (2) alteration of O&amp;M to reflect Infrstructure team feedback - contractor has done incorrectly and rectification measures in place. 
STAKEHOLDER COMMENTS: </t>
    </r>
    <r>
      <rPr>
        <b/>
        <sz val="8"/>
        <color rgb="FFFF0000"/>
        <rFont val="Arial"/>
        <family val="2"/>
      </rPr>
      <t>Issue Change Request - Need Tony to come to next meeting, update forecast</t>
    </r>
  </si>
  <si>
    <t xml:space="preserve">Risk: Risk relating to appointment of Principal Designer may compromise progress.
Issues: No Issues
</t>
  </si>
  <si>
    <t xml:space="preserve">Budget (+-): 20/01/17 Forecast remains unalterred although PD appointment in progress, CAR value to Survying Contractor lower than SG1 forecast and risk allowance to be re-evaluated.
Programme: 20/01/17 Contract has been signed with a commencement date of 04/01/17and Baseline start date for SG4on site is 21/01/17 this may need CRF to be submitted.
</t>
  </si>
  <si>
    <t xml:space="preserve">Budget (+-): 20/01/17 Budget to be reviewed after receipt of quote following review of scope meeting held on 09/01/17. 
Programme: 20/01/17 Programme to be reviewed and revised following agreement of scope to be delivered. </t>
  </si>
  <si>
    <t>Stage Gate 1 date has now been missed.  Project Manger to submit at the next board meeting 1st February 2017.</t>
  </si>
  <si>
    <t>Tender Package to be sent out by 31st Janaury 2017.</t>
  </si>
  <si>
    <t>Stage 1-4 has been approved.</t>
  </si>
  <si>
    <t xml:space="preserve">Budget (+-): 20/01/17: Contractor (Powersys) account agreed without increase to Budget although formal sign off is to follow._x000D_
_x000D_
Programme: 20/01/17 Programme maintained with PC notified as 01/12/16 to acknowledge transfer of power to new system achieved 24/11/16. _x000D_
</t>
  </si>
  <si>
    <t>Aldgate Station (EC3N)</t>
  </si>
  <si>
    <t>Allsop Place, 13 (NW1)</t>
  </si>
  <si>
    <t>Allsop Place, 15-17 (NW1)</t>
  </si>
  <si>
    <t>Ashfield House (W14)</t>
  </si>
  <si>
    <t>Baker Street Revenue Control (NW1)</t>
  </si>
  <si>
    <t>Baker Street, 210-212 (NW1)</t>
  </si>
  <si>
    <t>Baker Street, 216 (NW1)</t>
  </si>
  <si>
    <t>Blackwall (E14)</t>
  </si>
  <si>
    <t>Borough High Street, 31 (SE1)</t>
  </si>
  <si>
    <t>Chancel Street Garage Complex (SE1)</t>
  </si>
  <si>
    <t>Davies Street, 75 (W1)</t>
  </si>
  <si>
    <t>Griffith House (NW1)</t>
  </si>
  <si>
    <t>Lost Property Office (NW1)</t>
  </si>
  <si>
    <t>Multi Sites</t>
  </si>
  <si>
    <t>Old Broad Street (EC2)</t>
  </si>
  <si>
    <t>Oxford Circus House (W1)</t>
  </si>
  <si>
    <t>Pelham Street (SW7)</t>
  </si>
  <si>
    <t>Penton Street (NW1)</t>
  </si>
  <si>
    <t>Premier House (W9)</t>
  </si>
  <si>
    <t>Selbie House (NW1)</t>
  </si>
  <si>
    <t>Townsend House (SW1)</t>
  </si>
  <si>
    <t>Uniform Store (W3)</t>
  </si>
  <si>
    <t>Vandon St Garage (SW1)</t>
  </si>
  <si>
    <t>Western House (W1)</t>
  </si>
  <si>
    <t xml:space="preserve">Budget (+-): 20/01/17: Final account submissions requested from Contractor (Vinci) possible variation due to BMS communications issues with Pier Walk server._x000D_
_x000D_
Programme: 20/01/17: BMS issues experienced following server problems at Pier Walk. However Practical Completion agreed as boiler is operational and under BMS control although with constraints._x000D_
</t>
  </si>
  <si>
    <t>Bringing Back to use Staircase/chained door leading to the track</t>
  </si>
  <si>
    <t>Budget (+-): TfL QS has prepared estimate of costs. revised cost reported.
Programme:  tender issued 27/01/16, return due 10/03/17, SG4 for implementation go ahead 26/04/17, completion December 2017</t>
  </si>
  <si>
    <t>Risk: delay due to Landlord liaison.
Issues: No cooling is available and high temperatures are being experienced in parts of Windsor House.</t>
  </si>
  <si>
    <t xml:space="preserve">Budget (+-): 21/01/17:  crane lifts complete - risk fund can be reduced
Programme: 21/01/17: BPR - Ice store to be commissioned 07/01/17. Test running to commence 06/02/17.
WH - New chillers now on roof, final connections to be made. Landlord has reported a historic roof leak.
</t>
  </si>
  <si>
    <t>This is a test hope</t>
  </si>
  <si>
    <t>This does not work</t>
  </si>
  <si>
    <t>Stage Gate</t>
  </si>
  <si>
    <t>RECH/16/ACR16145</t>
  </si>
  <si>
    <t>Stage gate 5 overdue by 239 days
Issue a close out report noting the low quality drawings any new drawings will have to be a new project
waiting on accounts payable to find out where final payment went</t>
  </si>
  <si>
    <t>Project started. We should know by the end of the working date (09.01.2017) if the potential risk has materialised. Risk not materialised. Practical completion achieved on 21.01.2017.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</si>
</sst>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43" formatCode="_-* #,##0.00_-;\-* #,##0.00_-;_-* &quot;-&quot;??_-;_-@_-"/>
    <numFmt numFmtId="164" formatCode="[$-F800]dddd\,\ mmmm\ dd\,\ yyyy"/>
    <numFmt numFmtId="165" formatCode="&quot;£&quot;#,##0.00"/>
    <numFmt numFmtId="166" formatCode="#,##0_ ;[Red]\-#,##0\ "/>
    <numFmt numFmtId="167" formatCode="[$-409]d\-mmm\-yy;@"/>
    <numFmt numFmtId="168" formatCode="[$-409]dd\-mmm\-yy;@"/>
    <numFmt numFmtId="169" formatCode="_(&quot;£&quot;* #,##0.00_);_(&quot;£&quot;* \(#,##0.00\);_(&quot;£&quot;* &quot;-&quot;??_);_(@_)"/>
    <numFmt numFmtId="170" formatCode="_(* #,##0.00_);_(* \(#,##0.00\);_(* &quot;-&quot;??_);_(@_)"/>
  </numFmts>
  <fonts count="87" x14ac:knownFonts="1">
    <font>
      <sz val="12"/>
      <color theme="1"/>
      <name val="Arial"/>
      <family val="2"/>
    </font>
    <font>
      <b/>
      <sz val="8"/>
      <color theme="1"/>
      <name val="Arial"/>
      <family val="2"/>
    </font>
    <font>
      <sz val="8"/>
      <color theme="1"/>
      <name val="Arial"/>
      <family val="2"/>
    </font>
    <font>
      <sz val="10"/>
      <color theme="1"/>
      <name val="Calibri"/>
      <scheme val="minor"/>
    </font>
    <font>
      <b/>
      <sz val="12"/>
      <color theme="1"/>
      <name val="Calibri"/>
      <scheme val="minor"/>
    </font>
    <font>
      <sz val="8"/>
      <name val="Arial"/>
      <family val="2"/>
    </font>
    <font>
      <sz val="10"/>
      <color theme="1"/>
      <name val="Arial"/>
      <family val="2"/>
    </font>
    <font>
      <sz val="9"/>
      <color indexed="81"/>
      <name val="Tahoma"/>
      <family val="2"/>
    </font>
    <font>
      <b/>
      <sz val="9"/>
      <color indexed="81"/>
      <name val="Tahoma"/>
      <family val="2"/>
    </font>
    <font>
      <b/>
      <sz val="10"/>
      <color theme="1"/>
      <name val="Calibri"/>
      <scheme val="minor"/>
    </font>
    <font>
      <b/>
      <sz val="8"/>
      <color theme="0"/>
      <name val="Arial"/>
      <family val="2"/>
    </font>
    <font>
      <b/>
      <sz val="8"/>
      <name val="Arial"/>
      <family val="2"/>
    </font>
    <font>
      <b/>
      <sz val="8"/>
      <color rgb="FFFF0000"/>
      <name val="Arial"/>
      <family val="2"/>
    </font>
    <font>
      <sz val="12"/>
      <name val="Arial"/>
      <family val="2"/>
    </font>
    <font>
      <sz val="10"/>
      <name val="Calibri"/>
      <scheme val="minor"/>
    </font>
    <font>
      <b/>
      <sz val="12"/>
      <name val="Calibri"/>
      <scheme val="minor"/>
    </font>
    <font>
      <b/>
      <sz val="10"/>
      <color theme="3" tint="0.39997558519241921"/>
      <name val="Calibri"/>
      <scheme val="minor"/>
    </font>
    <font>
      <sz val="10"/>
      <color theme="0" tint="-0.34998626667073579"/>
      <name val="Arial"/>
      <family val="2"/>
    </font>
    <font>
      <sz val="8"/>
      <color theme="0" tint="-0.34998626667073579"/>
      <name val="Arial"/>
      <family val="2"/>
    </font>
    <font>
      <sz val="12"/>
      <color theme="1"/>
      <name val="Arial"/>
      <family val="2"/>
    </font>
    <font>
      <b/>
      <sz val="12"/>
      <color theme="0"/>
      <name val="Arial"/>
      <family val="2"/>
    </font>
    <font>
      <b/>
      <sz val="10"/>
      <color theme="1"/>
      <name val="Arial"/>
      <family val="2"/>
    </font>
    <font>
      <sz val="10"/>
      <name val="Arial"/>
      <family val="2"/>
    </font>
    <font>
      <b/>
      <sz val="11"/>
      <color theme="3"/>
      <name val="Arial"/>
      <family val="2"/>
    </font>
    <font>
      <sz val="10"/>
      <color rgb="FF000000"/>
      <name val="Arial"/>
      <family val="2"/>
    </font>
    <font>
      <u/>
      <sz val="12"/>
      <color theme="10"/>
      <name val="Arial"/>
      <family val="2"/>
    </font>
    <font>
      <u/>
      <sz val="8"/>
      <color rgb="FF0000FF"/>
      <name val="Arial"/>
      <family val="2"/>
    </font>
    <font>
      <sz val="8"/>
      <color rgb="FF000000"/>
      <name val="Arial"/>
      <family val="2"/>
    </font>
    <font>
      <b/>
      <sz val="10"/>
      <name val="Calibri"/>
      <scheme val="minor"/>
    </font>
    <font>
      <b/>
      <sz val="12"/>
      <name val="Arial"/>
      <family val="2"/>
    </font>
    <font>
      <b/>
      <sz val="11"/>
      <name val="Arial"/>
      <family val="2"/>
    </font>
    <font>
      <b/>
      <sz val="10"/>
      <name val="Arial"/>
      <family val="2"/>
    </font>
    <font>
      <u/>
      <sz val="8"/>
      <color theme="10"/>
      <name val="Arial"/>
      <family val="2"/>
    </font>
    <font>
      <u/>
      <sz val="10"/>
      <color theme="10"/>
      <name val="Arial"/>
      <family val="2"/>
    </font>
    <font>
      <u/>
      <sz val="9"/>
      <color theme="10"/>
      <name val="Arial"/>
      <family val="2"/>
    </font>
    <font>
      <b/>
      <sz val="13"/>
      <name val="Arial"/>
      <family val="2"/>
    </font>
    <font>
      <u/>
      <sz val="10"/>
      <color indexed="12"/>
      <name val="Arial"/>
      <family val="2"/>
    </font>
    <font>
      <sz val="12"/>
      <color indexed="8"/>
      <name val="Tahoma"/>
      <family val="2"/>
    </font>
    <font>
      <sz val="8"/>
      <color indexed="8"/>
      <name val="Tahoma"/>
      <family val="2"/>
    </font>
    <font>
      <b/>
      <sz val="8"/>
      <color indexed="8"/>
      <name val="Tahoma"/>
      <family val="2"/>
    </font>
    <font>
      <sz val="8"/>
      <color theme="0"/>
      <name val="Arial"/>
      <family val="2"/>
    </font>
    <font>
      <b/>
      <sz val="10"/>
      <color theme="8" tint="-0.499984740745262"/>
      <name val="Arial"/>
      <family val="2"/>
    </font>
    <font>
      <b/>
      <sz val="8"/>
      <name val="Calibri"/>
      <scheme val="minor"/>
    </font>
    <font>
      <sz val="10"/>
      <color indexed="10"/>
      <name val="Arial"/>
      <family val="2"/>
    </font>
    <font>
      <sz val="10"/>
      <color indexed="8"/>
      <name val="Arial"/>
      <family val="2"/>
    </font>
    <font>
      <sz val="10"/>
      <color indexed="9"/>
      <name val="Arial"/>
      <family val="2"/>
    </font>
    <font>
      <sz val="11"/>
      <color indexed="9"/>
      <name val="Calibri"/>
      <family val="2"/>
    </font>
    <font>
      <sz val="11"/>
      <color indexed="8"/>
      <name val="Calibri"/>
      <family val="2"/>
    </font>
    <font>
      <sz val="11"/>
      <color indexed="16"/>
      <name val="Calibri"/>
      <family val="2"/>
    </font>
    <font>
      <b/>
      <sz val="11"/>
      <color indexed="53"/>
      <name val="Calibri"/>
      <family val="2"/>
    </font>
    <font>
      <b/>
      <sz val="11"/>
      <color indexed="9"/>
      <name val="Calibri"/>
      <family val="2"/>
    </font>
    <font>
      <b/>
      <sz val="11"/>
      <color indexed="8"/>
      <name val="Calibri"/>
      <family val="2"/>
    </font>
    <font>
      <i/>
      <sz val="10"/>
      <color indexed="23"/>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b/>
      <sz val="18"/>
      <color indexed="62"/>
      <name val="Cambria"/>
      <family val="2"/>
    </font>
    <font>
      <sz val="11"/>
      <color indexed="10"/>
      <name val="Calibri"/>
      <family val="2"/>
    </font>
    <font>
      <sz val="12"/>
      <color rgb="FF000000"/>
      <name val="Arial"/>
      <family val="2"/>
    </font>
    <font>
      <b/>
      <sz val="18"/>
      <color theme="3"/>
      <name val="Cambria"/>
      <family val="2"/>
      <scheme val="major"/>
    </font>
    <font>
      <b/>
      <sz val="15"/>
      <color theme="3"/>
      <name val="Arial"/>
      <family val="2"/>
    </font>
    <font>
      <b/>
      <sz val="13"/>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1"/>
      <color theme="0"/>
      <name val="Arial"/>
      <family val="2"/>
    </font>
    <font>
      <b/>
      <sz val="12"/>
      <color rgb="FF000000"/>
      <name val="Arial"/>
      <family val="2"/>
    </font>
    <font>
      <sz val="11"/>
      <color theme="1"/>
      <name val="Arial"/>
      <family val="2"/>
    </font>
    <font>
      <b/>
      <sz val="11"/>
      <color theme="1"/>
      <name val="Arial"/>
      <family val="2"/>
    </font>
  </fonts>
  <fills count="1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0" tint="-0.34998626667073579"/>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4"/>
        <bgColor indexed="64"/>
      </patternFill>
    </fill>
    <fill>
      <patternFill patternType="solid">
        <fgColor theme="3" tint="0.79998168889431442"/>
        <bgColor indexed="64"/>
      </patternFill>
    </fill>
    <fill>
      <patternFill patternType="solid">
        <fgColor rgb="FFD9D9D9"/>
        <bgColor rgb="FF000000"/>
      </patternFill>
    </fill>
    <fill>
      <patternFill patternType="solid">
        <fgColor theme="1" tint="0.34998626667073579"/>
        <bgColor indexed="64"/>
      </patternFill>
    </fill>
    <fill>
      <patternFill patternType="solid">
        <fgColor theme="0" tint="-0.14999847407452621"/>
        <bgColor rgb="FF000000"/>
      </patternFill>
    </fill>
    <fill>
      <patternFill patternType="solid">
        <fgColor rgb="FFC23B22"/>
        <bgColor indexed="64"/>
      </patternFill>
    </fill>
    <fill>
      <patternFill patternType="solid">
        <fgColor rgb="FFFFB347"/>
        <bgColor indexed="64"/>
      </patternFill>
    </fill>
    <fill>
      <patternFill patternType="solid">
        <fgColor theme="8" tint="-0.249977111117893"/>
        <bgColor indexed="64"/>
      </patternFill>
    </fill>
    <fill>
      <patternFill patternType="solid">
        <fgColor theme="4" tint="0.39997558519241921"/>
        <bgColor rgb="FF000000"/>
      </patternFill>
    </fill>
    <fill>
      <patternFill patternType="solid">
        <fgColor rgb="FF95B3D7"/>
        <bgColor rgb="FF000000"/>
      </patternFill>
    </fill>
    <fill>
      <patternFill patternType="solid">
        <fgColor rgb="FF95B3D7"/>
        <bgColor indexed="64"/>
      </patternFill>
    </fill>
    <fill>
      <patternFill patternType="solid">
        <fgColor indexed="40"/>
      </patternFill>
    </fill>
    <fill>
      <patternFill patternType="solid">
        <fgColor indexed="29"/>
      </patternFill>
    </fill>
    <fill>
      <patternFill patternType="solid">
        <fgColor indexed="26"/>
      </patternFill>
    </fill>
    <fill>
      <patternFill patternType="solid">
        <fgColor indexed="9"/>
      </patternFill>
    </fill>
    <fill>
      <patternFill patternType="solid">
        <fgColor indexed="44"/>
      </patternFill>
    </fill>
    <fill>
      <patternFill patternType="solid">
        <fgColor indexed="45"/>
      </patternFill>
    </fill>
    <fill>
      <patternFill patternType="solid">
        <fgColor indexed="54"/>
      </patternFill>
    </fill>
    <fill>
      <patternFill patternType="solid">
        <fgColor indexed="57"/>
      </patternFill>
    </fill>
    <fill>
      <patternFill patternType="solid">
        <fgColor indexed="22"/>
      </patternFill>
    </fill>
    <fill>
      <patternFill patternType="solid">
        <fgColor indexed="47"/>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43"/>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15"/>
      </patternFill>
    </fill>
    <fill>
      <patternFill patternType="solid">
        <fgColor rgb="FFA500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4506668294322"/>
        <bgColor indexed="64"/>
      </patternFill>
    </fill>
    <fill>
      <patternFill patternType="solid">
        <fgColor rgb="FFD795CA"/>
        <bgColor indexed="64"/>
      </patternFill>
    </fill>
    <fill>
      <patternFill patternType="solid">
        <fgColor rgb="FF31869B"/>
        <bgColor indexed="64"/>
      </patternFill>
    </fill>
    <fill>
      <patternFill patternType="solid">
        <fgColor rgb="FFDA9694"/>
        <bgColor indexed="64"/>
      </patternFill>
    </fill>
    <fill>
      <patternFill patternType="solid">
        <fgColor rgb="FFCCC0DA"/>
        <bgColor indexed="64"/>
      </patternFill>
    </fill>
    <fill>
      <patternFill patternType="solid">
        <fgColor theme="4"/>
        <bgColor theme="4"/>
      </patternFill>
    </fill>
  </fills>
  <borders count="9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theme="4" tint="0.3999755851924192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top/>
      <bottom style="thin">
        <color indexed="64"/>
      </bottom>
      <diagonal/>
    </border>
    <border>
      <left style="thick">
        <color indexed="64"/>
      </left>
      <right style="thick">
        <color indexed="64"/>
      </right>
      <top/>
      <bottom style="thick">
        <color indexed="64"/>
      </bottom>
      <diagonal/>
    </border>
    <border>
      <left style="medium">
        <color indexed="64"/>
      </left>
      <right/>
      <top style="thin">
        <color indexed="64"/>
      </top>
      <bottom style="thin">
        <color indexed="64"/>
      </bottom>
      <diagonal/>
    </border>
    <border>
      <left/>
      <right style="thick">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thin">
        <color indexed="64"/>
      </left>
      <right/>
      <top style="medium">
        <color indexed="64"/>
      </top>
      <bottom style="thin">
        <color indexed="64"/>
      </bottom>
      <diagonal/>
    </border>
    <border>
      <left style="thin">
        <color auto="1"/>
      </left>
      <right/>
      <top/>
      <bottom style="medium">
        <color indexed="64"/>
      </bottom>
      <diagonal/>
    </border>
    <border>
      <left style="thin">
        <color auto="1"/>
      </left>
      <right/>
      <top style="medium">
        <color indexed="64"/>
      </top>
      <bottom/>
      <diagonal/>
    </border>
    <border>
      <left/>
      <right style="thin">
        <color indexed="64"/>
      </right>
      <top style="medium">
        <color indexed="64"/>
      </top>
      <bottom style="thin">
        <color indexed="64"/>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medium">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medium">
        <color indexed="64"/>
      </left>
      <right/>
      <top/>
      <bottom style="medium">
        <color indexed="64"/>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diagonal/>
    </border>
    <border>
      <left style="thin">
        <color auto="1"/>
      </left>
      <right/>
      <top style="medium">
        <color auto="1"/>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theme="0"/>
      </left>
      <right style="thick">
        <color theme="0"/>
      </right>
      <top style="medium">
        <color theme="0"/>
      </top>
      <bottom style="medium">
        <color theme="0"/>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top style="medium">
        <color theme="4" tint="0.39997558519241921"/>
      </top>
      <bottom/>
      <diagonal/>
    </border>
    <border>
      <left/>
      <right/>
      <top style="medium">
        <color theme="4" tint="0.39997558519241921"/>
      </top>
      <bottom/>
      <diagonal/>
    </border>
    <border>
      <left/>
      <right style="thin">
        <color theme="4"/>
      </right>
      <top style="medium">
        <color theme="4" tint="0.39997558519241921"/>
      </top>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5602">
    <xf numFmtId="0" fontId="0" fillId="0" borderId="0"/>
    <xf numFmtId="0" fontId="19" fillId="0" borderId="0"/>
    <xf numFmtId="0" fontId="23" fillId="0" borderId="34"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alignment vertical="top"/>
      <protection locked="0"/>
    </xf>
    <xf numFmtId="0" fontId="22" fillId="0" borderId="0"/>
    <xf numFmtId="0" fontId="33" fillId="0" borderId="0" applyNumberFormat="0" applyFill="0" applyBorder="0" applyAlignment="0" applyProtection="0">
      <alignment vertical="top"/>
      <protection locked="0"/>
    </xf>
    <xf numFmtId="0" fontId="44" fillId="35"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1" borderId="0" applyNumberFormat="0" applyBorder="0" applyAlignment="0" applyProtection="0"/>
    <xf numFmtId="0" fontId="44" fillId="36" borderId="0" applyNumberFormat="0" applyBorder="0" applyAlignment="0" applyProtection="0"/>
    <xf numFmtId="0" fontId="44" fillId="42" borderId="0" applyNumberFormat="0" applyBorder="0" applyAlignment="0" applyProtection="0"/>
    <xf numFmtId="0" fontId="44" fillId="43" borderId="0" applyNumberFormat="0" applyBorder="0" applyAlignment="0" applyProtection="0"/>
    <xf numFmtId="0" fontId="44" fillId="41" borderId="0" applyNumberFormat="0" applyBorder="0" applyAlignment="0" applyProtection="0"/>
    <xf numFmtId="0" fontId="44" fillId="44" borderId="0" applyNumberFormat="0" applyBorder="0" applyAlignment="0" applyProtection="0"/>
    <xf numFmtId="0" fontId="45" fillId="41" borderId="0" applyNumberFormat="0" applyBorder="0" applyAlignment="0" applyProtection="0"/>
    <xf numFmtId="0" fontId="45" fillId="36"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45" fillId="41" borderId="0" applyNumberFormat="0" applyBorder="0" applyAlignment="0" applyProtection="0"/>
    <xf numFmtId="0" fontId="45" fillId="44" borderId="0" applyNumberFormat="0" applyBorder="0" applyAlignment="0" applyProtection="0"/>
    <xf numFmtId="0" fontId="46"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7" fillId="50" borderId="0" applyNumberFormat="0" applyBorder="0" applyAlignment="0" applyProtection="0"/>
    <xf numFmtId="0" fontId="47" fillId="51" borderId="0" applyNumberFormat="0" applyBorder="0" applyAlignment="0" applyProtection="0"/>
    <xf numFmtId="0" fontId="46" fillId="52" borderId="0" applyNumberFormat="0" applyBorder="0" applyAlignment="0" applyProtection="0"/>
    <xf numFmtId="0" fontId="46"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6" fillId="55" borderId="0" applyNumberFormat="0" applyBorder="0" applyAlignment="0" applyProtection="0"/>
    <xf numFmtId="0" fontId="46" fillId="56"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6" fillId="55" borderId="0" applyNumberFormat="0" applyBorder="0" applyAlignment="0" applyProtection="0"/>
    <xf numFmtId="0" fontId="46" fillId="57"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6" fillId="47" borderId="0" applyNumberFormat="0" applyBorder="0" applyAlignment="0" applyProtection="0"/>
    <xf numFmtId="0" fontId="46" fillId="58" borderId="0" applyNumberFormat="0" applyBorder="0" applyAlignment="0" applyProtection="0"/>
    <xf numFmtId="0" fontId="47" fillId="59" borderId="0" applyNumberFormat="0" applyBorder="0" applyAlignment="0" applyProtection="0"/>
    <xf numFmtId="0" fontId="47" fillId="51" borderId="0" applyNumberFormat="0" applyBorder="0" applyAlignment="0" applyProtection="0"/>
    <xf numFmtId="0" fontId="46" fillId="60" borderId="0" applyNumberFormat="0" applyBorder="0" applyAlignment="0" applyProtection="0"/>
    <xf numFmtId="0" fontId="48" fillId="51" borderId="0" applyNumberFormat="0" applyBorder="0" applyAlignment="0" applyProtection="0"/>
    <xf numFmtId="0" fontId="49" fillId="61" borderId="53" applyNumberFormat="0" applyAlignment="0" applyProtection="0"/>
    <xf numFmtId="0" fontId="50" fillId="52" borderId="54" applyNumberFormat="0" applyAlignment="0" applyProtection="0"/>
    <xf numFmtId="0" fontId="51" fillId="62" borderId="0" applyNumberFormat="0" applyBorder="0" applyAlignment="0" applyProtection="0"/>
    <xf numFmtId="0" fontId="51" fillId="63" borderId="0" applyNumberFormat="0" applyBorder="0" applyAlignment="0" applyProtection="0"/>
    <xf numFmtId="0" fontId="51" fillId="64" borderId="0" applyNumberFormat="0" applyBorder="0" applyAlignment="0" applyProtection="0"/>
    <xf numFmtId="0" fontId="52" fillId="0" borderId="0" applyNumberFormat="0" applyFill="0" applyBorder="0" applyAlignment="0" applyProtection="0"/>
    <xf numFmtId="0" fontId="53" fillId="65" borderId="0" applyNumberFormat="0" applyBorder="0" applyAlignment="0" applyProtection="0"/>
    <xf numFmtId="0" fontId="54" fillId="0" borderId="55" applyNumberFormat="0" applyFill="0" applyAlignment="0" applyProtection="0"/>
    <xf numFmtId="0" fontId="55" fillId="0" borderId="56" applyNumberFormat="0" applyFill="0" applyAlignment="0" applyProtection="0"/>
    <xf numFmtId="0" fontId="56" fillId="0" borderId="57" applyNumberFormat="0" applyFill="0" applyAlignment="0" applyProtection="0"/>
    <xf numFmtId="0" fontId="56" fillId="0" borderId="0" applyNumberFormat="0" applyFill="0" applyBorder="0" applyAlignment="0" applyProtection="0"/>
    <xf numFmtId="0" fontId="57" fillId="60" borderId="53" applyNumberFormat="0" applyAlignment="0" applyProtection="0"/>
    <xf numFmtId="0" fontId="58" fillId="0" borderId="58" applyNumberFormat="0" applyFill="0" applyAlignment="0" applyProtection="0"/>
    <xf numFmtId="0" fontId="59" fillId="60" borderId="0" applyNumberFormat="0" applyBorder="0" applyAlignment="0" applyProtection="0"/>
    <xf numFmtId="0" fontId="22" fillId="59" borderId="59" applyNumberFormat="0" applyFont="0" applyAlignment="0" applyProtection="0"/>
    <xf numFmtId="0" fontId="60" fillId="61" borderId="60" applyNumberFormat="0" applyAlignment="0" applyProtection="0"/>
    <xf numFmtId="4" fontId="61" fillId="66" borderId="61" applyNumberFormat="0" applyProtection="0">
      <alignment vertical="center"/>
    </xf>
    <xf numFmtId="4" fontId="62" fillId="66" borderId="61" applyNumberFormat="0" applyProtection="0">
      <alignment vertical="center"/>
    </xf>
    <xf numFmtId="4" fontId="61" fillId="66" borderId="61" applyNumberFormat="0" applyProtection="0">
      <alignment horizontal="left" vertical="center" indent="1"/>
    </xf>
    <xf numFmtId="0" fontId="61" fillId="66" borderId="61" applyNumberFormat="0" applyProtection="0">
      <alignment horizontal="left" vertical="top" indent="1"/>
    </xf>
    <xf numFmtId="4" fontId="61" fillId="35" borderId="0" applyNumberFormat="0" applyProtection="0">
      <alignment horizontal="left" vertical="center" indent="1"/>
    </xf>
    <xf numFmtId="4" fontId="44" fillId="40" borderId="61" applyNumberFormat="0" applyProtection="0">
      <alignment horizontal="right" vertical="center"/>
    </xf>
    <xf numFmtId="4" fontId="44" fillId="36" borderId="61" applyNumberFormat="0" applyProtection="0">
      <alignment horizontal="right" vertical="center"/>
    </xf>
    <xf numFmtId="4" fontId="44" fillId="67" borderId="61" applyNumberFormat="0" applyProtection="0">
      <alignment horizontal="right" vertical="center"/>
    </xf>
    <xf numFmtId="4" fontId="44" fillId="68" borderId="61" applyNumberFormat="0" applyProtection="0">
      <alignment horizontal="right" vertical="center"/>
    </xf>
    <xf numFmtId="4" fontId="44" fillId="69" borderId="61" applyNumberFormat="0" applyProtection="0">
      <alignment horizontal="right" vertical="center"/>
    </xf>
    <xf numFmtId="4" fontId="44" fillId="70" borderId="61" applyNumberFormat="0" applyProtection="0">
      <alignment horizontal="right" vertical="center"/>
    </xf>
    <xf numFmtId="4" fontId="44" fillId="42" borderId="61" applyNumberFormat="0" applyProtection="0">
      <alignment horizontal="right" vertical="center"/>
    </xf>
    <xf numFmtId="4" fontId="44" fillId="71" borderId="61" applyNumberFormat="0" applyProtection="0">
      <alignment horizontal="right" vertical="center"/>
    </xf>
    <xf numFmtId="4" fontId="44" fillId="72" borderId="61" applyNumberFormat="0" applyProtection="0">
      <alignment horizontal="right" vertical="center"/>
    </xf>
    <xf numFmtId="4" fontId="61" fillId="73" borderId="62" applyNumberFormat="0" applyProtection="0">
      <alignment horizontal="left" vertical="center" indent="1"/>
    </xf>
    <xf numFmtId="4" fontId="44" fillId="74" borderId="0" applyNumberFormat="0" applyProtection="0">
      <alignment horizontal="left" vertical="center" indent="1"/>
    </xf>
    <xf numFmtId="4" fontId="63" fillId="41" borderId="0" applyNumberFormat="0" applyProtection="0">
      <alignment horizontal="left" vertical="center" indent="1"/>
    </xf>
    <xf numFmtId="4" fontId="44" fillId="35" borderId="61" applyNumberFormat="0" applyProtection="0">
      <alignment horizontal="right" vertical="center"/>
    </xf>
    <xf numFmtId="4" fontId="44" fillId="74" borderId="0" applyNumberFormat="0" applyProtection="0">
      <alignment horizontal="left" vertical="center" indent="1"/>
    </xf>
    <xf numFmtId="4" fontId="44" fillId="35" borderId="0" applyNumberFormat="0" applyProtection="0">
      <alignment horizontal="left" vertical="center" indent="1"/>
    </xf>
    <xf numFmtId="0" fontId="22" fillId="41" borderId="61" applyNumberFormat="0" applyProtection="0">
      <alignment horizontal="left" vertical="center" indent="1"/>
    </xf>
    <xf numFmtId="0" fontId="22" fillId="41" borderId="61" applyNumberFormat="0" applyProtection="0">
      <alignment horizontal="left" vertical="top" indent="1"/>
    </xf>
    <xf numFmtId="0" fontId="22" fillId="35" borderId="61" applyNumberFormat="0" applyProtection="0">
      <alignment horizontal="left" vertical="center" indent="1"/>
    </xf>
    <xf numFmtId="0" fontId="22" fillId="35" borderId="61" applyNumberFormat="0" applyProtection="0">
      <alignment horizontal="left" vertical="top" indent="1"/>
    </xf>
    <xf numFmtId="0" fontId="22" fillId="39" borderId="61" applyNumberFormat="0" applyProtection="0">
      <alignment horizontal="left" vertical="center" indent="1"/>
    </xf>
    <xf numFmtId="0" fontId="22" fillId="39" borderId="61" applyNumberFormat="0" applyProtection="0">
      <alignment horizontal="left" vertical="top" indent="1"/>
    </xf>
    <xf numFmtId="0" fontId="22" fillId="74" borderId="61" applyNumberFormat="0" applyProtection="0">
      <alignment horizontal="left" vertical="center" indent="1"/>
    </xf>
    <xf numFmtId="0" fontId="22" fillId="74" borderId="61" applyNumberFormat="0" applyProtection="0">
      <alignment horizontal="left" vertical="top" indent="1"/>
    </xf>
    <xf numFmtId="0" fontId="22" fillId="38" borderId="1" applyNumberFormat="0">
      <protection locked="0"/>
    </xf>
    <xf numFmtId="4" fontId="44" fillId="37" borderId="61" applyNumberFormat="0" applyProtection="0">
      <alignment vertical="center"/>
    </xf>
    <xf numFmtId="4" fontId="64" fillId="37" borderId="61" applyNumberFormat="0" applyProtection="0">
      <alignment vertical="center"/>
    </xf>
    <xf numFmtId="4" fontId="44" fillId="37" borderId="61" applyNumberFormat="0" applyProtection="0">
      <alignment horizontal="left" vertical="center" indent="1"/>
    </xf>
    <xf numFmtId="0" fontId="44" fillId="37" borderId="61" applyNumberFormat="0" applyProtection="0">
      <alignment horizontal="left" vertical="top" indent="1"/>
    </xf>
    <xf numFmtId="4" fontId="44" fillId="74" borderId="61" applyNumberFormat="0" applyProtection="0">
      <alignment horizontal="right" vertical="center"/>
    </xf>
    <xf numFmtId="4" fontId="64" fillId="74" borderId="61" applyNumberFormat="0" applyProtection="0">
      <alignment horizontal="right" vertical="center"/>
    </xf>
    <xf numFmtId="4" fontId="44" fillId="35" borderId="61" applyNumberFormat="0" applyProtection="0">
      <alignment horizontal="left" vertical="center" indent="1"/>
    </xf>
    <xf numFmtId="0" fontId="44" fillId="35" borderId="61" applyNumberFormat="0" applyProtection="0">
      <alignment horizontal="left" vertical="top" indent="1"/>
    </xf>
    <xf numFmtId="4" fontId="65" fillId="75" borderId="0" applyNumberFormat="0" applyProtection="0">
      <alignment horizontal="left" vertical="center" indent="1"/>
    </xf>
    <xf numFmtId="4" fontId="43" fillId="74" borderId="61" applyNumberFormat="0" applyProtection="0">
      <alignment horizontal="right" vertical="center"/>
    </xf>
    <xf numFmtId="0" fontId="66" fillId="0" borderId="0" applyNumberFormat="0" applyFill="0" applyBorder="0" applyAlignment="0" applyProtection="0"/>
    <xf numFmtId="0" fontId="66" fillId="0" borderId="0" applyNumberFormat="0" applyFill="0" applyBorder="0" applyAlignment="0" applyProtection="0"/>
    <xf numFmtId="0" fontId="51" fillId="0" borderId="63" applyNumberFormat="0" applyFill="0" applyAlignment="0" applyProtection="0"/>
    <xf numFmtId="0" fontId="67" fillId="0" borderId="0" applyNumberFormat="0" applyFill="0" applyBorder="0" applyAlignment="0" applyProtection="0"/>
    <xf numFmtId="0" fontId="69" fillId="0" borderId="0" applyNumberFormat="0" applyFill="0" applyBorder="0" applyAlignment="0" applyProtection="0"/>
    <xf numFmtId="0" fontId="70" fillId="0" borderId="65" applyNumberFormat="0" applyFill="0" applyAlignment="0" applyProtection="0"/>
    <xf numFmtId="0" fontId="71" fillId="0" borderId="66" applyNumberFormat="0" applyFill="0" applyAlignment="0" applyProtection="0"/>
    <xf numFmtId="0" fontId="23" fillId="0" borderId="0" applyNumberFormat="0" applyFill="0" applyBorder="0" applyAlignment="0" applyProtection="0"/>
    <xf numFmtId="0" fontId="72" fillId="77" borderId="0" applyNumberFormat="0" applyBorder="0" applyAlignment="0" applyProtection="0"/>
    <xf numFmtId="0" fontId="73" fillId="78" borderId="0" applyNumberFormat="0" applyBorder="0" applyAlignment="0" applyProtection="0"/>
    <xf numFmtId="0" fontId="74" fillId="79" borderId="0" applyNumberFormat="0" applyBorder="0" applyAlignment="0" applyProtection="0"/>
    <xf numFmtId="0" fontId="75" fillId="80" borderId="67" applyNumberFormat="0" applyAlignment="0" applyProtection="0"/>
    <xf numFmtId="0" fontId="76" fillId="81" borderId="68" applyNumberFormat="0" applyAlignment="0" applyProtection="0"/>
    <xf numFmtId="0" fontId="77" fillId="81" borderId="67" applyNumberFormat="0" applyAlignment="0" applyProtection="0"/>
    <xf numFmtId="0" fontId="78" fillId="0" borderId="69" applyNumberFormat="0" applyFill="0" applyAlignment="0" applyProtection="0"/>
    <xf numFmtId="0" fontId="20" fillId="82" borderId="70" applyNumberFormat="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1" fillId="0" borderId="72" applyNumberFormat="0" applyFill="0" applyAlignment="0" applyProtection="0"/>
    <xf numFmtId="0" fontId="82" fillId="84" borderId="0" applyNumberFormat="0" applyBorder="0" applyAlignment="0" applyProtection="0"/>
    <xf numFmtId="0" fontId="19" fillId="85" borderId="0" applyNumberFormat="0" applyBorder="0" applyAlignment="0" applyProtection="0"/>
    <xf numFmtId="0" fontId="19" fillId="86" borderId="0" applyNumberFormat="0" applyBorder="0" applyAlignment="0" applyProtection="0"/>
    <xf numFmtId="0" fontId="82" fillId="87" borderId="0" applyNumberFormat="0" applyBorder="0" applyAlignment="0" applyProtection="0"/>
    <xf numFmtId="0" fontId="82" fillId="88"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82" fillId="91" borderId="0" applyNumberFormat="0" applyBorder="0" applyAlignment="0" applyProtection="0"/>
    <xf numFmtId="0" fontId="82" fillId="92"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82" fillId="95" borderId="0" applyNumberFormat="0" applyBorder="0" applyAlignment="0" applyProtection="0"/>
    <xf numFmtId="0" fontId="82" fillId="96"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82" fillId="99" borderId="0" applyNumberFormat="0" applyBorder="0" applyAlignment="0" applyProtection="0"/>
    <xf numFmtId="0" fontId="82" fillId="100"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82" fillId="103" borderId="0" applyNumberFormat="0" applyBorder="0" applyAlignment="0" applyProtection="0"/>
    <xf numFmtId="0" fontId="82" fillId="104"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82" fillId="107"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0" fontId="82" fillId="87" borderId="0" applyNumberFormat="0" applyBorder="0" applyAlignment="0" applyProtection="0"/>
    <xf numFmtId="0" fontId="82" fillId="91" borderId="0" applyNumberFormat="0" applyBorder="0" applyAlignment="0" applyProtection="0"/>
    <xf numFmtId="0" fontId="82" fillId="95" borderId="0" applyNumberFormat="0" applyBorder="0" applyAlignment="0" applyProtection="0"/>
    <xf numFmtId="0" fontId="82" fillId="99" borderId="0" applyNumberFormat="0" applyBorder="0" applyAlignment="0" applyProtection="0"/>
    <xf numFmtId="0" fontId="82" fillId="103" borderId="0" applyNumberFormat="0" applyBorder="0" applyAlignment="0" applyProtection="0"/>
    <xf numFmtId="0" fontId="82" fillId="107" borderId="0" applyNumberFormat="0" applyBorder="0" applyAlignment="0" applyProtection="0"/>
    <xf numFmtId="0" fontId="82" fillId="84" borderId="0" applyNumberFormat="0" applyBorder="0" applyAlignment="0" applyProtection="0"/>
    <xf numFmtId="0" fontId="82" fillId="88" borderId="0" applyNumberFormat="0" applyBorder="0" applyAlignment="0" applyProtection="0"/>
    <xf numFmtId="0" fontId="82" fillId="92" borderId="0" applyNumberFormat="0" applyBorder="0" applyAlignment="0" applyProtection="0"/>
    <xf numFmtId="0" fontId="82" fillId="96" borderId="0" applyNumberFormat="0" applyBorder="0" applyAlignment="0" applyProtection="0"/>
    <xf numFmtId="0" fontId="82" fillId="100" borderId="0" applyNumberFormat="0" applyBorder="0" applyAlignment="0" applyProtection="0"/>
    <xf numFmtId="0" fontId="82" fillId="104" borderId="0" applyNumberFormat="0" applyBorder="0" applyAlignment="0" applyProtection="0"/>
    <xf numFmtId="0" fontId="73" fillId="78" borderId="0" applyNumberFormat="0" applyBorder="0" applyAlignment="0" applyProtection="0"/>
    <xf numFmtId="0" fontId="77" fillId="81" borderId="67" applyNumberFormat="0" applyAlignment="0" applyProtection="0"/>
    <xf numFmtId="0" fontId="20" fillId="82" borderId="70" applyNumberFormat="0" applyAlignment="0" applyProtection="0"/>
    <xf numFmtId="170" fontId="22" fillId="0" borderId="0" applyFont="0" applyFill="0" applyBorder="0" applyAlignment="0" applyProtection="0"/>
    <xf numFmtId="170" fontId="19" fillId="0" borderId="0" applyFont="0" applyFill="0" applyBorder="0" applyAlignment="0" applyProtection="0"/>
    <xf numFmtId="0" fontId="22" fillId="108" borderId="0"/>
    <xf numFmtId="0" fontId="80" fillId="0" borderId="0" applyNumberFormat="0" applyFill="0" applyBorder="0" applyAlignment="0" applyProtection="0"/>
    <xf numFmtId="0" fontId="72" fillId="77" borderId="0" applyNumberFormat="0" applyBorder="0" applyAlignment="0" applyProtection="0"/>
    <xf numFmtId="0" fontId="70" fillId="0" borderId="65" applyNumberFormat="0" applyFill="0" applyAlignment="0" applyProtection="0"/>
    <xf numFmtId="0" fontId="71" fillId="0" borderId="66" applyNumberFormat="0" applyFill="0" applyAlignment="0" applyProtection="0"/>
    <xf numFmtId="0" fontId="23" fillId="0" borderId="34" applyNumberFormat="0" applyFill="0" applyAlignment="0" applyProtection="0"/>
    <xf numFmtId="0" fontId="23" fillId="0" borderId="0" applyNumberFormat="0" applyFill="0" applyBorder="0" applyAlignment="0" applyProtection="0"/>
    <xf numFmtId="0" fontId="75" fillId="80" borderId="67" applyNumberFormat="0" applyAlignment="0" applyProtection="0"/>
    <xf numFmtId="0" fontId="78" fillId="0" borderId="69" applyNumberFormat="0" applyFill="0" applyAlignment="0" applyProtection="0"/>
    <xf numFmtId="0" fontId="74" fillId="79"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9"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76" fillId="81" borderId="68" applyNumberFormat="0" applyAlignment="0" applyProtection="0"/>
    <xf numFmtId="9" fontId="22" fillId="0" borderId="0" applyFont="0" applyFill="0" applyBorder="0" applyAlignment="0" applyProtection="0"/>
    <xf numFmtId="0" fontId="22" fillId="109" borderId="0">
      <alignment vertical="top" wrapText="1"/>
    </xf>
    <xf numFmtId="0" fontId="81" fillId="0" borderId="72" applyNumberFormat="0" applyFill="0" applyAlignment="0" applyProtection="0"/>
    <xf numFmtId="0" fontId="79" fillId="0" borderId="0" applyNumberFormat="0" applyFill="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5" fillId="0" borderId="0" applyNumberFormat="0" applyFill="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22" fillId="0" borderId="0" applyFont="0" applyFill="0" applyBorder="0" applyAlignment="0" applyProtection="0"/>
    <xf numFmtId="170" fontId="19" fillId="0" borderId="0" applyFont="0" applyFill="0" applyBorder="0" applyAlignment="0" applyProtection="0"/>
    <xf numFmtId="169" fontId="22"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9"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9" fontId="22" fillId="0" borderId="0" applyFont="0" applyFill="0" applyBorder="0" applyAlignment="0" applyProtection="0"/>
    <xf numFmtId="0" fontId="22" fillId="41" borderId="61" applyNumberFormat="0" applyProtection="0">
      <alignment horizontal="left" vertical="center" indent="1"/>
    </xf>
    <xf numFmtId="0" fontId="22" fillId="41" borderId="61" applyNumberFormat="0" applyProtection="0">
      <alignment horizontal="left" vertical="top" indent="1"/>
    </xf>
    <xf numFmtId="0" fontId="22" fillId="35" borderId="61" applyNumberFormat="0" applyProtection="0">
      <alignment horizontal="left" vertical="center" indent="1"/>
    </xf>
    <xf numFmtId="0" fontId="22" fillId="35" borderId="61" applyNumberFormat="0" applyProtection="0">
      <alignment horizontal="left" vertical="top" indent="1"/>
    </xf>
    <xf numFmtId="0" fontId="22" fillId="39" borderId="61" applyNumberFormat="0" applyProtection="0">
      <alignment horizontal="left" vertical="center" indent="1"/>
    </xf>
    <xf numFmtId="0" fontId="22" fillId="39" borderId="61" applyNumberFormat="0" applyProtection="0">
      <alignment horizontal="left" vertical="top" indent="1"/>
    </xf>
    <xf numFmtId="0" fontId="22" fillId="74" borderId="61" applyNumberFormat="0" applyProtection="0">
      <alignment horizontal="left" vertical="center" indent="1"/>
    </xf>
    <xf numFmtId="0" fontId="22" fillId="74" borderId="61" applyNumberFormat="0" applyProtection="0">
      <alignment horizontal="left" vertical="top" indent="1"/>
    </xf>
    <xf numFmtId="0" fontId="22" fillId="38" borderId="1" applyNumberFormat="0">
      <protection locked="0"/>
    </xf>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33" fillId="0" borderId="0" applyNumberFormat="0" applyFill="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2" fillId="0" borderId="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22" fillId="0" borderId="0" applyFont="0" applyFill="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9" fontId="22" fillId="0" borderId="0" applyFont="0" applyFill="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2" fillId="0" borderId="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2" fillId="0" borderId="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0" fontId="19" fillId="106" borderId="0" applyNumberFormat="0" applyBorder="0" applyAlignment="0" applyProtection="0"/>
    <xf numFmtId="170" fontId="22" fillId="0" borderId="0" applyFont="0" applyFill="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9" fontId="22" fillId="0" borderId="0" applyFont="0" applyFill="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33" fillId="0" borderId="0" applyNumberFormat="0" applyFill="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43" fontId="19" fillId="0" borderId="0" applyFont="0" applyFill="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2" fillId="0" borderId="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22" fillId="0" borderId="0" applyFont="0" applyFill="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9" fontId="22" fillId="0" borderId="0" applyFont="0" applyFill="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2" fillId="0" borderId="0"/>
    <xf numFmtId="0" fontId="19" fillId="0" borderId="0"/>
    <xf numFmtId="0" fontId="19" fillId="83" borderId="71" applyNumberFormat="0" applyFont="0" applyAlignment="0" applyProtection="0"/>
    <xf numFmtId="43" fontId="19" fillId="0" borderId="0" applyFont="0" applyFill="0" applyBorder="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22" fillId="0" borderId="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22" fillId="0" borderId="0" applyFont="0" applyFill="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9" fontId="22" fillId="0" borderId="0" applyFont="0" applyFill="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43" fontId="19" fillId="0" borderId="0" applyFont="0" applyFill="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0" borderId="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5" borderId="0" applyNumberFormat="0" applyBorder="0" applyAlignment="0" applyProtection="0"/>
    <xf numFmtId="0" fontId="19" fillId="89" borderId="0" applyNumberFormat="0" applyBorder="0" applyAlignment="0" applyProtection="0"/>
    <xf numFmtId="0" fontId="19" fillId="93" borderId="0" applyNumberFormat="0" applyBorder="0" applyAlignment="0" applyProtection="0"/>
    <xf numFmtId="0" fontId="19" fillId="97" borderId="0" applyNumberFormat="0" applyBorder="0" applyAlignment="0" applyProtection="0"/>
    <xf numFmtId="0" fontId="19" fillId="101" borderId="0" applyNumberFormat="0" applyBorder="0" applyAlignment="0" applyProtection="0"/>
    <xf numFmtId="0" fontId="19" fillId="105" borderId="0" applyNumberFormat="0" applyBorder="0" applyAlignment="0" applyProtection="0"/>
    <xf numFmtId="0" fontId="19" fillId="86" borderId="0" applyNumberFormat="0" applyBorder="0" applyAlignment="0" applyProtection="0"/>
    <xf numFmtId="0" fontId="19" fillId="90" borderId="0" applyNumberFormat="0" applyBorder="0" applyAlignment="0" applyProtection="0"/>
    <xf numFmtId="0" fontId="19" fillId="94" borderId="0" applyNumberFormat="0" applyBorder="0" applyAlignment="0" applyProtection="0"/>
    <xf numFmtId="0" fontId="19" fillId="98" borderId="0" applyNumberFormat="0" applyBorder="0" applyAlignment="0" applyProtection="0"/>
    <xf numFmtId="0" fontId="19" fillId="102" borderId="0" applyNumberFormat="0" applyBorder="0" applyAlignment="0" applyProtection="0"/>
    <xf numFmtId="0" fontId="19" fillId="106" borderId="0" applyNumberFormat="0" applyBorder="0" applyAlignment="0" applyProtection="0"/>
    <xf numFmtId="17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0" borderId="0"/>
    <xf numFmtId="0" fontId="19" fillId="0" borderId="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xf numFmtId="0" fontId="19" fillId="83" borderId="71" applyNumberFormat="0" applyFont="0" applyAlignment="0" applyProtection="0"/>
    <xf numFmtId="0" fontId="19" fillId="85" borderId="0" applyNumberFormat="0" applyBorder="0" applyAlignment="0" applyProtection="0"/>
    <xf numFmtId="0" fontId="19" fillId="86" borderId="0" applyNumberFormat="0" applyBorder="0" applyAlignment="0" applyProtection="0"/>
    <xf numFmtId="0" fontId="19" fillId="89" borderId="0" applyNumberFormat="0" applyBorder="0" applyAlignment="0" applyProtection="0"/>
    <xf numFmtId="0" fontId="19" fillId="90" borderId="0" applyNumberFormat="0" applyBorder="0" applyAlignment="0" applyProtection="0"/>
    <xf numFmtId="0" fontId="19" fillId="93" borderId="0" applyNumberFormat="0" applyBorder="0" applyAlignment="0" applyProtection="0"/>
    <xf numFmtId="0" fontId="19" fillId="94" borderId="0" applyNumberFormat="0" applyBorder="0" applyAlignment="0" applyProtection="0"/>
    <xf numFmtId="0" fontId="19" fillId="97" borderId="0" applyNumberFormat="0" applyBorder="0" applyAlignment="0" applyProtection="0"/>
    <xf numFmtId="0" fontId="19" fillId="98" borderId="0" applyNumberFormat="0" applyBorder="0" applyAlignment="0" applyProtection="0"/>
    <xf numFmtId="0" fontId="19" fillId="101" borderId="0" applyNumberFormat="0" applyBorder="0" applyAlignment="0" applyProtection="0"/>
    <xf numFmtId="0" fontId="19" fillId="102" borderId="0" applyNumberFormat="0" applyBorder="0" applyAlignment="0" applyProtection="0"/>
    <xf numFmtId="0" fontId="19" fillId="105" borderId="0" applyNumberFormat="0" applyBorder="0" applyAlignment="0" applyProtection="0"/>
    <xf numFmtId="0" fontId="19" fillId="106" borderId="0" applyNumberFormat="0" applyBorder="0" applyAlignment="0" applyProtection="0"/>
  </cellStyleXfs>
  <cellXfs count="428">
    <xf numFmtId="0" fontId="0" fillId="0" borderId="0" xfId="0"/>
    <xf numFmtId="0" fontId="2" fillId="0" borderId="0" xfId="0" applyFont="1"/>
    <xf numFmtId="0" fontId="0" fillId="5" borderId="0" xfId="0" applyFill="1"/>
    <xf numFmtId="0" fontId="3" fillId="0" borderId="0" xfId="0" applyFont="1"/>
    <xf numFmtId="0" fontId="4" fillId="0" borderId="0" xfId="0" applyFont="1" applyBorder="1" applyAlignment="1">
      <alignment horizontal="center" vertical="center" wrapText="1"/>
    </xf>
    <xf numFmtId="0" fontId="0" fillId="6" borderId="0" xfId="0" applyFill="1"/>
    <xf numFmtId="0" fontId="0" fillId="7" borderId="0" xfId="0" applyFill="1"/>
    <xf numFmtId="0" fontId="0" fillId="8" borderId="0" xfId="0" applyFill="1"/>
    <xf numFmtId="0" fontId="6" fillId="0" borderId="0" xfId="0" applyFont="1"/>
    <xf numFmtId="0" fontId="0" fillId="10" borderId="2" xfId="0" applyFill="1" applyBorder="1" applyAlignment="1">
      <alignment wrapText="1"/>
    </xf>
    <xf numFmtId="0" fontId="0" fillId="11" borderId="2" xfId="0" applyFont="1" applyFill="1" applyBorder="1" applyAlignment="1">
      <alignment wrapText="1"/>
    </xf>
    <xf numFmtId="0" fontId="0" fillId="9" borderId="0" xfId="0" applyFill="1"/>
    <xf numFmtId="0" fontId="0" fillId="12" borderId="0" xfId="0" applyFill="1"/>
    <xf numFmtId="0" fontId="10" fillId="13" borderId="0" xfId="0" applyFont="1"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1"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1" xfId="0" applyFont="1" applyFill="1" applyBorder="1" applyAlignment="1" applyProtection="1">
      <alignment horizontal="center" vertical="center" wrapText="1"/>
    </xf>
    <xf numFmtId="0" fontId="1" fillId="14" borderId="0" xfId="0" applyFont="1" applyFill="1" applyBorder="1" applyAlignment="1">
      <alignment horizontal="center" vertical="center" wrapText="1"/>
    </xf>
    <xf numFmtId="0" fontId="6" fillId="0" borderId="6" xfId="0" applyFont="1" applyBorder="1" applyAlignment="1">
      <alignment horizontal="center" vertical="center" wrapText="1"/>
    </xf>
    <xf numFmtId="0" fontId="3" fillId="0" borderId="11" xfId="0" applyFont="1" applyBorder="1"/>
    <xf numFmtId="0" fontId="3" fillId="0" borderId="0" xfId="0" applyFont="1" applyBorder="1"/>
    <xf numFmtId="0" fontId="0" fillId="0" borderId="0" xfId="0" applyAlignment="1">
      <alignment wrapText="1"/>
    </xf>
    <xf numFmtId="0" fontId="3" fillId="0" borderId="0" xfId="0" applyFont="1" applyAlignment="1">
      <alignment wrapText="1"/>
    </xf>
    <xf numFmtId="164" fontId="2" fillId="2" borderId="1" xfId="0" applyNumberFormat="1" applyFont="1" applyFill="1" applyBorder="1" applyAlignment="1">
      <alignment horizontal="center" vertical="center" wrapText="1"/>
    </xf>
    <xf numFmtId="0" fontId="11" fillId="2" borderId="3" xfId="0" applyFont="1" applyFill="1" applyBorder="1" applyAlignment="1">
      <alignment horizontal="left" vertical="top" wrapText="1"/>
    </xf>
    <xf numFmtId="0" fontId="10" fillId="13" borderId="0" xfId="0" applyFont="1" applyFill="1" applyBorder="1" applyAlignment="1">
      <alignment horizontal="center" vertical="center" wrapText="1"/>
    </xf>
    <xf numFmtId="0" fontId="14" fillId="0" borderId="0" xfId="0" applyFont="1" applyBorder="1"/>
    <xf numFmtId="0" fontId="9" fillId="0" borderId="8"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0" fontId="9" fillId="0" borderId="0" xfId="0" applyFont="1" applyBorder="1" applyAlignment="1">
      <alignment horizontal="center" vertical="top" wrapText="1"/>
    </xf>
    <xf numFmtId="0" fontId="4" fillId="0" borderId="0" xfId="0" applyFont="1" applyBorder="1" applyAlignment="1">
      <alignment vertical="top" wrapText="1"/>
    </xf>
    <xf numFmtId="0" fontId="2" fillId="2" borderId="3"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 fillId="14" borderId="16" xfId="0" applyFont="1" applyFill="1" applyBorder="1" applyAlignment="1">
      <alignment horizontal="center" vertical="center" wrapText="1"/>
    </xf>
    <xf numFmtId="0" fontId="10" fillId="13" borderId="17" xfId="0" applyFont="1" applyFill="1" applyBorder="1" applyAlignment="1">
      <alignment horizontal="center" vertical="center" wrapText="1"/>
    </xf>
    <xf numFmtId="0" fontId="1" fillId="22" borderId="16" xfId="0" applyFont="1" applyFill="1" applyBorder="1" applyAlignment="1">
      <alignment horizontal="center" vertical="center" wrapText="1"/>
    </xf>
    <xf numFmtId="0" fontId="1" fillId="22" borderId="0" xfId="0" applyFont="1" applyFill="1" applyBorder="1" applyAlignment="1">
      <alignment horizontal="center" vertical="center" wrapText="1"/>
    </xf>
    <xf numFmtId="0" fontId="2" fillId="14" borderId="18"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0" fontId="11" fillId="14" borderId="16" xfId="0" applyFont="1" applyFill="1" applyBorder="1" applyAlignment="1">
      <alignment horizontal="center" vertical="center" wrapText="1"/>
    </xf>
    <xf numFmtId="0" fontId="11" fillId="14" borderId="0"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7" xfId="0" applyFont="1" applyFill="1" applyBorder="1" applyAlignment="1">
      <alignment horizontal="center" vertical="center" wrapText="1"/>
    </xf>
    <xf numFmtId="15" fontId="2" fillId="2" borderId="18" xfId="0" applyNumberFormat="1"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0" fontId="2" fillId="0" borderId="1"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15" fontId="5" fillId="2" borderId="18" xfId="0" applyNumberFormat="1" applyFont="1" applyFill="1" applyBorder="1" applyAlignment="1">
      <alignment horizontal="center" vertical="center" wrapText="1"/>
    </xf>
    <xf numFmtId="15" fontId="5" fillId="2" borderId="1" xfId="0" applyNumberFormat="1" applyFont="1" applyFill="1" applyBorder="1" applyAlignment="1">
      <alignment horizontal="center" vertical="center" wrapText="1"/>
    </xf>
    <xf numFmtId="0" fontId="5" fillId="0" borderId="1" xfId="0" applyFont="1" applyBorder="1" applyAlignment="1" applyProtection="1">
      <alignment horizontal="center" vertical="center" wrapText="1"/>
    </xf>
    <xf numFmtId="0" fontId="5" fillId="0" borderId="3" xfId="0" applyFont="1" applyBorder="1" applyAlignment="1" applyProtection="1">
      <alignment horizontal="center" vertical="center" wrapText="1"/>
    </xf>
    <xf numFmtId="165" fontId="2" fillId="3" borderId="18" xfId="0" applyNumberFormat="1" applyFont="1" applyFill="1" applyBorder="1" applyAlignment="1">
      <alignment horizontal="center" vertical="center" wrapText="1"/>
    </xf>
    <xf numFmtId="165" fontId="2" fillId="3" borderId="1" xfId="0" applyNumberFormat="1" applyFont="1" applyFill="1" applyBorder="1" applyAlignment="1">
      <alignment horizontal="center" vertical="center" wrapText="1"/>
    </xf>
    <xf numFmtId="165" fontId="2" fillId="3" borderId="19" xfId="0" applyNumberFormat="1" applyFont="1" applyFill="1" applyBorder="1" applyAlignment="1">
      <alignment horizontal="center" vertical="center" wrapText="1"/>
    </xf>
    <xf numFmtId="165" fontId="2" fillId="3" borderId="5"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16" xfId="0" applyBorder="1" applyAlignment="1">
      <alignment wrapText="1"/>
    </xf>
    <xf numFmtId="0" fontId="0" fillId="0" borderId="0" xfId="0" applyBorder="1" applyAlignment="1">
      <alignment wrapText="1"/>
    </xf>
    <xf numFmtId="0" fontId="0" fillId="0" borderId="17" xfId="0" applyBorder="1" applyAlignment="1">
      <alignment wrapText="1"/>
    </xf>
    <xf numFmtId="0" fontId="20" fillId="24" borderId="23" xfId="1" applyFont="1" applyFill="1" applyBorder="1" applyAlignment="1">
      <alignment horizontal="center"/>
    </xf>
    <xf numFmtId="0" fontId="20" fillId="24" borderId="24" xfId="1" applyFont="1" applyFill="1" applyBorder="1" applyAlignment="1">
      <alignment horizontal="center"/>
    </xf>
    <xf numFmtId="0" fontId="20" fillId="24" borderId="25" xfId="1" applyFont="1" applyFill="1" applyBorder="1" applyAlignment="1">
      <alignment horizontal="center"/>
    </xf>
    <xf numFmtId="0" fontId="19" fillId="11" borderId="0" xfId="1" applyFill="1"/>
    <xf numFmtId="0" fontId="21" fillId="25" borderId="26" xfId="1" applyFont="1" applyFill="1" applyBorder="1" applyAlignment="1">
      <alignment horizontal="center" vertical="center"/>
    </xf>
    <xf numFmtId="0" fontId="21" fillId="25" borderId="27" xfId="1" applyFont="1" applyFill="1" applyBorder="1" applyAlignment="1">
      <alignment horizontal="center" vertical="center"/>
    </xf>
    <xf numFmtId="0" fontId="21" fillId="25" borderId="28" xfId="1" applyFont="1" applyFill="1" applyBorder="1" applyAlignment="1">
      <alignment horizontal="center" vertical="center"/>
    </xf>
    <xf numFmtId="0" fontId="6" fillId="11" borderId="1" xfId="1" applyFont="1" applyFill="1" applyBorder="1"/>
    <xf numFmtId="0" fontId="6" fillId="11" borderId="19" xfId="1" applyFont="1" applyFill="1" applyBorder="1"/>
    <xf numFmtId="166" fontId="6" fillId="11" borderId="29" xfId="1" applyNumberFormat="1" applyFont="1" applyFill="1" applyBorder="1"/>
    <xf numFmtId="166" fontId="6" fillId="11" borderId="30" xfId="1" applyNumberFormat="1" applyFont="1" applyFill="1" applyBorder="1"/>
    <xf numFmtId="166" fontId="6" fillId="0" borderId="30" xfId="1" applyNumberFormat="1" applyFont="1" applyFill="1" applyBorder="1"/>
    <xf numFmtId="0" fontId="6" fillId="0" borderId="1" xfId="1" applyFont="1" applyFill="1" applyBorder="1"/>
    <xf numFmtId="0" fontId="6" fillId="0" borderId="30" xfId="1" applyFont="1" applyFill="1" applyBorder="1"/>
    <xf numFmtId="0" fontId="6" fillId="0" borderId="31" xfId="1" applyFont="1" applyFill="1" applyBorder="1"/>
    <xf numFmtId="0" fontId="19" fillId="0" borderId="0" xfId="1" applyFill="1"/>
    <xf numFmtId="166" fontId="6" fillId="0" borderId="29" xfId="1" applyNumberFormat="1" applyFont="1" applyFill="1" applyBorder="1"/>
    <xf numFmtId="0" fontId="6" fillId="11" borderId="30" xfId="1" applyFont="1" applyFill="1" applyBorder="1"/>
    <xf numFmtId="0" fontId="6" fillId="11" borderId="31" xfId="1" applyFont="1" applyFill="1" applyBorder="1"/>
    <xf numFmtId="0" fontId="22" fillId="11" borderId="1" xfId="1" applyFont="1" applyFill="1" applyBorder="1"/>
    <xf numFmtId="0" fontId="22" fillId="0" borderId="1" xfId="1" applyFont="1" applyFill="1" applyBorder="1"/>
    <xf numFmtId="0" fontId="22" fillId="11" borderId="32" xfId="1" applyFont="1" applyFill="1" applyBorder="1"/>
    <xf numFmtId="0" fontId="6" fillId="11" borderId="32" xfId="1" applyFont="1" applyFill="1" applyBorder="1"/>
    <xf numFmtId="0" fontId="6" fillId="0" borderId="32" xfId="1" applyFont="1" applyFill="1" applyBorder="1"/>
    <xf numFmtId="0" fontId="6" fillId="11" borderId="33" xfId="1" applyFont="1" applyFill="1" applyBorder="1"/>
    <xf numFmtId="0" fontId="21" fillId="11" borderId="20" xfId="1" applyFont="1" applyFill="1" applyBorder="1"/>
    <xf numFmtId="0" fontId="6" fillId="11" borderId="21" xfId="1" applyFont="1" applyFill="1" applyBorder="1"/>
    <xf numFmtId="0" fontId="6" fillId="11" borderId="22" xfId="1" applyFont="1" applyFill="1" applyBorder="1"/>
    <xf numFmtId="166" fontId="6" fillId="11" borderId="20" xfId="1" applyNumberFormat="1" applyFont="1" applyFill="1" applyBorder="1"/>
    <xf numFmtId="166" fontId="6" fillId="11" borderId="21" xfId="1" applyNumberFormat="1" applyFont="1" applyFill="1" applyBorder="1"/>
    <xf numFmtId="0" fontId="2" fillId="14" borderId="3" xfId="0" applyFont="1" applyFill="1" applyBorder="1" applyAlignment="1">
      <alignment horizontal="center" vertical="center" wrapText="1"/>
    </xf>
    <xf numFmtId="0" fontId="0" fillId="0" borderId="0" xfId="0" applyAlignment="1"/>
    <xf numFmtId="0" fontId="6" fillId="0" borderId="0" xfId="0" applyNumberFormat="1" applyFont="1" applyAlignment="1">
      <alignment horizontal="center" vertical="center"/>
    </xf>
    <xf numFmtId="0" fontId="26" fillId="0" borderId="36" xfId="3" applyFont="1" applyFill="1" applyBorder="1" applyAlignment="1" applyProtection="1">
      <alignment horizontal="center" vertical="center"/>
    </xf>
    <xf numFmtId="0" fontId="26" fillId="0" borderId="38" xfId="3" applyFont="1" applyFill="1" applyBorder="1" applyAlignment="1" applyProtection="1">
      <alignment horizontal="center" vertical="center"/>
    </xf>
    <xf numFmtId="0" fontId="27" fillId="26" borderId="30" xfId="0" applyFont="1" applyFill="1" applyBorder="1" applyAlignment="1" applyProtection="1">
      <alignment horizontal="center" vertical="center" wrapText="1"/>
    </xf>
    <xf numFmtId="0" fontId="27" fillId="26" borderId="1" xfId="0" applyFont="1" applyFill="1" applyBorder="1" applyAlignment="1" applyProtection="1">
      <alignment horizontal="center" vertical="center" wrapText="1"/>
    </xf>
    <xf numFmtId="49" fontId="27" fillId="26" borderId="1" xfId="0" applyNumberFormat="1" applyFont="1" applyFill="1" applyBorder="1" applyAlignment="1" applyProtection="1">
      <alignment horizontal="center" vertical="center" wrapText="1"/>
    </xf>
    <xf numFmtId="0" fontId="0" fillId="27" borderId="0" xfId="0" applyFill="1"/>
    <xf numFmtId="0" fontId="27" fillId="27" borderId="37" xfId="0" applyFont="1" applyFill="1" applyBorder="1"/>
    <xf numFmtId="0" fontId="27" fillId="0" borderId="37" xfId="0" applyFont="1" applyFill="1" applyBorder="1" applyAlignment="1" applyProtection="1">
      <alignment horizontal="center" vertical="center" wrapText="1"/>
      <protection locked="0"/>
    </xf>
    <xf numFmtId="41" fontId="27" fillId="27" borderId="37" xfId="0" applyNumberFormat="1" applyFont="1" applyFill="1" applyBorder="1" applyAlignment="1">
      <alignment horizontal="center" vertical="center"/>
    </xf>
    <xf numFmtId="167" fontId="27" fillId="27" borderId="37" xfId="0" applyNumberFormat="1" applyFont="1" applyFill="1" applyBorder="1" applyAlignment="1">
      <alignment horizontal="center" vertical="center"/>
    </xf>
    <xf numFmtId="0" fontId="26" fillId="0" borderId="37" xfId="3" applyFont="1" applyFill="1" applyBorder="1" applyAlignment="1" applyProtection="1">
      <alignment horizontal="center" vertical="center" wrapText="1"/>
      <protection locked="0"/>
    </xf>
    <xf numFmtId="0" fontId="26" fillId="27" borderId="37" xfId="3" applyFont="1" applyFill="1" applyBorder="1" applyAlignment="1" applyProtection="1">
      <alignment horizontal="center" vertical="center" wrapText="1"/>
      <protection locked="0"/>
    </xf>
    <xf numFmtId="167" fontId="26" fillId="27" borderId="37" xfId="3" applyNumberFormat="1" applyFont="1" applyFill="1" applyBorder="1" applyAlignment="1" applyProtection="1">
      <alignment horizontal="center" vertical="center"/>
    </xf>
    <xf numFmtId="167" fontId="26" fillId="0" borderId="37" xfId="3" applyNumberFormat="1" applyFont="1" applyFill="1" applyBorder="1" applyAlignment="1" applyProtection="1">
      <alignment horizontal="center" vertical="center" wrapText="1"/>
      <protection locked="0"/>
    </xf>
    <xf numFmtId="41" fontId="26" fillId="27" borderId="37" xfId="3" applyNumberFormat="1" applyFont="1" applyFill="1" applyBorder="1" applyAlignment="1" applyProtection="1">
      <alignment horizontal="center" vertical="center"/>
    </xf>
    <xf numFmtId="41" fontId="26" fillId="0" borderId="37" xfId="3" applyNumberFormat="1" applyFont="1" applyFill="1" applyBorder="1" applyAlignment="1" applyProtection="1">
      <alignment horizontal="center" vertical="center" wrapText="1"/>
    </xf>
    <xf numFmtId="15" fontId="2" fillId="0" borderId="18" xfId="0" applyNumberFormat="1" applyFont="1" applyFill="1" applyBorder="1" applyAlignment="1">
      <alignment horizontal="center" vertical="center" wrapText="1"/>
    </xf>
    <xf numFmtId="15" fontId="2" fillId="0" borderId="1" xfId="0" applyNumberFormat="1" applyFont="1" applyFill="1" applyBorder="1" applyAlignment="1">
      <alignment horizontal="center" vertical="center" wrapText="1"/>
    </xf>
    <xf numFmtId="15" fontId="5" fillId="0"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0" fontId="27" fillId="26" borderId="35" xfId="0" applyFont="1" applyFill="1" applyBorder="1" applyAlignment="1" applyProtection="1">
      <alignment horizontal="center" vertical="center" wrapText="1"/>
    </xf>
    <xf numFmtId="0" fontId="26" fillId="28" borderId="1" xfId="3" applyFont="1" applyFill="1" applyBorder="1" applyAlignment="1" applyProtection="1">
      <alignment horizontal="center" vertical="center"/>
    </xf>
    <xf numFmtId="0" fontId="26" fillId="28" borderId="30" xfId="3" applyFont="1" applyFill="1" applyBorder="1" applyAlignment="1" applyProtection="1">
      <alignment horizontal="center" vertical="center"/>
    </xf>
    <xf numFmtId="0" fontId="26" fillId="28" borderId="0" xfId="3" applyFont="1" applyFill="1" applyBorder="1" applyAlignment="1" applyProtection="1">
      <alignment horizontal="center" vertical="center"/>
    </xf>
    <xf numFmtId="0" fontId="0" fillId="0" borderId="0" xfId="0" applyFill="1"/>
    <xf numFmtId="0" fontId="0" fillId="0" borderId="0" xfId="0" applyAlignment="1">
      <alignment horizontal="left" wrapText="1"/>
    </xf>
    <xf numFmtId="0" fontId="11" fillId="2" borderId="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28" fillId="0" borderId="0" xfId="0" applyFont="1" applyBorder="1" applyAlignment="1">
      <alignment horizontal="left" vertical="top" wrapText="1"/>
    </xf>
    <xf numFmtId="0" fontId="14" fillId="0" borderId="0" xfId="0" applyFont="1"/>
    <xf numFmtId="0" fontId="3" fillId="30" borderId="0" xfId="0" applyFont="1" applyFill="1"/>
    <xf numFmtId="14" fontId="6" fillId="0" borderId="0" xfId="0" applyNumberFormat="1" applyFont="1" applyAlignment="1">
      <alignment horizontal="left" vertical="center"/>
    </xf>
    <xf numFmtId="0" fontId="6" fillId="0" borderId="0" xfId="0" applyFont="1" applyAlignment="1">
      <alignment horizontal="left" vertical="center"/>
    </xf>
    <xf numFmtId="0" fontId="21" fillId="0" borderId="6" xfId="0" applyFont="1" applyBorder="1" applyAlignment="1">
      <alignment horizontal="center" vertical="center" wrapText="1"/>
    </xf>
    <xf numFmtId="0" fontId="3" fillId="29" borderId="0" xfId="0" applyFont="1" applyFill="1"/>
    <xf numFmtId="0" fontId="3" fillId="0" borderId="0" xfId="0" applyFont="1" applyFill="1" applyAlignment="1">
      <alignment wrapText="1"/>
    </xf>
    <xf numFmtId="0" fontId="3" fillId="0" borderId="0" xfId="0" applyFont="1" applyFill="1"/>
    <xf numFmtId="0" fontId="29" fillId="0" borderId="0" xfId="0" applyFont="1" applyFill="1" applyBorder="1" applyAlignment="1">
      <alignment horizontal="left" vertical="center" wrapText="1"/>
    </xf>
    <xf numFmtId="0" fontId="29" fillId="0" borderId="0" xfId="0" applyFont="1" applyFill="1" applyBorder="1" applyAlignment="1">
      <alignment horizontal="left" vertical="top" wrapText="1"/>
    </xf>
    <xf numFmtId="0" fontId="30" fillId="0" borderId="0"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14" fillId="0" borderId="0" xfId="0" applyFont="1" applyFill="1"/>
    <xf numFmtId="0" fontId="28" fillId="0" borderId="0" xfId="0" applyFont="1" applyAlignment="1">
      <alignment horizontal="right" vertical="center" wrapText="1"/>
    </xf>
    <xf numFmtId="0" fontId="4" fillId="0" borderId="0" xfId="0" applyFont="1" applyAlignment="1">
      <alignment horizontal="center" vertical="top"/>
    </xf>
    <xf numFmtId="15" fontId="2" fillId="2" borderId="5" xfId="0" applyNumberFormat="1" applyFont="1" applyFill="1" applyBorder="1" applyAlignment="1">
      <alignment horizontal="center" vertical="center" wrapText="1"/>
    </xf>
    <xf numFmtId="0" fontId="28" fillId="0" borderId="9" xfId="0" applyFont="1" applyBorder="1" applyAlignment="1">
      <alignment horizontal="center" vertical="top" wrapText="1"/>
    </xf>
    <xf numFmtId="14" fontId="6" fillId="0" borderId="0" xfId="0" applyNumberFormat="1" applyFont="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21" fillId="0" borderId="0"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14" fontId="2" fillId="3" borderId="30" xfId="0" applyNumberFormat="1"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4" fontId="2" fillId="3" borderId="40" xfId="0" applyNumberFormat="1" applyFont="1" applyFill="1" applyBorder="1" applyAlignment="1">
      <alignment horizontal="center" vertical="center" wrapText="1"/>
    </xf>
    <xf numFmtId="0" fontId="0" fillId="0" borderId="41" xfId="0" applyBorder="1"/>
    <xf numFmtId="0" fontId="2" fillId="3" borderId="5" xfId="0" applyFont="1" applyFill="1" applyBorder="1" applyAlignment="1">
      <alignment horizontal="center" vertical="center" wrapText="1"/>
    </xf>
    <xf numFmtId="14" fontId="2" fillId="3" borderId="5"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14" fontId="2" fillId="3" borderId="19" xfId="0" applyNumberFormat="1" applyFont="1" applyFill="1" applyBorder="1" applyAlignment="1">
      <alignment horizontal="center" vertical="center" wrapText="1"/>
    </xf>
    <xf numFmtId="0" fontId="1" fillId="14" borderId="42" xfId="0" applyFont="1" applyFill="1" applyBorder="1" applyAlignment="1">
      <alignment horizontal="center" vertical="center" wrapText="1"/>
    </xf>
    <xf numFmtId="0" fontId="1" fillId="14" borderId="4" xfId="0" applyFont="1" applyFill="1" applyBorder="1" applyAlignment="1">
      <alignment horizontal="center" vertical="center" wrapText="1"/>
    </xf>
    <xf numFmtId="0" fontId="1" fillId="14" borderId="43" xfId="0" applyFont="1" applyFill="1" applyBorder="1" applyAlignment="1">
      <alignment horizontal="center" vertical="center" wrapText="1"/>
    </xf>
    <xf numFmtId="0" fontId="11" fillId="31" borderId="14" xfId="0" applyFont="1" applyFill="1" applyBorder="1" applyAlignment="1">
      <alignment vertical="center" wrapText="1"/>
    </xf>
    <xf numFmtId="0" fontId="11" fillId="31" borderId="15" xfId="0" applyFont="1" applyFill="1" applyBorder="1" applyAlignment="1">
      <alignment vertical="center" wrapText="1"/>
    </xf>
    <xf numFmtId="14" fontId="2" fillId="3" borderId="18" xfId="0" applyNumberFormat="1" applyFont="1" applyFill="1" applyBorder="1" applyAlignment="1">
      <alignment horizontal="center" vertical="center" wrapText="1"/>
    </xf>
    <xf numFmtId="0" fontId="32" fillId="0" borderId="37" xfId="3" applyFont="1" applyFill="1" applyBorder="1" applyAlignment="1">
      <alignment horizontal="center" vertical="center"/>
    </xf>
    <xf numFmtId="0" fontId="32" fillId="0" borderId="37" xfId="3" applyFont="1" applyFill="1" applyBorder="1" applyAlignment="1">
      <alignment horizontal="center" vertical="center" wrapText="1"/>
    </xf>
    <xf numFmtId="0" fontId="10" fillId="32" borderId="45" xfId="0" applyFont="1" applyFill="1" applyBorder="1" applyAlignment="1" applyProtection="1">
      <alignment horizontal="center" vertical="center" wrapText="1"/>
      <protection locked="0"/>
    </xf>
    <xf numFmtId="41" fontId="10" fillId="32" borderId="45" xfId="0" applyNumberFormat="1" applyFont="1" applyFill="1" applyBorder="1" applyAlignment="1" applyProtection="1">
      <alignment horizontal="center" vertical="center" wrapText="1"/>
      <protection locked="0"/>
    </xf>
    <xf numFmtId="0" fontId="26" fillId="28" borderId="27" xfId="3" applyFont="1" applyFill="1" applyBorder="1" applyAlignment="1" applyProtection="1">
      <alignment horizontal="center" vertical="center"/>
    </xf>
    <xf numFmtId="0" fontId="10" fillId="0" borderId="0" xfId="0" applyFont="1" applyFill="1" applyBorder="1" applyAlignment="1" applyProtection="1">
      <alignment horizontal="center" vertical="center" wrapText="1"/>
      <protection locked="0"/>
    </xf>
    <xf numFmtId="41" fontId="10" fillId="0" borderId="0" xfId="0" applyNumberFormat="1" applyFont="1" applyFill="1" applyBorder="1" applyAlignment="1" applyProtection="1">
      <alignment horizontal="center" vertical="center" wrapText="1"/>
      <protection locked="0"/>
    </xf>
    <xf numFmtId="0" fontId="27" fillId="26" borderId="46" xfId="0" applyFont="1" applyFill="1" applyBorder="1" applyAlignment="1" applyProtection="1">
      <alignment horizontal="center" vertical="center"/>
    </xf>
    <xf numFmtId="0" fontId="27" fillId="26" borderId="38" xfId="0" applyFont="1" applyFill="1" applyBorder="1" applyAlignment="1" applyProtection="1">
      <alignment horizontal="center" vertical="center"/>
    </xf>
    <xf numFmtId="0" fontId="27" fillId="26" borderId="3" xfId="0" applyFont="1" applyFill="1" applyBorder="1" applyAlignment="1" applyProtection="1">
      <alignment horizontal="center" vertical="center"/>
    </xf>
    <xf numFmtId="0" fontId="27" fillId="26" borderId="3" xfId="0" applyFont="1" applyFill="1" applyBorder="1" applyAlignment="1" applyProtection="1">
      <alignment horizontal="center" vertical="center" wrapText="1"/>
    </xf>
    <xf numFmtId="0" fontId="27" fillId="0" borderId="48" xfId="0" applyFont="1" applyFill="1" applyBorder="1" applyAlignment="1" applyProtection="1">
      <alignment horizontal="center" vertical="center" wrapText="1"/>
      <protection locked="0"/>
    </xf>
    <xf numFmtId="0" fontId="26" fillId="0" borderId="47" xfId="3" applyFont="1" applyFill="1" applyBorder="1" applyAlignment="1" applyProtection="1">
      <alignment horizontal="center" vertical="center" wrapText="1"/>
      <protection locked="0"/>
    </xf>
    <xf numFmtId="0" fontId="32" fillId="0" borderId="47" xfId="3" applyFont="1" applyFill="1" applyBorder="1" applyAlignment="1">
      <alignment horizontal="center" vertical="center"/>
    </xf>
    <xf numFmtId="0" fontId="32" fillId="0" borderId="47" xfId="3" applyFont="1" applyFill="1" applyBorder="1" applyAlignment="1" applyProtection="1">
      <alignment horizontal="center" vertical="center" wrapText="1"/>
      <protection locked="0"/>
    </xf>
    <xf numFmtId="0" fontId="32" fillId="0" borderId="37" xfId="3" applyFont="1" applyFill="1" applyBorder="1" applyAlignment="1" applyProtection="1">
      <alignment horizontal="center" vertical="center" wrapText="1"/>
      <protection locked="0"/>
    </xf>
    <xf numFmtId="41" fontId="32" fillId="0" borderId="37" xfId="3" applyNumberFormat="1" applyFont="1" applyFill="1" applyBorder="1" applyAlignment="1">
      <alignment horizontal="center" vertical="center" wrapText="1"/>
    </xf>
    <xf numFmtId="167" fontId="32" fillId="0" borderId="37" xfId="3" applyNumberFormat="1" applyFont="1" applyFill="1" applyBorder="1" applyAlignment="1" applyProtection="1">
      <alignment horizontal="center" vertical="center" wrapText="1"/>
      <protection locked="0"/>
    </xf>
    <xf numFmtId="0" fontId="27" fillId="26" borderId="46" xfId="0" applyFont="1" applyFill="1" applyBorder="1" applyAlignment="1" applyProtection="1">
      <alignment horizontal="center" vertical="center" wrapText="1"/>
    </xf>
    <xf numFmtId="0" fontId="32" fillId="0" borderId="47" xfId="4" applyFont="1" applyFill="1" applyBorder="1" applyAlignment="1" applyProtection="1">
      <alignment horizontal="center" vertical="center" wrapText="1"/>
      <protection locked="0"/>
    </xf>
    <xf numFmtId="0" fontId="32" fillId="0" borderId="37" xfId="4" applyFont="1" applyFill="1" applyBorder="1" applyAlignment="1" applyProtection="1">
      <alignment horizontal="center" vertical="center" wrapText="1"/>
      <protection locked="0"/>
    </xf>
    <xf numFmtId="41" fontId="32" fillId="0" borderId="37" xfId="4" applyNumberFormat="1" applyFont="1" applyFill="1" applyBorder="1" applyAlignment="1" applyProtection="1">
      <alignment horizontal="center" vertical="center" wrapText="1"/>
    </xf>
    <xf numFmtId="167" fontId="32" fillId="27" borderId="37" xfId="4" applyNumberFormat="1" applyFont="1" applyFill="1" applyBorder="1" applyAlignment="1" applyProtection="1">
      <alignment horizontal="center" vertical="center"/>
    </xf>
    <xf numFmtId="167" fontId="32" fillId="0" borderId="37" xfId="4" applyNumberFormat="1" applyFont="1" applyFill="1" applyBorder="1" applyAlignment="1" applyProtection="1">
      <alignment horizontal="center" vertical="center" wrapText="1"/>
      <protection locked="0"/>
    </xf>
    <xf numFmtId="167" fontId="34" fillId="0" borderId="37" xfId="3" applyNumberFormat="1" applyFont="1" applyFill="1" applyBorder="1" applyAlignment="1" applyProtection="1">
      <alignment horizontal="center" vertical="center" wrapText="1"/>
      <protection locked="0"/>
    </xf>
    <xf numFmtId="0" fontId="27" fillId="26" borderId="49" xfId="0" applyFont="1" applyFill="1" applyBorder="1" applyAlignment="1" applyProtection="1">
      <alignment horizontal="center" vertical="center" wrapText="1"/>
    </xf>
    <xf numFmtId="0" fontId="26" fillId="28" borderId="21" xfId="3" applyFont="1" applyFill="1" applyBorder="1" applyAlignment="1" applyProtection="1">
      <alignment horizontal="center" vertical="center"/>
    </xf>
    <xf numFmtId="0" fontId="10" fillId="33" borderId="45" xfId="0" applyFont="1" applyFill="1" applyBorder="1" applyAlignment="1" applyProtection="1">
      <alignment horizontal="center" vertical="center" wrapText="1"/>
      <protection locked="0"/>
    </xf>
    <xf numFmtId="0" fontId="30" fillId="34" borderId="45" xfId="0" applyNumberFormat="1" applyFont="1" applyFill="1" applyBorder="1" applyAlignment="1" applyProtection="1">
      <alignment horizontal="center" vertical="center" wrapText="1"/>
    </xf>
    <xf numFmtId="0" fontId="30" fillId="34" borderId="45" xfId="0" applyNumberFormat="1" applyFont="1" applyFill="1" applyBorder="1" applyAlignment="1" applyProtection="1">
      <alignment horizontal="left" vertical="center" wrapText="1"/>
    </xf>
    <xf numFmtId="167" fontId="30" fillId="34" borderId="45" xfId="0" applyNumberFormat="1" applyFont="1" applyFill="1" applyBorder="1" applyAlignment="1" applyProtection="1">
      <alignment horizontal="center" vertical="center" wrapText="1"/>
    </xf>
    <xf numFmtId="0" fontId="22" fillId="0" borderId="45" xfId="0" applyNumberFormat="1" applyFont="1" applyFill="1" applyBorder="1" applyAlignment="1" applyProtection="1">
      <alignment horizontal="center" vertical="center" wrapText="1"/>
    </xf>
    <xf numFmtId="0" fontId="22" fillId="0" borderId="45" xfId="0" applyNumberFormat="1" applyFont="1" applyFill="1" applyBorder="1" applyAlignment="1" applyProtection="1">
      <alignment horizontal="left" vertical="center" wrapText="1"/>
    </xf>
    <xf numFmtId="0" fontId="22" fillId="0" borderId="45" xfId="0" applyNumberFormat="1" applyFont="1" applyFill="1" applyBorder="1" applyAlignment="1" applyProtection="1">
      <alignment vertical="center" wrapText="1"/>
    </xf>
    <xf numFmtId="15" fontId="22" fillId="0" borderId="45" xfId="0" applyNumberFormat="1" applyFont="1" applyFill="1" applyBorder="1" applyAlignment="1" applyProtection="1">
      <alignment horizontal="center" vertical="center" wrapText="1"/>
    </xf>
    <xf numFmtId="14" fontId="22" fillId="0" borderId="45" xfId="0" applyNumberFormat="1" applyFont="1" applyFill="1" applyBorder="1" applyAlignment="1" applyProtection="1">
      <alignment horizontal="center" vertical="center" wrapText="1"/>
    </xf>
    <xf numFmtId="167" fontId="22" fillId="0" borderId="45" xfId="0" applyNumberFormat="1" applyFont="1" applyFill="1" applyBorder="1" applyAlignment="1" applyProtection="1">
      <alignment horizontal="center" vertical="center" wrapText="1"/>
    </xf>
    <xf numFmtId="168" fontId="22" fillId="0" borderId="45" xfId="0" applyNumberFormat="1" applyFont="1" applyFill="1" applyBorder="1" applyAlignment="1" applyProtection="1">
      <alignment horizontal="center" vertical="center" wrapText="1"/>
    </xf>
    <xf numFmtId="0" fontId="36" fillId="0" borderId="45" xfId="0" applyNumberFormat="1" applyFont="1" applyFill="1" applyBorder="1" applyAlignment="1" applyProtection="1">
      <alignment horizontal="left" vertical="center" wrapText="1"/>
    </xf>
    <xf numFmtId="0" fontId="31" fillId="0" borderId="45" xfId="0" applyNumberFormat="1" applyFont="1" applyFill="1" applyBorder="1" applyAlignment="1" applyProtection="1">
      <alignment vertical="center" wrapText="1"/>
    </xf>
    <xf numFmtId="0" fontId="5" fillId="0" borderId="0" xfId="0" applyFont="1" applyFill="1" applyBorder="1" applyAlignment="1">
      <alignment horizontal="left" vertical="center" wrapText="1"/>
    </xf>
    <xf numFmtId="0" fontId="40" fillId="0" borderId="37" xfId="0" applyFont="1" applyFill="1" applyBorder="1" applyAlignment="1" applyProtection="1">
      <alignment horizontal="center" vertical="center" wrapText="1"/>
    </xf>
    <xf numFmtId="0" fontId="0" fillId="0" borderId="0" xfId="0"/>
    <xf numFmtId="0" fontId="0" fillId="0" borderId="0" xfId="0" applyAlignment="1">
      <alignment horizontal="center"/>
    </xf>
    <xf numFmtId="0" fontId="0" fillId="0" borderId="0" xfId="0" applyAlignment="1">
      <alignment horizontal="center" vertical="center"/>
    </xf>
    <xf numFmtId="0" fontId="36" fillId="0" borderId="50" xfId="0" applyNumberFormat="1" applyFont="1" applyFill="1" applyBorder="1" applyAlignment="1" applyProtection="1">
      <alignment horizontal="left" vertical="center" wrapText="1"/>
    </xf>
    <xf numFmtId="0" fontId="22" fillId="0" borderId="44" xfId="0" applyNumberFormat="1" applyFont="1" applyFill="1" applyBorder="1" applyAlignment="1" applyProtection="1">
      <alignment vertical="center" wrapText="1"/>
    </xf>
    <xf numFmtId="0" fontId="22" fillId="0" borderId="50" xfId="0" applyNumberFormat="1" applyFont="1" applyFill="1" applyBorder="1" applyAlignment="1" applyProtection="1">
      <alignment horizontal="center" vertical="center" wrapText="1"/>
    </xf>
    <xf numFmtId="0" fontId="41" fillId="11" borderId="18" xfId="1" applyFont="1" applyFill="1" applyBorder="1"/>
    <xf numFmtId="0" fontId="41" fillId="0" borderId="18" xfId="1" applyFont="1" applyFill="1" applyBorder="1"/>
    <xf numFmtId="0" fontId="41" fillId="0" borderId="52" xfId="1" applyFont="1" applyFill="1" applyBorder="1"/>
    <xf numFmtId="0" fontId="11" fillId="0" borderId="1" xfId="0" applyFont="1" applyBorder="1" applyAlignment="1">
      <alignment horizontal="left" vertical="top" wrapText="1"/>
    </xf>
    <xf numFmtId="0" fontId="42" fillId="0" borderId="1" xfId="0" applyFont="1" applyBorder="1" applyAlignment="1">
      <alignment horizontal="left" vertical="center" wrapText="1"/>
    </xf>
    <xf numFmtId="0" fontId="23" fillId="0" borderId="0" xfId="2" applyFill="1" applyBorder="1" applyAlignment="1">
      <alignment horizontal="center" vertical="center" wrapText="1"/>
    </xf>
    <xf numFmtId="14" fontId="28" fillId="0" borderId="0" xfId="0" applyNumberFormat="1" applyFont="1" applyAlignment="1">
      <alignment horizontal="left" vertical="top"/>
    </xf>
    <xf numFmtId="0" fontId="11" fillId="11"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32" fillId="14" borderId="18" xfId="3" applyFont="1" applyFill="1" applyBorder="1" applyAlignment="1">
      <alignment horizontal="center" vertical="center" wrapText="1"/>
    </xf>
    <xf numFmtId="0" fontId="10" fillId="29" borderId="1" xfId="0" applyFont="1" applyFill="1" applyBorder="1" applyAlignment="1">
      <alignment horizontal="left" vertical="top" wrapText="1"/>
    </xf>
    <xf numFmtId="14" fontId="2" fillId="2" borderId="30" xfId="0" applyNumberFormat="1" applyFont="1" applyFill="1" applyBorder="1" applyAlignment="1">
      <alignment horizontal="center" vertical="center" wrapText="1"/>
    </xf>
    <xf numFmtId="0" fontId="2" fillId="2" borderId="19" xfId="0" applyFont="1" applyFill="1" applyBorder="1" applyAlignment="1">
      <alignment horizontal="center" vertical="center" wrapText="1"/>
    </xf>
    <xf numFmtId="14" fontId="2" fillId="2" borderId="18" xfId="0" applyNumberFormat="1" applyFont="1" applyFill="1" applyBorder="1" applyAlignment="1">
      <alignment horizontal="center" vertical="center" wrapText="1"/>
    </xf>
    <xf numFmtId="14" fontId="2" fillId="2" borderId="40"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19" xfId="0" applyNumberFormat="1" applyFont="1" applyFill="1" applyBorder="1" applyAlignment="1">
      <alignment horizontal="center" vertical="center" wrapText="1"/>
    </xf>
    <xf numFmtId="0" fontId="2" fillId="0" borderId="24" xfId="0" applyFont="1" applyFill="1" applyBorder="1" applyAlignment="1">
      <alignment horizontal="center" vertical="center" wrapText="1"/>
    </xf>
    <xf numFmtId="14" fontId="2" fillId="0" borderId="24"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11" borderId="0" xfId="0" applyFont="1" applyFill="1"/>
    <xf numFmtId="165" fontId="2" fillId="0" borderId="24" xfId="0" applyNumberFormat="1" applyFont="1" applyFill="1" applyBorder="1" applyAlignment="1">
      <alignment horizontal="center" vertical="center" wrapText="1"/>
    </xf>
    <xf numFmtId="165" fontId="2" fillId="0" borderId="0" xfId="0" applyNumberFormat="1"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pplyProtection="1">
      <alignment horizontal="center" vertical="center" wrapText="1"/>
    </xf>
    <xf numFmtId="0" fontId="2" fillId="0" borderId="64" xfId="0" applyFont="1" applyFill="1" applyBorder="1" applyAlignment="1">
      <alignment horizontal="center" vertical="center" wrapText="1"/>
    </xf>
    <xf numFmtId="0" fontId="2" fillId="0" borderId="37" xfId="0" applyFont="1" applyFill="1" applyBorder="1" applyAlignment="1" applyProtection="1">
      <alignment horizontal="center" vertical="center" wrapText="1"/>
    </xf>
    <xf numFmtId="0" fontId="2" fillId="0" borderId="37" xfId="0" applyFont="1" applyFill="1" applyBorder="1" applyAlignment="1">
      <alignment horizontal="center" vertical="center" wrapText="1"/>
    </xf>
    <xf numFmtId="0" fontId="10" fillId="32" borderId="45" xfId="0" applyNumberFormat="1" applyFont="1" applyFill="1" applyBorder="1" applyAlignment="1" applyProtection="1">
      <alignment horizontal="center" vertical="center" wrapText="1"/>
      <protection locked="0"/>
    </xf>
    <xf numFmtId="0" fontId="10" fillId="0" borderId="0" xfId="0" applyNumberFormat="1" applyFont="1" applyFill="1" applyBorder="1" applyAlignment="1" applyProtection="1">
      <alignment horizontal="center" vertical="center" wrapText="1"/>
      <protection locked="0"/>
    </xf>
    <xf numFmtId="0" fontId="32" fillId="0" borderId="0" xfId="3" applyNumberFormat="1" applyFont="1" applyFill="1" applyBorder="1" applyAlignment="1" applyProtection="1">
      <alignment horizontal="center" vertical="center" wrapText="1"/>
      <protection locked="0"/>
    </xf>
    <xf numFmtId="0" fontId="26" fillId="0" borderId="0" xfId="3" applyNumberFormat="1" applyFont="1" applyFill="1" applyBorder="1" applyAlignment="1" applyProtection="1">
      <alignment horizontal="center" vertical="center" wrapText="1"/>
      <protection locked="0"/>
    </xf>
    <xf numFmtId="0" fontId="32" fillId="0" borderId="0" xfId="3" applyNumberFormat="1" applyFont="1" applyFill="1" applyBorder="1" applyAlignment="1">
      <alignment horizontal="center" vertical="center" wrapText="1"/>
    </xf>
    <xf numFmtId="0" fontId="34" fillId="0" borderId="0" xfId="3" applyNumberFormat="1" applyFont="1" applyFill="1" applyBorder="1" applyAlignment="1" applyProtection="1">
      <alignment horizontal="center" vertical="center" wrapText="1"/>
      <protection locked="0"/>
    </xf>
    <xf numFmtId="0" fontId="32" fillId="0" borderId="0" xfId="4" applyNumberFormat="1" applyFont="1" applyFill="1" applyBorder="1" applyAlignment="1" applyProtection="1">
      <alignment horizontal="center" vertical="center" wrapText="1"/>
      <protection locked="0"/>
    </xf>
    <xf numFmtId="0" fontId="0" fillId="0" borderId="0" xfId="0" applyNumberFormat="1" applyAlignment="1">
      <alignment wrapText="1"/>
    </xf>
    <xf numFmtId="0" fontId="27" fillId="0" borderId="73" xfId="0" applyNumberFormat="1" applyFont="1" applyFill="1" applyBorder="1" applyAlignment="1" applyProtection="1">
      <alignment horizontal="center" vertical="center" wrapText="1"/>
      <protection locked="0"/>
    </xf>
    <xf numFmtId="0" fontId="27" fillId="0" borderId="74" xfId="0" applyNumberFormat="1" applyFont="1" applyFill="1" applyBorder="1" applyAlignment="1" applyProtection="1">
      <alignment horizontal="center" vertical="center" wrapText="1"/>
      <protection locked="0"/>
    </xf>
    <xf numFmtId="0" fontId="32" fillId="0" borderId="74" xfId="3" applyNumberFormat="1" applyFont="1" applyFill="1" applyBorder="1" applyAlignment="1" applyProtection="1">
      <alignment horizontal="center" vertical="center" wrapText="1"/>
      <protection locked="0"/>
    </xf>
    <xf numFmtId="14" fontId="2" fillId="2" borderId="29" xfId="0" applyNumberFormat="1" applyFont="1" applyFill="1" applyBorder="1" applyAlignment="1">
      <alignment horizontal="center" vertical="center" wrapText="1"/>
    </xf>
    <xf numFmtId="0" fontId="0" fillId="0" borderId="0" xfId="0"/>
    <xf numFmtId="14" fontId="0" fillId="0" borderId="0" xfId="0" applyNumberFormat="1"/>
    <xf numFmtId="165" fontId="2" fillId="0" borderId="76" xfId="0" applyNumberFormat="1" applyFont="1" applyFill="1" applyBorder="1" applyAlignment="1">
      <alignment horizontal="center" vertical="center" wrapText="1"/>
    </xf>
    <xf numFmtId="165" fontId="2" fillId="0" borderId="75" xfId="0" applyNumberFormat="1" applyFont="1" applyFill="1" applyBorder="1" applyAlignment="1">
      <alignment horizontal="center" vertical="center" wrapText="1"/>
    </xf>
    <xf numFmtId="165" fontId="2" fillId="0" borderId="77" xfId="0" applyNumberFormat="1" applyFont="1" applyFill="1" applyBorder="1" applyAlignment="1">
      <alignment horizontal="center" vertical="center" wrapText="1"/>
    </xf>
    <xf numFmtId="14" fontId="1" fillId="14" borderId="42" xfId="0" applyNumberFormat="1" applyFont="1" applyFill="1" applyBorder="1" applyAlignment="1">
      <alignment horizontal="center" vertical="center" wrapText="1"/>
    </xf>
    <xf numFmtId="14" fontId="2" fillId="3" borderId="29" xfId="0" applyNumberFormat="1" applyFont="1" applyFill="1" applyBorder="1" applyAlignment="1">
      <alignment horizontal="center" vertical="center" wrapText="1"/>
    </xf>
    <xf numFmtId="14" fontId="0" fillId="0" borderId="0" xfId="0" applyNumberFormat="1" applyAlignment="1">
      <alignment wrapText="1"/>
    </xf>
    <xf numFmtId="0" fontId="82" fillId="0" borderId="0" xfId="0" applyFont="1" applyFill="1"/>
    <xf numFmtId="164" fontId="2" fillId="2" borderId="30" xfId="0" applyNumberFormat="1" applyFont="1" applyFill="1" applyBorder="1" applyAlignment="1">
      <alignment horizontal="center" vertical="center" wrapText="1"/>
    </xf>
    <xf numFmtId="0" fontId="0" fillId="0" borderId="87" xfId="0" applyFont="1" applyBorder="1" applyAlignment="1">
      <alignment horizontal="center" vertical="center"/>
    </xf>
    <xf numFmtId="0" fontId="5" fillId="0" borderId="19" xfId="0" applyFont="1" applyBorder="1" applyAlignment="1" applyProtection="1">
      <alignment horizontal="center" vertical="center" wrapText="1"/>
    </xf>
    <xf numFmtId="0" fontId="6" fillId="0" borderId="86" xfId="0" applyNumberFormat="1" applyFont="1" applyBorder="1" applyAlignment="1">
      <alignment horizontal="center" vertical="center"/>
    </xf>
    <xf numFmtId="0" fontId="83" fillId="113" borderId="80" xfId="2" applyFont="1" applyFill="1" applyBorder="1" applyAlignment="1">
      <alignment horizontal="center" vertical="center" wrapText="1"/>
    </xf>
    <xf numFmtId="14" fontId="6" fillId="0" borderId="80" xfId="0" applyNumberFormat="1" applyFont="1" applyBorder="1" applyAlignment="1">
      <alignment horizontal="center" vertical="center"/>
    </xf>
    <xf numFmtId="0" fontId="5" fillId="0" borderId="30" xfId="0" applyFont="1" applyBorder="1" applyAlignment="1" applyProtection="1">
      <alignment horizontal="center" vertical="center" wrapText="1"/>
    </xf>
    <xf numFmtId="0" fontId="83" fillId="113" borderId="83" xfId="2" applyFont="1" applyFill="1" applyBorder="1" applyAlignment="1">
      <alignment horizontal="center" vertical="center" wrapText="1"/>
    </xf>
    <xf numFmtId="15" fontId="2" fillId="2" borderId="88" xfId="0" applyNumberFormat="1" applyFont="1" applyFill="1" applyBorder="1" applyAlignment="1">
      <alignment horizontal="center" vertical="center" wrapText="1"/>
    </xf>
    <xf numFmtId="14" fontId="2" fillId="2" borderId="31" xfId="0" applyNumberFormat="1" applyFont="1" applyFill="1" applyBorder="1" applyAlignment="1">
      <alignment horizontal="center" vertical="center" wrapText="1"/>
    </xf>
    <xf numFmtId="0" fontId="2" fillId="14" borderId="30" xfId="0" applyFont="1" applyFill="1" applyBorder="1" applyAlignment="1">
      <alignment horizontal="center" vertical="center" wrapText="1"/>
    </xf>
    <xf numFmtId="14" fontId="6" fillId="0" borderId="85" xfId="0" applyNumberFormat="1" applyFont="1" applyBorder="1" applyAlignment="1">
      <alignment horizontal="left" vertical="center" wrapText="1"/>
    </xf>
    <xf numFmtId="0" fontId="2" fillId="14" borderId="19" xfId="0" applyFont="1" applyFill="1" applyBorder="1" applyAlignment="1">
      <alignment horizontal="center" vertical="center" wrapText="1"/>
    </xf>
    <xf numFmtId="0" fontId="83" fillId="113" borderId="79" xfId="2" applyFont="1" applyFill="1" applyBorder="1" applyAlignment="1">
      <alignment horizontal="center" vertical="center" wrapText="1"/>
    </xf>
    <xf numFmtId="0" fontId="6" fillId="0" borderId="79" xfId="0" applyFont="1" applyBorder="1" applyAlignment="1">
      <alignment horizontal="left" vertical="center" wrapText="1"/>
    </xf>
    <xf numFmtId="14" fontId="2" fillId="2" borderId="89" xfId="0" applyNumberFormat="1" applyFont="1" applyFill="1" applyBorder="1" applyAlignment="1">
      <alignment horizontal="center" vertical="center" wrapText="1"/>
    </xf>
    <xf numFmtId="15" fontId="2" fillId="0" borderId="30" xfId="0" applyNumberFormat="1" applyFont="1" applyFill="1" applyBorder="1" applyAlignment="1">
      <alignment horizontal="center" vertical="center" wrapText="1"/>
    </xf>
    <xf numFmtId="0" fontId="2" fillId="0" borderId="31" xfId="0" applyFont="1" applyBorder="1" applyAlignment="1" applyProtection="1">
      <alignment horizontal="center" vertical="center" wrapText="1"/>
    </xf>
    <xf numFmtId="0" fontId="6" fillId="0" borderId="85" xfId="0" applyFont="1" applyBorder="1" applyAlignment="1">
      <alignment horizontal="left" vertical="center" wrapText="1"/>
    </xf>
    <xf numFmtId="15" fontId="5" fillId="2" borderId="29" xfId="0" applyNumberFormat="1" applyFont="1" applyFill="1" applyBorder="1" applyAlignment="1">
      <alignment horizontal="center" vertical="center" wrapText="1"/>
    </xf>
    <xf numFmtId="15" fontId="2" fillId="2" borderId="30" xfId="0" applyNumberFormat="1" applyFont="1" applyFill="1" applyBorder="1" applyAlignment="1">
      <alignment horizontal="center" vertical="center" wrapText="1"/>
    </xf>
    <xf numFmtId="14" fontId="6" fillId="0" borderId="82" xfId="0" applyNumberFormat="1" applyFont="1" applyBorder="1" applyAlignment="1">
      <alignment horizontal="left" vertical="center"/>
    </xf>
    <xf numFmtId="0" fontId="2" fillId="14" borderId="31" xfId="0" applyFont="1" applyFill="1" applyBorder="1" applyAlignment="1">
      <alignment horizontal="center" vertical="center" wrapText="1"/>
    </xf>
    <xf numFmtId="0" fontId="6" fillId="0" borderId="81" xfId="0" applyFont="1" applyBorder="1" applyAlignment="1">
      <alignment horizontal="left" vertical="center" wrapText="1"/>
    </xf>
    <xf numFmtId="14" fontId="2" fillId="2" borderId="4" xfId="0" applyNumberFormat="1" applyFont="1" applyFill="1" applyBorder="1" applyAlignment="1">
      <alignment horizontal="center" vertical="center" wrapText="1"/>
    </xf>
    <xf numFmtId="0" fontId="2" fillId="14" borderId="29" xfId="0" applyFont="1" applyFill="1" applyBorder="1" applyAlignment="1">
      <alignment horizontal="center" vertical="center" wrapText="1"/>
    </xf>
    <xf numFmtId="14" fontId="0" fillId="0" borderId="0" xfId="0" applyNumberFormat="1" applyFont="1" applyFill="1" applyBorder="1"/>
    <xf numFmtId="15" fontId="2" fillId="2" borderId="29" xfId="0" applyNumberFormat="1" applyFont="1" applyFill="1" applyBorder="1" applyAlignment="1">
      <alignment horizontal="center" vertical="center" wrapText="1"/>
    </xf>
    <xf numFmtId="164" fontId="5" fillId="2" borderId="30" xfId="0" applyNumberFormat="1" applyFont="1" applyFill="1" applyBorder="1" applyAlignment="1">
      <alignment horizontal="center" vertical="center" wrapText="1"/>
    </xf>
    <xf numFmtId="0" fontId="6" fillId="0" borderId="80" xfId="0" applyNumberFormat="1" applyFont="1" applyBorder="1" applyAlignment="1">
      <alignment horizontal="center" vertical="center"/>
    </xf>
    <xf numFmtId="14" fontId="6" fillId="0" borderId="80" xfId="0" applyNumberFormat="1" applyFont="1" applyBorder="1" applyAlignment="1">
      <alignment horizontal="left" vertical="center"/>
    </xf>
    <xf numFmtId="14" fontId="6" fillId="0" borderId="82" xfId="0" applyNumberFormat="1" applyFont="1" applyBorder="1" applyAlignment="1">
      <alignment horizontal="center" vertical="center"/>
    </xf>
    <xf numFmtId="0" fontId="5" fillId="0" borderId="38" xfId="0" applyFont="1" applyBorder="1" applyAlignment="1" applyProtection="1">
      <alignment horizontal="center" vertical="center" wrapText="1"/>
    </xf>
    <xf numFmtId="0" fontId="81" fillId="0" borderId="0" xfId="0" applyFont="1" applyFill="1" applyBorder="1"/>
    <xf numFmtId="0" fontId="0" fillId="0" borderId="0" xfId="0" applyFont="1" applyFill="1" applyBorder="1"/>
    <xf numFmtId="0" fontId="0" fillId="0" borderId="84" xfId="0" applyFont="1" applyBorder="1" applyAlignment="1">
      <alignment horizontal="center" vertical="center"/>
    </xf>
    <xf numFmtId="14" fontId="6" fillId="0" borderId="0" xfId="0" applyNumberFormat="1" applyFont="1" applyFill="1" applyBorder="1"/>
    <xf numFmtId="14" fontId="2" fillId="2" borderId="5" xfId="0" applyNumberFormat="1" applyFont="1" applyFill="1" applyBorder="1" applyAlignment="1">
      <alignment horizontal="center" vertical="center" wrapText="1"/>
    </xf>
    <xf numFmtId="15" fontId="5" fillId="0" borderId="30" xfId="0" applyNumberFormat="1" applyFont="1" applyFill="1" applyBorder="1" applyAlignment="1">
      <alignment horizontal="center" vertical="center" wrapText="1"/>
    </xf>
    <xf numFmtId="15" fontId="5" fillId="2" borderId="5" xfId="0" applyNumberFormat="1" applyFont="1" applyFill="1" applyBorder="1" applyAlignment="1">
      <alignment horizontal="center" vertical="center" wrapText="1"/>
    </xf>
    <xf numFmtId="0" fontId="2" fillId="0" borderId="30" xfId="0" applyFont="1" applyBorder="1" applyAlignment="1" applyProtection="1">
      <alignment horizontal="center" vertical="center" wrapText="1"/>
    </xf>
    <xf numFmtId="0" fontId="6" fillId="0" borderId="82" xfId="0" applyNumberFormat="1" applyFont="1" applyFill="1" applyBorder="1" applyAlignment="1">
      <alignment horizontal="center" vertical="center"/>
    </xf>
    <xf numFmtId="0" fontId="20" fillId="113" borderId="0" xfId="0" applyFont="1" applyFill="1" applyBorder="1"/>
    <xf numFmtId="0" fontId="0" fillId="0" borderId="83" xfId="0" applyFont="1" applyBorder="1" applyAlignment="1">
      <alignment horizontal="center" vertical="center"/>
    </xf>
    <xf numFmtId="14" fontId="2" fillId="3" borderId="88" xfId="0" applyNumberFormat="1" applyFont="1" applyFill="1" applyBorder="1" applyAlignment="1">
      <alignment horizontal="center" vertical="center" wrapText="1"/>
    </xf>
    <xf numFmtId="0" fontId="2" fillId="14" borderId="30" xfId="0" applyFont="1" applyFill="1" applyBorder="1" applyAlignment="1" applyProtection="1">
      <alignment horizontal="center" vertical="center" wrapText="1"/>
    </xf>
    <xf numFmtId="0" fontId="2" fillId="14" borderId="38" xfId="0" applyFont="1" applyFill="1" applyBorder="1" applyAlignment="1">
      <alignment horizontal="center" vertical="center" wrapText="1"/>
    </xf>
    <xf numFmtId="0" fontId="1" fillId="0" borderId="12" xfId="0" applyFont="1" applyBorder="1" applyAlignment="1">
      <alignment horizontal="center" vertical="center" wrapText="1"/>
    </xf>
    <xf numFmtId="14" fontId="11" fillId="0" borderId="78" xfId="0" applyNumberFormat="1" applyFont="1" applyBorder="1" applyAlignment="1" applyProtection="1">
      <alignment horizontal="center" vertical="center" wrapText="1"/>
    </xf>
    <xf numFmtId="0" fontId="9" fillId="0" borderId="0" xfId="0" applyFont="1" applyAlignment="1">
      <alignment vertical="center" wrapText="1"/>
    </xf>
    <xf numFmtId="0" fontId="5" fillId="2"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8" fillId="3" borderId="1" xfId="0" applyFont="1" applyFill="1" applyBorder="1" applyAlignment="1">
      <alignment horizontal="center" vertical="center" wrapText="1"/>
    </xf>
    <xf numFmtId="165" fontId="2" fillId="3" borderId="1" xfId="0" applyNumberFormat="1" applyFont="1" applyFill="1" applyBorder="1" applyAlignment="1">
      <alignment horizontal="center" vertical="center" wrapText="1"/>
    </xf>
    <xf numFmtId="165" fontId="2" fillId="3" borderId="5"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14" fontId="2" fillId="3" borderId="5" xfId="0" applyNumberFormat="1" applyFont="1" applyFill="1" applyBorder="1" applyAlignment="1">
      <alignment horizontal="center" vertical="center" wrapText="1"/>
    </xf>
    <xf numFmtId="0" fontId="1" fillId="0" borderId="12" xfId="0" applyFont="1" applyBorder="1" applyAlignment="1">
      <alignment horizontal="center" vertical="center" wrapText="1"/>
    </xf>
    <xf numFmtId="14" fontId="11" fillId="0" borderId="78" xfId="0" applyNumberFormat="1" applyFont="1" applyBorder="1" applyAlignment="1" applyProtection="1">
      <alignment horizontal="center" vertical="center" wrapText="1"/>
    </xf>
    <xf numFmtId="15" fontId="5" fillId="2" borderId="30" xfId="0" applyNumberFormat="1" applyFont="1" applyFill="1" applyBorder="1" applyAlignment="1">
      <alignment horizontal="center" vertical="center" wrapText="1"/>
    </xf>
    <xf numFmtId="0" fontId="6" fillId="0" borderId="80" xfId="0" applyNumberFormat="1" applyFont="1" applyFill="1" applyBorder="1" applyAlignment="1">
      <alignment horizontal="center" vertical="center"/>
    </xf>
    <xf numFmtId="0" fontId="0" fillId="0" borderId="0" xfId="0"/>
    <xf numFmtId="0" fontId="5" fillId="2"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2" fillId="14" borderId="18"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15" fontId="2" fillId="2" borderId="18" xfId="0" applyNumberFormat="1"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0" fontId="2" fillId="0" borderId="1"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15" fontId="5" fillId="2" borderId="18" xfId="0" applyNumberFormat="1" applyFont="1" applyFill="1" applyBorder="1" applyAlignment="1">
      <alignment horizontal="center" vertical="center" wrapText="1"/>
    </xf>
    <xf numFmtId="15" fontId="5" fillId="2" borderId="1" xfId="0" applyNumberFormat="1" applyFont="1" applyFill="1" applyBorder="1" applyAlignment="1">
      <alignment horizontal="center" vertical="center" wrapText="1"/>
    </xf>
    <xf numFmtId="0" fontId="5" fillId="0" borderId="1" xfId="0" applyFont="1" applyBorder="1" applyAlignment="1" applyProtection="1">
      <alignment horizontal="center" vertical="center" wrapText="1"/>
    </xf>
    <xf numFmtId="0" fontId="5" fillId="0" borderId="3" xfId="0" applyFont="1" applyBorder="1" applyAlignment="1" applyProtection="1">
      <alignment horizontal="center" vertical="center" wrapText="1"/>
    </xf>
    <xf numFmtId="165" fontId="2" fillId="3" borderId="18" xfId="0" applyNumberFormat="1" applyFont="1" applyFill="1" applyBorder="1" applyAlignment="1">
      <alignment horizontal="center" vertical="center" wrapText="1"/>
    </xf>
    <xf numFmtId="165" fontId="2" fillId="3" borderId="1" xfId="0" applyNumberFormat="1" applyFont="1" applyFill="1" applyBorder="1" applyAlignment="1">
      <alignment horizontal="center" vertical="center" wrapText="1"/>
    </xf>
    <xf numFmtId="165" fontId="2" fillId="3" borderId="19" xfId="0" applyNumberFormat="1" applyFont="1" applyFill="1" applyBorder="1" applyAlignment="1">
      <alignment horizontal="center" vertical="center" wrapText="1"/>
    </xf>
    <xf numFmtId="165" fontId="2" fillId="3" borderId="5"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NumberFormat="1" applyFont="1" applyAlignment="1">
      <alignment horizontal="center" vertical="center"/>
    </xf>
    <xf numFmtId="15" fontId="2" fillId="0" borderId="1" xfId="0" applyNumberFormat="1" applyFont="1" applyFill="1" applyBorder="1" applyAlignment="1">
      <alignment horizontal="center" vertical="center" wrapText="1"/>
    </xf>
    <xf numFmtId="15" fontId="5" fillId="0" borderId="1" xfId="0" applyNumberFormat="1" applyFont="1" applyFill="1" applyBorder="1" applyAlignment="1">
      <alignment horizontal="center" vertical="center" wrapText="1"/>
    </xf>
    <xf numFmtId="15" fontId="2" fillId="2" borderId="5" xfId="0" applyNumberFormat="1" applyFont="1" applyFill="1" applyBorder="1" applyAlignment="1">
      <alignment horizontal="center" vertical="center" wrapText="1"/>
    </xf>
    <xf numFmtId="14" fontId="2" fillId="3" borderId="5" xfId="0" applyNumberFormat="1" applyFont="1" applyFill="1" applyBorder="1" applyAlignment="1">
      <alignment horizontal="center" vertical="center" wrapText="1"/>
    </xf>
    <xf numFmtId="14" fontId="2" fillId="2" borderId="30"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19" xfId="0" applyNumberFormat="1" applyFont="1" applyFill="1" applyBorder="1" applyAlignment="1">
      <alignment horizontal="center" vertical="center" wrapText="1"/>
    </xf>
    <xf numFmtId="165" fontId="1" fillId="4" borderId="16" xfId="0" applyNumberFormat="1" applyFont="1" applyFill="1" applyBorder="1" applyAlignment="1">
      <alignment horizontal="center" vertical="center" wrapText="1"/>
    </xf>
    <xf numFmtId="165" fontId="1" fillId="4" borderId="0" xfId="0" applyNumberFormat="1" applyFont="1" applyFill="1" applyBorder="1" applyAlignment="1">
      <alignment horizontal="center" vertical="center" wrapText="1"/>
    </xf>
    <xf numFmtId="165" fontId="1" fillId="4" borderId="17" xfId="0" applyNumberFormat="1" applyFont="1" applyFill="1" applyBorder="1" applyAlignment="1">
      <alignment horizontal="center" vertical="center" wrapText="1"/>
    </xf>
    <xf numFmtId="165" fontId="0" fillId="0" borderId="16" xfId="0" applyNumberFormat="1" applyBorder="1" applyAlignment="1">
      <alignment wrapText="1"/>
    </xf>
    <xf numFmtId="165" fontId="0" fillId="0" borderId="0" xfId="0" applyNumberFormat="1" applyBorder="1" applyAlignment="1">
      <alignment wrapText="1"/>
    </xf>
    <xf numFmtId="165" fontId="0" fillId="0" borderId="17" xfId="0" applyNumberFormat="1" applyBorder="1" applyAlignment="1">
      <alignment wrapText="1"/>
    </xf>
    <xf numFmtId="15" fontId="5" fillId="0" borderId="1" xfId="0" applyNumberFormat="1" applyFont="1" applyFill="1" applyBorder="1" applyAlignment="1" applyProtection="1">
      <alignment horizontal="center" vertical="center" wrapText="1"/>
    </xf>
    <xf numFmtId="0" fontId="14" fillId="0" borderId="1" xfId="0" applyFont="1" applyBorder="1"/>
    <xf numFmtId="0" fontId="2" fillId="0" borderId="25" xfId="0" applyFont="1" applyFill="1" applyBorder="1" applyAlignment="1">
      <alignment horizontal="center" vertical="center" wrapText="1"/>
    </xf>
    <xf numFmtId="165" fontId="2" fillId="0" borderId="90" xfId="0" applyNumberFormat="1" applyFont="1" applyFill="1" applyBorder="1" applyAlignment="1">
      <alignment horizontal="center" vertical="center" wrapText="1"/>
    </xf>
    <xf numFmtId="165" fontId="2" fillId="0" borderId="2" xfId="0" applyNumberFormat="1" applyFont="1" applyFill="1" applyBorder="1" applyAlignment="1">
      <alignment horizontal="center" vertical="center" wrapText="1"/>
    </xf>
    <xf numFmtId="0" fontId="2" fillId="0" borderId="0" xfId="0" applyFont="1" applyFill="1" applyBorder="1" applyAlignment="1" applyProtection="1">
      <alignment horizontal="center" vertical="center" wrapText="1"/>
    </xf>
    <xf numFmtId="14" fontId="2" fillId="0" borderId="0" xfId="0" applyNumberFormat="1" applyFont="1" applyFill="1" applyBorder="1" applyAlignment="1">
      <alignment horizontal="center" vertical="center" wrapText="1"/>
    </xf>
    <xf numFmtId="0" fontId="86" fillId="0" borderId="91" xfId="0" applyFont="1" applyFill="1" applyBorder="1" applyAlignment="1">
      <alignment horizontal="center" vertical="center" wrapText="1"/>
    </xf>
    <xf numFmtId="0" fontId="86" fillId="0" borderId="2" xfId="0" applyFont="1" applyFill="1" applyBorder="1" applyAlignment="1">
      <alignment horizontal="center" vertical="center" wrapText="1"/>
    </xf>
    <xf numFmtId="14" fontId="1" fillId="0" borderId="0" xfId="0" applyNumberFormat="1" applyFont="1" applyFill="1" applyBorder="1" applyAlignment="1">
      <alignment horizontal="center" vertical="center" wrapText="1"/>
    </xf>
    <xf numFmtId="165" fontId="2" fillId="0" borderId="0" xfId="0" applyNumberFormat="1" applyFont="1" applyBorder="1" applyAlignment="1">
      <alignment wrapText="1"/>
    </xf>
    <xf numFmtId="0" fontId="2" fillId="13" borderId="2" xfId="0" applyFont="1" applyFill="1" applyBorder="1" applyAlignment="1">
      <alignment horizontal="center" vertical="center" wrapText="1"/>
    </xf>
    <xf numFmtId="165" fontId="85" fillId="0" borderId="25" xfId="0" applyNumberFormat="1" applyFont="1" applyFill="1" applyBorder="1" applyAlignment="1">
      <alignment horizontal="center" vertical="center" wrapText="1"/>
    </xf>
    <xf numFmtId="14" fontId="21" fillId="0" borderId="23" xfId="0" applyNumberFormat="1" applyFont="1" applyFill="1" applyBorder="1" applyAlignment="1">
      <alignment horizontal="center" vertical="center" wrapText="1"/>
    </xf>
    <xf numFmtId="0" fontId="28" fillId="0" borderId="0" xfId="0" applyFont="1" applyFill="1" applyAlignment="1">
      <alignment horizontal="left"/>
    </xf>
    <xf numFmtId="0" fontId="13" fillId="3" borderId="4" xfId="0" applyFont="1" applyFill="1" applyBorder="1" applyAlignment="1">
      <alignment horizontal="center" wrapText="1"/>
    </xf>
    <xf numFmtId="0" fontId="11" fillId="20" borderId="4" xfId="0" applyFont="1" applyFill="1" applyBorder="1" applyAlignment="1">
      <alignment horizontal="center" vertical="center" wrapText="1"/>
    </xf>
    <xf numFmtId="0" fontId="10" fillId="21" borderId="13" xfId="0" applyFont="1" applyFill="1" applyBorder="1" applyAlignment="1">
      <alignment horizontal="center" vertical="center" wrapText="1"/>
    </xf>
    <xf numFmtId="0" fontId="10" fillId="21" borderId="14" xfId="0" applyFont="1" applyFill="1" applyBorder="1" applyAlignment="1">
      <alignment horizontal="center" vertical="center" wrapText="1"/>
    </xf>
    <xf numFmtId="0" fontId="11" fillId="112" borderId="13" xfId="0" applyFont="1" applyFill="1" applyBorder="1" applyAlignment="1">
      <alignment horizontal="center" vertical="center" wrapText="1"/>
    </xf>
    <xf numFmtId="0" fontId="11" fillId="112" borderId="14" xfId="0" applyFont="1" applyFill="1" applyBorder="1" applyAlignment="1">
      <alignment horizontal="center" vertical="center" wrapText="1"/>
    </xf>
    <xf numFmtId="0" fontId="11" fillId="112" borderId="15" xfId="0" applyFont="1" applyFill="1" applyBorder="1" applyAlignment="1">
      <alignment horizontal="center" vertical="center" wrapText="1"/>
    </xf>
    <xf numFmtId="0" fontId="1" fillId="18" borderId="0" xfId="0" applyFont="1" applyFill="1" applyAlignment="1">
      <alignment horizontal="center" vertical="center" wrapText="1"/>
    </xf>
    <xf numFmtId="0" fontId="11" fillId="19" borderId="4" xfId="0" applyFont="1" applyFill="1" applyBorder="1" applyAlignment="1">
      <alignment horizontal="center" vertical="center" wrapText="1"/>
    </xf>
    <xf numFmtId="0" fontId="11" fillId="19" borderId="4" xfId="0" applyFont="1" applyFill="1" applyBorder="1" applyAlignment="1">
      <alignment horizontal="left" vertical="center" wrapText="1"/>
    </xf>
    <xf numFmtId="0" fontId="1" fillId="111" borderId="13" xfId="0" applyFont="1" applyFill="1" applyBorder="1" applyAlignment="1">
      <alignment horizontal="center" vertical="center" wrapText="1"/>
    </xf>
    <xf numFmtId="0" fontId="1" fillId="111" borderId="14" xfId="0" applyFont="1" applyFill="1" applyBorder="1" applyAlignment="1">
      <alignment horizontal="center" vertical="center" wrapText="1"/>
    </xf>
    <xf numFmtId="0" fontId="1" fillId="111" borderId="15" xfId="0" applyFont="1" applyFill="1" applyBorder="1" applyAlignment="1">
      <alignment horizontal="center" vertical="center" wrapText="1"/>
    </xf>
    <xf numFmtId="0" fontId="1" fillId="15" borderId="14" xfId="0" applyFont="1" applyFill="1" applyBorder="1" applyAlignment="1">
      <alignment horizontal="center" vertical="center" wrapText="1"/>
    </xf>
    <xf numFmtId="0" fontId="1" fillId="15" borderId="15" xfId="0" applyFont="1" applyFill="1" applyBorder="1" applyAlignment="1">
      <alignment horizontal="center" vertical="center" wrapText="1"/>
    </xf>
    <xf numFmtId="0" fontId="1" fillId="23" borderId="13" xfId="0" applyFont="1" applyFill="1" applyBorder="1" applyAlignment="1">
      <alignment horizontal="center" vertical="center" wrapText="1"/>
    </xf>
    <xf numFmtId="0" fontId="1" fillId="23" borderId="14" xfId="0" applyFont="1" applyFill="1" applyBorder="1" applyAlignment="1">
      <alignment horizontal="center" vertical="center" wrapText="1"/>
    </xf>
    <xf numFmtId="0" fontId="1" fillId="23" borderId="15" xfId="0" applyFont="1" applyFill="1" applyBorder="1" applyAlignment="1">
      <alignment horizontal="center" vertical="center" wrapText="1"/>
    </xf>
    <xf numFmtId="0" fontId="11" fillId="110" borderId="13" xfId="0" applyFont="1" applyFill="1" applyBorder="1" applyAlignment="1">
      <alignment horizontal="center" vertical="center" wrapText="1"/>
    </xf>
    <xf numFmtId="0" fontId="11" fillId="110" borderId="14" xfId="0" applyFont="1" applyFill="1" applyBorder="1" applyAlignment="1">
      <alignment horizontal="center" vertical="center" wrapText="1"/>
    </xf>
    <xf numFmtId="0" fontId="11" fillId="110" borderId="15" xfId="0" applyFont="1" applyFill="1" applyBorder="1" applyAlignment="1">
      <alignment horizontal="center" vertical="center" wrapText="1"/>
    </xf>
    <xf numFmtId="0" fontId="20" fillId="32" borderId="16" xfId="0" applyFont="1" applyFill="1" applyBorder="1" applyAlignment="1" applyProtection="1">
      <alignment horizontal="center" vertical="center"/>
      <protection locked="0"/>
    </xf>
    <xf numFmtId="0" fontId="20" fillId="32" borderId="0" xfId="0" applyFont="1" applyFill="1" applyBorder="1" applyAlignment="1" applyProtection="1">
      <alignment horizontal="center" vertical="center"/>
      <protection locked="0"/>
    </xf>
    <xf numFmtId="0" fontId="10" fillId="76" borderId="0" xfId="0" applyFont="1" applyFill="1" applyBorder="1" applyAlignment="1">
      <alignment horizontal="center" vertical="center" wrapText="1"/>
    </xf>
    <xf numFmtId="0" fontId="2" fillId="13" borderId="23" xfId="0" applyFont="1" applyFill="1" applyBorder="1" applyAlignment="1">
      <alignment horizontal="center" vertical="center" wrapText="1"/>
    </xf>
    <xf numFmtId="0" fontId="2" fillId="13" borderId="24" xfId="0" applyFont="1" applyFill="1" applyBorder="1" applyAlignment="1">
      <alignment horizontal="center" vertical="center" wrapText="1"/>
    </xf>
    <xf numFmtId="0" fontId="2" fillId="13" borderId="25" xfId="0" applyFont="1" applyFill="1" applyBorder="1" applyAlignment="1">
      <alignment horizontal="center" vertical="center" wrapText="1"/>
    </xf>
    <xf numFmtId="0" fontId="11" fillId="31" borderId="13" xfId="0" applyFont="1" applyFill="1" applyBorder="1" applyAlignment="1">
      <alignment horizontal="center" vertical="center" wrapText="1"/>
    </xf>
    <xf numFmtId="0" fontId="11" fillId="31" borderId="14" xfId="0" applyFont="1" applyFill="1" applyBorder="1" applyAlignment="1">
      <alignment horizontal="center" vertical="center" wrapText="1"/>
    </xf>
    <xf numFmtId="0" fontId="11" fillId="31" borderId="15" xfId="0" applyFont="1" applyFill="1" applyBorder="1" applyAlignment="1">
      <alignment horizontal="center" vertical="center" wrapText="1"/>
    </xf>
    <xf numFmtId="0" fontId="1" fillId="15" borderId="13" xfId="0" applyFont="1" applyFill="1" applyBorder="1" applyAlignment="1">
      <alignment horizontal="center" vertical="center" wrapText="1"/>
    </xf>
    <xf numFmtId="0" fontId="1" fillId="16" borderId="13" xfId="0" applyFont="1" applyFill="1" applyBorder="1" applyAlignment="1">
      <alignment horizontal="center" vertical="center" wrapText="1"/>
    </xf>
    <xf numFmtId="0" fontId="1" fillId="16" borderId="14" xfId="0" applyFont="1" applyFill="1" applyBorder="1" applyAlignment="1">
      <alignment horizontal="center" vertical="center" wrapText="1"/>
    </xf>
    <xf numFmtId="0" fontId="1" fillId="16" borderId="15" xfId="0" applyFont="1" applyFill="1" applyBorder="1" applyAlignment="1">
      <alignment horizontal="center" vertical="center" wrapText="1"/>
    </xf>
    <xf numFmtId="0" fontId="11" fillId="17" borderId="13" xfId="0" applyFont="1" applyFill="1" applyBorder="1" applyAlignment="1">
      <alignment horizontal="center" vertical="center" wrapText="1"/>
    </xf>
    <xf numFmtId="0" fontId="11" fillId="17" borderId="14" xfId="0" applyFont="1" applyFill="1" applyBorder="1" applyAlignment="1">
      <alignment horizontal="center" vertical="center" wrapText="1"/>
    </xf>
    <xf numFmtId="0" fontId="11" fillId="17" borderId="15" xfId="0" applyFont="1" applyFill="1" applyBorder="1" applyAlignment="1">
      <alignment horizontal="center" vertical="center" wrapText="1"/>
    </xf>
    <xf numFmtId="0" fontId="35" fillId="34" borderId="50" xfId="0" applyNumberFormat="1" applyFont="1" applyFill="1" applyBorder="1" applyAlignment="1" applyProtection="1">
      <alignment horizontal="center" vertical="center"/>
    </xf>
    <xf numFmtId="0" fontId="35" fillId="34" borderId="51" xfId="0" applyNumberFormat="1" applyFont="1" applyFill="1" applyBorder="1" applyAlignment="1" applyProtection="1">
      <alignment horizontal="center" vertical="center"/>
    </xf>
    <xf numFmtId="0" fontId="35" fillId="34" borderId="44" xfId="0" applyNumberFormat="1" applyFont="1" applyFill="1" applyBorder="1" applyAlignment="1" applyProtection="1">
      <alignment horizontal="center" vertical="center"/>
    </xf>
    <xf numFmtId="0" fontId="20" fillId="24" borderId="23" xfId="1" applyFont="1" applyFill="1" applyBorder="1" applyAlignment="1">
      <alignment horizontal="center" vertical="top"/>
    </xf>
    <xf numFmtId="0" fontId="20" fillId="24" borderId="24" xfId="1" applyFont="1" applyFill="1" applyBorder="1" applyAlignment="1">
      <alignment horizontal="center" vertical="top"/>
    </xf>
  </cellXfs>
  <cellStyles count="5602">
    <cellStyle name="20% - Accent1" xfId="125" builtinId="30" customBuiltin="1"/>
    <cellStyle name="20% - Accent1 10" xfId="1009"/>
    <cellStyle name="20% - Accent1 10 2" xfId="2325"/>
    <cellStyle name="20% - Accent1 10 2 2" xfId="4949"/>
    <cellStyle name="20% - Accent1 10 3" xfId="3639"/>
    <cellStyle name="20% - Accent1 11" xfId="1653"/>
    <cellStyle name="20% - Accent1 11 2" xfId="2966"/>
    <cellStyle name="20% - Accent1 11 2 2" xfId="5590"/>
    <cellStyle name="20% - Accent1 11 3" xfId="4280"/>
    <cellStyle name="20% - Accent1 12" xfId="1668"/>
    <cellStyle name="20% - Accent1 12 2" xfId="4295"/>
    <cellStyle name="20% - Accent1 13" xfId="2982"/>
    <cellStyle name="20% - Accent1 2" xfId="7"/>
    <cellStyle name="20% - Accent1 2 2" xfId="401"/>
    <cellStyle name="20% - Accent1 2 2 2" xfId="816"/>
    <cellStyle name="20% - Accent1 2 2 2 2" xfId="1474"/>
    <cellStyle name="20% - Accent1 2 2 2 2 2" xfId="2787"/>
    <cellStyle name="20% - Accent1 2 2 2 2 2 2" xfId="5411"/>
    <cellStyle name="20% - Accent1 2 2 2 2 3" xfId="4101"/>
    <cellStyle name="20% - Accent1 2 2 2 3" xfId="2133"/>
    <cellStyle name="20% - Accent1 2 2 2 3 2" xfId="4757"/>
    <cellStyle name="20% - Accent1 2 2 2 4" xfId="3447"/>
    <cellStyle name="20% - Accent1 2 2 3" xfId="1160"/>
    <cellStyle name="20% - Accent1 2 2 3 2" xfId="2474"/>
    <cellStyle name="20% - Accent1 2 2 3 2 2" xfId="5098"/>
    <cellStyle name="20% - Accent1 2 2 3 3" xfId="3788"/>
    <cellStyle name="20% - Accent1 2 2 4" xfId="1820"/>
    <cellStyle name="20% - Accent1 2 2 4 2" xfId="4444"/>
    <cellStyle name="20% - Accent1 2 2 5" xfId="3134"/>
    <cellStyle name="20% - Accent1 2 3" xfId="676"/>
    <cellStyle name="20% - Accent1 2 3 2" xfId="1337"/>
    <cellStyle name="20% - Accent1 2 3 2 2" xfId="2650"/>
    <cellStyle name="20% - Accent1 2 3 2 2 2" xfId="5274"/>
    <cellStyle name="20% - Accent1 2 3 2 3" xfId="3964"/>
    <cellStyle name="20% - Accent1 2 3 3" xfId="1996"/>
    <cellStyle name="20% - Accent1 2 3 3 2" xfId="4620"/>
    <cellStyle name="20% - Accent1 2 3 4" xfId="3310"/>
    <cellStyle name="20% - Accent1 2 4" xfId="1010"/>
    <cellStyle name="20% - Accent1 2 4 2" xfId="2326"/>
    <cellStyle name="20% - Accent1 2 4 2 2" xfId="4950"/>
    <cellStyle name="20% - Accent1 2 4 3" xfId="3640"/>
    <cellStyle name="20% - Accent1 2 5" xfId="1681"/>
    <cellStyle name="20% - Accent1 2 5 2" xfId="4307"/>
    <cellStyle name="20% - Accent1 2 6" xfId="2995"/>
    <cellStyle name="20% - Accent1 2 7" xfId="148"/>
    <cellStyle name="20% - Accent1 3" xfId="388"/>
    <cellStyle name="20% - Accent1 3 2" xfId="803"/>
    <cellStyle name="20% - Accent1 3 2 2" xfId="1462"/>
    <cellStyle name="20% - Accent1 3 2 2 2" xfId="2775"/>
    <cellStyle name="20% - Accent1 3 2 2 2 2" xfId="5399"/>
    <cellStyle name="20% - Accent1 3 2 2 3" xfId="4089"/>
    <cellStyle name="20% - Accent1 3 2 3" xfId="2121"/>
    <cellStyle name="20% - Accent1 3 2 3 2" xfId="4745"/>
    <cellStyle name="20% - Accent1 3 2 4" xfId="3435"/>
    <cellStyle name="20% - Accent1 3 3" xfId="1148"/>
    <cellStyle name="20% - Accent1 3 3 2" xfId="2462"/>
    <cellStyle name="20% - Accent1 3 3 2 2" xfId="5086"/>
    <cellStyle name="20% - Accent1 3 3 3" xfId="3776"/>
    <cellStyle name="20% - Accent1 3 4" xfId="1808"/>
    <cellStyle name="20% - Accent1 3 4 2" xfId="4432"/>
    <cellStyle name="20% - Accent1 3 5" xfId="3122"/>
    <cellStyle name="20% - Accent1 4" xfId="623"/>
    <cellStyle name="20% - Accent1 4 2" xfId="941"/>
    <cellStyle name="20% - Accent1 4 2 2" xfId="1599"/>
    <cellStyle name="20% - Accent1 4 2 2 2" xfId="2912"/>
    <cellStyle name="20% - Accent1 4 2 2 2 2" xfId="5536"/>
    <cellStyle name="20% - Accent1 4 2 2 3" xfId="4226"/>
    <cellStyle name="20% - Accent1 4 2 3" xfId="2258"/>
    <cellStyle name="20% - Accent1 4 2 3 2" xfId="4882"/>
    <cellStyle name="20% - Accent1 4 2 4" xfId="3572"/>
    <cellStyle name="20% - Accent1 4 3" xfId="1285"/>
    <cellStyle name="20% - Accent1 4 3 2" xfId="2599"/>
    <cellStyle name="20% - Accent1 4 3 2 2" xfId="5223"/>
    <cellStyle name="20% - Accent1 4 3 3" xfId="3913"/>
    <cellStyle name="20% - Accent1 4 4" xfId="1945"/>
    <cellStyle name="20% - Accent1 4 4 2" xfId="4569"/>
    <cellStyle name="20% - Accent1 4 5" xfId="3259"/>
    <cellStyle name="20% - Accent1 5" xfId="636"/>
    <cellStyle name="20% - Accent1 5 2" xfId="954"/>
    <cellStyle name="20% - Accent1 5 2 2" xfId="1612"/>
    <cellStyle name="20% - Accent1 5 2 2 2" xfId="2925"/>
    <cellStyle name="20% - Accent1 5 2 2 2 2" xfId="5549"/>
    <cellStyle name="20% - Accent1 5 2 2 3" xfId="4239"/>
    <cellStyle name="20% - Accent1 5 2 3" xfId="2271"/>
    <cellStyle name="20% - Accent1 5 2 3 2" xfId="4895"/>
    <cellStyle name="20% - Accent1 5 2 4" xfId="3585"/>
    <cellStyle name="20% - Accent1 5 3" xfId="1298"/>
    <cellStyle name="20% - Accent1 5 3 2" xfId="2612"/>
    <cellStyle name="20% - Accent1 5 3 2 2" xfId="5236"/>
    <cellStyle name="20% - Accent1 5 3 3" xfId="3926"/>
    <cellStyle name="20% - Accent1 5 4" xfId="1958"/>
    <cellStyle name="20% - Accent1 5 4 2" xfId="4582"/>
    <cellStyle name="20% - Accent1 5 5" xfId="3272"/>
    <cellStyle name="20% - Accent1 6" xfId="650"/>
    <cellStyle name="20% - Accent1 6 2" xfId="967"/>
    <cellStyle name="20% - Accent1 6 2 2" xfId="1625"/>
    <cellStyle name="20% - Accent1 6 2 2 2" xfId="2938"/>
    <cellStyle name="20% - Accent1 6 2 2 2 2" xfId="5562"/>
    <cellStyle name="20% - Accent1 6 2 2 3" xfId="4252"/>
    <cellStyle name="20% - Accent1 6 2 3" xfId="2284"/>
    <cellStyle name="20% - Accent1 6 2 3 2" xfId="4908"/>
    <cellStyle name="20% - Accent1 6 2 4" xfId="3598"/>
    <cellStyle name="20% - Accent1 6 3" xfId="1312"/>
    <cellStyle name="20% - Accent1 6 3 2" xfId="2625"/>
    <cellStyle name="20% - Accent1 6 3 2 2" xfId="5249"/>
    <cellStyle name="20% - Accent1 6 3 3" xfId="3939"/>
    <cellStyle name="20% - Accent1 6 4" xfId="1971"/>
    <cellStyle name="20% - Accent1 6 4 2" xfId="4595"/>
    <cellStyle name="20% - Accent1 6 5" xfId="3285"/>
    <cellStyle name="20% - Accent1 7" xfId="663"/>
    <cellStyle name="20% - Accent1 7 2" xfId="1325"/>
    <cellStyle name="20% - Accent1 7 2 2" xfId="2638"/>
    <cellStyle name="20% - Accent1 7 2 2 2" xfId="5262"/>
    <cellStyle name="20% - Accent1 7 2 3" xfId="3952"/>
    <cellStyle name="20% - Accent1 7 3" xfId="1984"/>
    <cellStyle name="20% - Accent1 7 3 2" xfId="4608"/>
    <cellStyle name="20% - Accent1 7 4" xfId="3298"/>
    <cellStyle name="20% - Accent1 8" xfId="983"/>
    <cellStyle name="20% - Accent1 8 2" xfId="1640"/>
    <cellStyle name="20% - Accent1 8 2 2" xfId="2953"/>
    <cellStyle name="20% - Accent1 8 2 2 2" xfId="5577"/>
    <cellStyle name="20% - Accent1 8 2 3" xfId="4267"/>
    <cellStyle name="20% - Accent1 8 3" xfId="2299"/>
    <cellStyle name="20% - Accent1 8 3 2" xfId="4923"/>
    <cellStyle name="20% - Accent1 8 4" xfId="3613"/>
    <cellStyle name="20% - Accent1 9" xfId="997"/>
    <cellStyle name="20% - Accent1 9 2" xfId="2313"/>
    <cellStyle name="20% - Accent1 9 2 2" xfId="4937"/>
    <cellStyle name="20% - Accent1 9 3" xfId="3627"/>
    <cellStyle name="20% - Accent2" xfId="129" builtinId="34" customBuiltin="1"/>
    <cellStyle name="20% - Accent2 10" xfId="1011"/>
    <cellStyle name="20% - Accent2 10 2" xfId="2327"/>
    <cellStyle name="20% - Accent2 10 2 2" xfId="4951"/>
    <cellStyle name="20% - Accent2 10 3" xfId="3641"/>
    <cellStyle name="20% - Accent2 11" xfId="1655"/>
    <cellStyle name="20% - Accent2 11 2" xfId="2968"/>
    <cellStyle name="20% - Accent2 11 2 2" xfId="5592"/>
    <cellStyle name="20% - Accent2 11 3" xfId="4282"/>
    <cellStyle name="20% - Accent2 12" xfId="1670"/>
    <cellStyle name="20% - Accent2 12 2" xfId="4297"/>
    <cellStyle name="20% - Accent2 13" xfId="2984"/>
    <cellStyle name="20% - Accent2 2" xfId="8"/>
    <cellStyle name="20% - Accent2 2 2" xfId="402"/>
    <cellStyle name="20% - Accent2 2 2 2" xfId="817"/>
    <cellStyle name="20% - Accent2 2 2 2 2" xfId="1475"/>
    <cellStyle name="20% - Accent2 2 2 2 2 2" xfId="2788"/>
    <cellStyle name="20% - Accent2 2 2 2 2 2 2" xfId="5412"/>
    <cellStyle name="20% - Accent2 2 2 2 2 3" xfId="4102"/>
    <cellStyle name="20% - Accent2 2 2 2 3" xfId="2134"/>
    <cellStyle name="20% - Accent2 2 2 2 3 2" xfId="4758"/>
    <cellStyle name="20% - Accent2 2 2 2 4" xfId="3448"/>
    <cellStyle name="20% - Accent2 2 2 3" xfId="1161"/>
    <cellStyle name="20% - Accent2 2 2 3 2" xfId="2475"/>
    <cellStyle name="20% - Accent2 2 2 3 2 2" xfId="5099"/>
    <cellStyle name="20% - Accent2 2 2 3 3" xfId="3789"/>
    <cellStyle name="20% - Accent2 2 2 4" xfId="1821"/>
    <cellStyle name="20% - Accent2 2 2 4 2" xfId="4445"/>
    <cellStyle name="20% - Accent2 2 2 5" xfId="3135"/>
    <cellStyle name="20% - Accent2 2 3" xfId="677"/>
    <cellStyle name="20% - Accent2 2 3 2" xfId="1338"/>
    <cellStyle name="20% - Accent2 2 3 2 2" xfId="2651"/>
    <cellStyle name="20% - Accent2 2 3 2 2 2" xfId="5275"/>
    <cellStyle name="20% - Accent2 2 3 2 3" xfId="3965"/>
    <cellStyle name="20% - Accent2 2 3 3" xfId="1997"/>
    <cellStyle name="20% - Accent2 2 3 3 2" xfId="4621"/>
    <cellStyle name="20% - Accent2 2 3 4" xfId="3311"/>
    <cellStyle name="20% - Accent2 2 4" xfId="1012"/>
    <cellStyle name="20% - Accent2 2 4 2" xfId="2328"/>
    <cellStyle name="20% - Accent2 2 4 2 2" xfId="4952"/>
    <cellStyle name="20% - Accent2 2 4 3" xfId="3642"/>
    <cellStyle name="20% - Accent2 2 5" xfId="1682"/>
    <cellStyle name="20% - Accent2 2 5 2" xfId="4308"/>
    <cellStyle name="20% - Accent2 2 6" xfId="2996"/>
    <cellStyle name="20% - Accent2 2 7" xfId="149"/>
    <cellStyle name="20% - Accent2 3" xfId="390"/>
    <cellStyle name="20% - Accent2 3 2" xfId="805"/>
    <cellStyle name="20% - Accent2 3 2 2" xfId="1464"/>
    <cellStyle name="20% - Accent2 3 2 2 2" xfId="2777"/>
    <cellStyle name="20% - Accent2 3 2 2 2 2" xfId="5401"/>
    <cellStyle name="20% - Accent2 3 2 2 3" xfId="4091"/>
    <cellStyle name="20% - Accent2 3 2 3" xfId="2123"/>
    <cellStyle name="20% - Accent2 3 2 3 2" xfId="4747"/>
    <cellStyle name="20% - Accent2 3 2 4" xfId="3437"/>
    <cellStyle name="20% - Accent2 3 3" xfId="1150"/>
    <cellStyle name="20% - Accent2 3 3 2" xfId="2464"/>
    <cellStyle name="20% - Accent2 3 3 2 2" xfId="5088"/>
    <cellStyle name="20% - Accent2 3 3 3" xfId="3778"/>
    <cellStyle name="20% - Accent2 3 4" xfId="1810"/>
    <cellStyle name="20% - Accent2 3 4 2" xfId="4434"/>
    <cellStyle name="20% - Accent2 3 5" xfId="3124"/>
    <cellStyle name="20% - Accent2 4" xfId="625"/>
    <cellStyle name="20% - Accent2 4 2" xfId="943"/>
    <cellStyle name="20% - Accent2 4 2 2" xfId="1601"/>
    <cellStyle name="20% - Accent2 4 2 2 2" xfId="2914"/>
    <cellStyle name="20% - Accent2 4 2 2 2 2" xfId="5538"/>
    <cellStyle name="20% - Accent2 4 2 2 3" xfId="4228"/>
    <cellStyle name="20% - Accent2 4 2 3" xfId="2260"/>
    <cellStyle name="20% - Accent2 4 2 3 2" xfId="4884"/>
    <cellStyle name="20% - Accent2 4 2 4" xfId="3574"/>
    <cellStyle name="20% - Accent2 4 3" xfId="1287"/>
    <cellStyle name="20% - Accent2 4 3 2" xfId="2601"/>
    <cellStyle name="20% - Accent2 4 3 2 2" xfId="5225"/>
    <cellStyle name="20% - Accent2 4 3 3" xfId="3915"/>
    <cellStyle name="20% - Accent2 4 4" xfId="1947"/>
    <cellStyle name="20% - Accent2 4 4 2" xfId="4571"/>
    <cellStyle name="20% - Accent2 4 5" xfId="3261"/>
    <cellStyle name="20% - Accent2 5" xfId="638"/>
    <cellStyle name="20% - Accent2 5 2" xfId="956"/>
    <cellStyle name="20% - Accent2 5 2 2" xfId="1614"/>
    <cellStyle name="20% - Accent2 5 2 2 2" xfId="2927"/>
    <cellStyle name="20% - Accent2 5 2 2 2 2" xfId="5551"/>
    <cellStyle name="20% - Accent2 5 2 2 3" xfId="4241"/>
    <cellStyle name="20% - Accent2 5 2 3" xfId="2273"/>
    <cellStyle name="20% - Accent2 5 2 3 2" xfId="4897"/>
    <cellStyle name="20% - Accent2 5 2 4" xfId="3587"/>
    <cellStyle name="20% - Accent2 5 3" xfId="1300"/>
    <cellStyle name="20% - Accent2 5 3 2" xfId="2614"/>
    <cellStyle name="20% - Accent2 5 3 2 2" xfId="5238"/>
    <cellStyle name="20% - Accent2 5 3 3" xfId="3928"/>
    <cellStyle name="20% - Accent2 5 4" xfId="1960"/>
    <cellStyle name="20% - Accent2 5 4 2" xfId="4584"/>
    <cellStyle name="20% - Accent2 5 5" xfId="3274"/>
    <cellStyle name="20% - Accent2 6" xfId="652"/>
    <cellStyle name="20% - Accent2 6 2" xfId="969"/>
    <cellStyle name="20% - Accent2 6 2 2" xfId="1627"/>
    <cellStyle name="20% - Accent2 6 2 2 2" xfId="2940"/>
    <cellStyle name="20% - Accent2 6 2 2 2 2" xfId="5564"/>
    <cellStyle name="20% - Accent2 6 2 2 3" xfId="4254"/>
    <cellStyle name="20% - Accent2 6 2 3" xfId="2286"/>
    <cellStyle name="20% - Accent2 6 2 3 2" xfId="4910"/>
    <cellStyle name="20% - Accent2 6 2 4" xfId="3600"/>
    <cellStyle name="20% - Accent2 6 3" xfId="1314"/>
    <cellStyle name="20% - Accent2 6 3 2" xfId="2627"/>
    <cellStyle name="20% - Accent2 6 3 2 2" xfId="5251"/>
    <cellStyle name="20% - Accent2 6 3 3" xfId="3941"/>
    <cellStyle name="20% - Accent2 6 4" xfId="1973"/>
    <cellStyle name="20% - Accent2 6 4 2" xfId="4597"/>
    <cellStyle name="20% - Accent2 6 5" xfId="3287"/>
    <cellStyle name="20% - Accent2 7" xfId="665"/>
    <cellStyle name="20% - Accent2 7 2" xfId="1327"/>
    <cellStyle name="20% - Accent2 7 2 2" xfId="2640"/>
    <cellStyle name="20% - Accent2 7 2 2 2" xfId="5264"/>
    <cellStyle name="20% - Accent2 7 2 3" xfId="3954"/>
    <cellStyle name="20% - Accent2 7 3" xfId="1986"/>
    <cellStyle name="20% - Accent2 7 3 2" xfId="4610"/>
    <cellStyle name="20% - Accent2 7 4" xfId="3300"/>
    <cellStyle name="20% - Accent2 8" xfId="985"/>
    <cellStyle name="20% - Accent2 8 2" xfId="1642"/>
    <cellStyle name="20% - Accent2 8 2 2" xfId="2955"/>
    <cellStyle name="20% - Accent2 8 2 2 2" xfId="5579"/>
    <cellStyle name="20% - Accent2 8 2 3" xfId="4269"/>
    <cellStyle name="20% - Accent2 8 3" xfId="2301"/>
    <cellStyle name="20% - Accent2 8 3 2" xfId="4925"/>
    <cellStyle name="20% - Accent2 8 4" xfId="3615"/>
    <cellStyle name="20% - Accent2 9" xfId="999"/>
    <cellStyle name="20% - Accent2 9 2" xfId="2315"/>
    <cellStyle name="20% - Accent2 9 2 2" xfId="4939"/>
    <cellStyle name="20% - Accent2 9 3" xfId="3629"/>
    <cellStyle name="20% - Accent3" xfId="133" builtinId="38" customBuiltin="1"/>
    <cellStyle name="20% - Accent3 10" xfId="1013"/>
    <cellStyle name="20% - Accent3 10 2" xfId="2329"/>
    <cellStyle name="20% - Accent3 10 2 2" xfId="4953"/>
    <cellStyle name="20% - Accent3 10 3" xfId="3643"/>
    <cellStyle name="20% - Accent3 11" xfId="1657"/>
    <cellStyle name="20% - Accent3 11 2" xfId="2970"/>
    <cellStyle name="20% - Accent3 11 2 2" xfId="5594"/>
    <cellStyle name="20% - Accent3 11 3" xfId="4284"/>
    <cellStyle name="20% - Accent3 12" xfId="1672"/>
    <cellStyle name="20% - Accent3 12 2" xfId="4299"/>
    <cellStyle name="20% - Accent3 13" xfId="2986"/>
    <cellStyle name="20% - Accent3 2" xfId="9"/>
    <cellStyle name="20% - Accent3 2 2" xfId="403"/>
    <cellStyle name="20% - Accent3 2 2 2" xfId="818"/>
    <cellStyle name="20% - Accent3 2 2 2 2" xfId="1476"/>
    <cellStyle name="20% - Accent3 2 2 2 2 2" xfId="2789"/>
    <cellStyle name="20% - Accent3 2 2 2 2 2 2" xfId="5413"/>
    <cellStyle name="20% - Accent3 2 2 2 2 3" xfId="4103"/>
    <cellStyle name="20% - Accent3 2 2 2 3" xfId="2135"/>
    <cellStyle name="20% - Accent3 2 2 2 3 2" xfId="4759"/>
    <cellStyle name="20% - Accent3 2 2 2 4" xfId="3449"/>
    <cellStyle name="20% - Accent3 2 2 3" xfId="1162"/>
    <cellStyle name="20% - Accent3 2 2 3 2" xfId="2476"/>
    <cellStyle name="20% - Accent3 2 2 3 2 2" xfId="5100"/>
    <cellStyle name="20% - Accent3 2 2 3 3" xfId="3790"/>
    <cellStyle name="20% - Accent3 2 2 4" xfId="1822"/>
    <cellStyle name="20% - Accent3 2 2 4 2" xfId="4446"/>
    <cellStyle name="20% - Accent3 2 2 5" xfId="3136"/>
    <cellStyle name="20% - Accent3 2 3" xfId="678"/>
    <cellStyle name="20% - Accent3 2 3 2" xfId="1339"/>
    <cellStyle name="20% - Accent3 2 3 2 2" xfId="2652"/>
    <cellStyle name="20% - Accent3 2 3 2 2 2" xfId="5276"/>
    <cellStyle name="20% - Accent3 2 3 2 3" xfId="3966"/>
    <cellStyle name="20% - Accent3 2 3 3" xfId="1998"/>
    <cellStyle name="20% - Accent3 2 3 3 2" xfId="4622"/>
    <cellStyle name="20% - Accent3 2 3 4" xfId="3312"/>
    <cellStyle name="20% - Accent3 2 4" xfId="1014"/>
    <cellStyle name="20% - Accent3 2 4 2" xfId="2330"/>
    <cellStyle name="20% - Accent3 2 4 2 2" xfId="4954"/>
    <cellStyle name="20% - Accent3 2 4 3" xfId="3644"/>
    <cellStyle name="20% - Accent3 2 5" xfId="1683"/>
    <cellStyle name="20% - Accent3 2 5 2" xfId="4309"/>
    <cellStyle name="20% - Accent3 2 6" xfId="2997"/>
    <cellStyle name="20% - Accent3 2 7" xfId="150"/>
    <cellStyle name="20% - Accent3 3" xfId="392"/>
    <cellStyle name="20% - Accent3 3 2" xfId="807"/>
    <cellStyle name="20% - Accent3 3 2 2" xfId="1466"/>
    <cellStyle name="20% - Accent3 3 2 2 2" xfId="2779"/>
    <cellStyle name="20% - Accent3 3 2 2 2 2" xfId="5403"/>
    <cellStyle name="20% - Accent3 3 2 2 3" xfId="4093"/>
    <cellStyle name="20% - Accent3 3 2 3" xfId="2125"/>
    <cellStyle name="20% - Accent3 3 2 3 2" xfId="4749"/>
    <cellStyle name="20% - Accent3 3 2 4" xfId="3439"/>
    <cellStyle name="20% - Accent3 3 3" xfId="1152"/>
    <cellStyle name="20% - Accent3 3 3 2" xfId="2466"/>
    <cellStyle name="20% - Accent3 3 3 2 2" xfId="5090"/>
    <cellStyle name="20% - Accent3 3 3 3" xfId="3780"/>
    <cellStyle name="20% - Accent3 3 4" xfId="1812"/>
    <cellStyle name="20% - Accent3 3 4 2" xfId="4436"/>
    <cellStyle name="20% - Accent3 3 5" xfId="3126"/>
    <cellStyle name="20% - Accent3 4" xfId="627"/>
    <cellStyle name="20% - Accent3 4 2" xfId="945"/>
    <cellStyle name="20% - Accent3 4 2 2" xfId="1603"/>
    <cellStyle name="20% - Accent3 4 2 2 2" xfId="2916"/>
    <cellStyle name="20% - Accent3 4 2 2 2 2" xfId="5540"/>
    <cellStyle name="20% - Accent3 4 2 2 3" xfId="4230"/>
    <cellStyle name="20% - Accent3 4 2 3" xfId="2262"/>
    <cellStyle name="20% - Accent3 4 2 3 2" xfId="4886"/>
    <cellStyle name="20% - Accent3 4 2 4" xfId="3576"/>
    <cellStyle name="20% - Accent3 4 3" xfId="1289"/>
    <cellStyle name="20% - Accent3 4 3 2" xfId="2603"/>
    <cellStyle name="20% - Accent3 4 3 2 2" xfId="5227"/>
    <cellStyle name="20% - Accent3 4 3 3" xfId="3917"/>
    <cellStyle name="20% - Accent3 4 4" xfId="1949"/>
    <cellStyle name="20% - Accent3 4 4 2" xfId="4573"/>
    <cellStyle name="20% - Accent3 4 5" xfId="3263"/>
    <cellStyle name="20% - Accent3 5" xfId="640"/>
    <cellStyle name="20% - Accent3 5 2" xfId="958"/>
    <cellStyle name="20% - Accent3 5 2 2" xfId="1616"/>
    <cellStyle name="20% - Accent3 5 2 2 2" xfId="2929"/>
    <cellStyle name="20% - Accent3 5 2 2 2 2" xfId="5553"/>
    <cellStyle name="20% - Accent3 5 2 2 3" xfId="4243"/>
    <cellStyle name="20% - Accent3 5 2 3" xfId="2275"/>
    <cellStyle name="20% - Accent3 5 2 3 2" xfId="4899"/>
    <cellStyle name="20% - Accent3 5 2 4" xfId="3589"/>
    <cellStyle name="20% - Accent3 5 3" xfId="1302"/>
    <cellStyle name="20% - Accent3 5 3 2" xfId="2616"/>
    <cellStyle name="20% - Accent3 5 3 2 2" xfId="5240"/>
    <cellStyle name="20% - Accent3 5 3 3" xfId="3930"/>
    <cellStyle name="20% - Accent3 5 4" xfId="1962"/>
    <cellStyle name="20% - Accent3 5 4 2" xfId="4586"/>
    <cellStyle name="20% - Accent3 5 5" xfId="3276"/>
    <cellStyle name="20% - Accent3 6" xfId="654"/>
    <cellStyle name="20% - Accent3 6 2" xfId="971"/>
    <cellStyle name="20% - Accent3 6 2 2" xfId="1629"/>
    <cellStyle name="20% - Accent3 6 2 2 2" xfId="2942"/>
    <cellStyle name="20% - Accent3 6 2 2 2 2" xfId="5566"/>
    <cellStyle name="20% - Accent3 6 2 2 3" xfId="4256"/>
    <cellStyle name="20% - Accent3 6 2 3" xfId="2288"/>
    <cellStyle name="20% - Accent3 6 2 3 2" xfId="4912"/>
    <cellStyle name="20% - Accent3 6 2 4" xfId="3602"/>
    <cellStyle name="20% - Accent3 6 3" xfId="1316"/>
    <cellStyle name="20% - Accent3 6 3 2" xfId="2629"/>
    <cellStyle name="20% - Accent3 6 3 2 2" xfId="5253"/>
    <cellStyle name="20% - Accent3 6 3 3" xfId="3943"/>
    <cellStyle name="20% - Accent3 6 4" xfId="1975"/>
    <cellStyle name="20% - Accent3 6 4 2" xfId="4599"/>
    <cellStyle name="20% - Accent3 6 5" xfId="3289"/>
    <cellStyle name="20% - Accent3 7" xfId="667"/>
    <cellStyle name="20% - Accent3 7 2" xfId="1329"/>
    <cellStyle name="20% - Accent3 7 2 2" xfId="2642"/>
    <cellStyle name="20% - Accent3 7 2 2 2" xfId="5266"/>
    <cellStyle name="20% - Accent3 7 2 3" xfId="3956"/>
    <cellStyle name="20% - Accent3 7 3" xfId="1988"/>
    <cellStyle name="20% - Accent3 7 3 2" xfId="4612"/>
    <cellStyle name="20% - Accent3 7 4" xfId="3302"/>
    <cellStyle name="20% - Accent3 8" xfId="987"/>
    <cellStyle name="20% - Accent3 8 2" xfId="1644"/>
    <cellStyle name="20% - Accent3 8 2 2" xfId="2957"/>
    <cellStyle name="20% - Accent3 8 2 2 2" xfId="5581"/>
    <cellStyle name="20% - Accent3 8 2 3" xfId="4271"/>
    <cellStyle name="20% - Accent3 8 3" xfId="2303"/>
    <cellStyle name="20% - Accent3 8 3 2" xfId="4927"/>
    <cellStyle name="20% - Accent3 8 4" xfId="3617"/>
    <cellStyle name="20% - Accent3 9" xfId="1001"/>
    <cellStyle name="20% - Accent3 9 2" xfId="2317"/>
    <cellStyle name="20% - Accent3 9 2 2" xfId="4941"/>
    <cellStyle name="20% - Accent3 9 3" xfId="3631"/>
    <cellStyle name="20% - Accent4" xfId="137" builtinId="42" customBuiltin="1"/>
    <cellStyle name="20% - Accent4 10" xfId="1015"/>
    <cellStyle name="20% - Accent4 10 2" xfId="2331"/>
    <cellStyle name="20% - Accent4 10 2 2" xfId="4955"/>
    <cellStyle name="20% - Accent4 10 3" xfId="3645"/>
    <cellStyle name="20% - Accent4 11" xfId="1659"/>
    <cellStyle name="20% - Accent4 11 2" xfId="2972"/>
    <cellStyle name="20% - Accent4 11 2 2" xfId="5596"/>
    <cellStyle name="20% - Accent4 11 3" xfId="4286"/>
    <cellStyle name="20% - Accent4 12" xfId="1674"/>
    <cellStyle name="20% - Accent4 12 2" xfId="4301"/>
    <cellStyle name="20% - Accent4 13" xfId="2988"/>
    <cellStyle name="20% - Accent4 2" xfId="10"/>
    <cellStyle name="20% - Accent4 2 2" xfId="404"/>
    <cellStyle name="20% - Accent4 2 2 2" xfId="819"/>
    <cellStyle name="20% - Accent4 2 2 2 2" xfId="1477"/>
    <cellStyle name="20% - Accent4 2 2 2 2 2" xfId="2790"/>
    <cellStyle name="20% - Accent4 2 2 2 2 2 2" xfId="5414"/>
    <cellStyle name="20% - Accent4 2 2 2 2 3" xfId="4104"/>
    <cellStyle name="20% - Accent4 2 2 2 3" xfId="2136"/>
    <cellStyle name="20% - Accent4 2 2 2 3 2" xfId="4760"/>
    <cellStyle name="20% - Accent4 2 2 2 4" xfId="3450"/>
    <cellStyle name="20% - Accent4 2 2 3" xfId="1163"/>
    <cellStyle name="20% - Accent4 2 2 3 2" xfId="2477"/>
    <cellStyle name="20% - Accent4 2 2 3 2 2" xfId="5101"/>
    <cellStyle name="20% - Accent4 2 2 3 3" xfId="3791"/>
    <cellStyle name="20% - Accent4 2 2 4" xfId="1823"/>
    <cellStyle name="20% - Accent4 2 2 4 2" xfId="4447"/>
    <cellStyle name="20% - Accent4 2 2 5" xfId="3137"/>
    <cellStyle name="20% - Accent4 2 3" xfId="679"/>
    <cellStyle name="20% - Accent4 2 3 2" xfId="1340"/>
    <cellStyle name="20% - Accent4 2 3 2 2" xfId="2653"/>
    <cellStyle name="20% - Accent4 2 3 2 2 2" xfId="5277"/>
    <cellStyle name="20% - Accent4 2 3 2 3" xfId="3967"/>
    <cellStyle name="20% - Accent4 2 3 3" xfId="1999"/>
    <cellStyle name="20% - Accent4 2 3 3 2" xfId="4623"/>
    <cellStyle name="20% - Accent4 2 3 4" xfId="3313"/>
    <cellStyle name="20% - Accent4 2 4" xfId="1016"/>
    <cellStyle name="20% - Accent4 2 4 2" xfId="2332"/>
    <cellStyle name="20% - Accent4 2 4 2 2" xfId="4956"/>
    <cellStyle name="20% - Accent4 2 4 3" xfId="3646"/>
    <cellStyle name="20% - Accent4 2 5" xfId="1684"/>
    <cellStyle name="20% - Accent4 2 5 2" xfId="4310"/>
    <cellStyle name="20% - Accent4 2 6" xfId="2998"/>
    <cellStyle name="20% - Accent4 2 7" xfId="151"/>
    <cellStyle name="20% - Accent4 3" xfId="394"/>
    <cellStyle name="20% - Accent4 3 2" xfId="809"/>
    <cellStyle name="20% - Accent4 3 2 2" xfId="1468"/>
    <cellStyle name="20% - Accent4 3 2 2 2" xfId="2781"/>
    <cellStyle name="20% - Accent4 3 2 2 2 2" xfId="5405"/>
    <cellStyle name="20% - Accent4 3 2 2 3" xfId="4095"/>
    <cellStyle name="20% - Accent4 3 2 3" xfId="2127"/>
    <cellStyle name="20% - Accent4 3 2 3 2" xfId="4751"/>
    <cellStyle name="20% - Accent4 3 2 4" xfId="3441"/>
    <cellStyle name="20% - Accent4 3 3" xfId="1154"/>
    <cellStyle name="20% - Accent4 3 3 2" xfId="2468"/>
    <cellStyle name="20% - Accent4 3 3 2 2" xfId="5092"/>
    <cellStyle name="20% - Accent4 3 3 3" xfId="3782"/>
    <cellStyle name="20% - Accent4 3 4" xfId="1814"/>
    <cellStyle name="20% - Accent4 3 4 2" xfId="4438"/>
    <cellStyle name="20% - Accent4 3 5" xfId="3128"/>
    <cellStyle name="20% - Accent4 4" xfId="629"/>
    <cellStyle name="20% - Accent4 4 2" xfId="947"/>
    <cellStyle name="20% - Accent4 4 2 2" xfId="1605"/>
    <cellStyle name="20% - Accent4 4 2 2 2" xfId="2918"/>
    <cellStyle name="20% - Accent4 4 2 2 2 2" xfId="5542"/>
    <cellStyle name="20% - Accent4 4 2 2 3" xfId="4232"/>
    <cellStyle name="20% - Accent4 4 2 3" xfId="2264"/>
    <cellStyle name="20% - Accent4 4 2 3 2" xfId="4888"/>
    <cellStyle name="20% - Accent4 4 2 4" xfId="3578"/>
    <cellStyle name="20% - Accent4 4 3" xfId="1291"/>
    <cellStyle name="20% - Accent4 4 3 2" xfId="2605"/>
    <cellStyle name="20% - Accent4 4 3 2 2" xfId="5229"/>
    <cellStyle name="20% - Accent4 4 3 3" xfId="3919"/>
    <cellStyle name="20% - Accent4 4 4" xfId="1951"/>
    <cellStyle name="20% - Accent4 4 4 2" xfId="4575"/>
    <cellStyle name="20% - Accent4 4 5" xfId="3265"/>
    <cellStyle name="20% - Accent4 5" xfId="642"/>
    <cellStyle name="20% - Accent4 5 2" xfId="960"/>
    <cellStyle name="20% - Accent4 5 2 2" xfId="1618"/>
    <cellStyle name="20% - Accent4 5 2 2 2" xfId="2931"/>
    <cellStyle name="20% - Accent4 5 2 2 2 2" xfId="5555"/>
    <cellStyle name="20% - Accent4 5 2 2 3" xfId="4245"/>
    <cellStyle name="20% - Accent4 5 2 3" xfId="2277"/>
    <cellStyle name="20% - Accent4 5 2 3 2" xfId="4901"/>
    <cellStyle name="20% - Accent4 5 2 4" xfId="3591"/>
    <cellStyle name="20% - Accent4 5 3" xfId="1304"/>
    <cellStyle name="20% - Accent4 5 3 2" xfId="2618"/>
    <cellStyle name="20% - Accent4 5 3 2 2" xfId="5242"/>
    <cellStyle name="20% - Accent4 5 3 3" xfId="3932"/>
    <cellStyle name="20% - Accent4 5 4" xfId="1964"/>
    <cellStyle name="20% - Accent4 5 4 2" xfId="4588"/>
    <cellStyle name="20% - Accent4 5 5" xfId="3278"/>
    <cellStyle name="20% - Accent4 6" xfId="656"/>
    <cellStyle name="20% - Accent4 6 2" xfId="973"/>
    <cellStyle name="20% - Accent4 6 2 2" xfId="1631"/>
    <cellStyle name="20% - Accent4 6 2 2 2" xfId="2944"/>
    <cellStyle name="20% - Accent4 6 2 2 2 2" xfId="5568"/>
    <cellStyle name="20% - Accent4 6 2 2 3" xfId="4258"/>
    <cellStyle name="20% - Accent4 6 2 3" xfId="2290"/>
    <cellStyle name="20% - Accent4 6 2 3 2" xfId="4914"/>
    <cellStyle name="20% - Accent4 6 2 4" xfId="3604"/>
    <cellStyle name="20% - Accent4 6 3" xfId="1318"/>
    <cellStyle name="20% - Accent4 6 3 2" xfId="2631"/>
    <cellStyle name="20% - Accent4 6 3 2 2" xfId="5255"/>
    <cellStyle name="20% - Accent4 6 3 3" xfId="3945"/>
    <cellStyle name="20% - Accent4 6 4" xfId="1977"/>
    <cellStyle name="20% - Accent4 6 4 2" xfId="4601"/>
    <cellStyle name="20% - Accent4 6 5" xfId="3291"/>
    <cellStyle name="20% - Accent4 7" xfId="669"/>
    <cellStyle name="20% - Accent4 7 2" xfId="1331"/>
    <cellStyle name="20% - Accent4 7 2 2" xfId="2644"/>
    <cellStyle name="20% - Accent4 7 2 2 2" xfId="5268"/>
    <cellStyle name="20% - Accent4 7 2 3" xfId="3958"/>
    <cellStyle name="20% - Accent4 7 3" xfId="1990"/>
    <cellStyle name="20% - Accent4 7 3 2" xfId="4614"/>
    <cellStyle name="20% - Accent4 7 4" xfId="3304"/>
    <cellStyle name="20% - Accent4 8" xfId="989"/>
    <cellStyle name="20% - Accent4 8 2" xfId="1646"/>
    <cellStyle name="20% - Accent4 8 2 2" xfId="2959"/>
    <cellStyle name="20% - Accent4 8 2 2 2" xfId="5583"/>
    <cellStyle name="20% - Accent4 8 2 3" xfId="4273"/>
    <cellStyle name="20% - Accent4 8 3" xfId="2305"/>
    <cellStyle name="20% - Accent4 8 3 2" xfId="4929"/>
    <cellStyle name="20% - Accent4 8 4" xfId="3619"/>
    <cellStyle name="20% - Accent4 9" xfId="1003"/>
    <cellStyle name="20% - Accent4 9 2" xfId="2319"/>
    <cellStyle name="20% - Accent4 9 2 2" xfId="4943"/>
    <cellStyle name="20% - Accent4 9 3" xfId="3633"/>
    <cellStyle name="20% - Accent5" xfId="141" builtinId="46" customBuiltin="1"/>
    <cellStyle name="20% - Accent5 10" xfId="1017"/>
    <cellStyle name="20% - Accent5 10 2" xfId="2333"/>
    <cellStyle name="20% - Accent5 10 2 2" xfId="4957"/>
    <cellStyle name="20% - Accent5 10 3" xfId="3647"/>
    <cellStyle name="20% - Accent5 11" xfId="1661"/>
    <cellStyle name="20% - Accent5 11 2" xfId="2974"/>
    <cellStyle name="20% - Accent5 11 2 2" xfId="5598"/>
    <cellStyle name="20% - Accent5 11 3" xfId="4288"/>
    <cellStyle name="20% - Accent5 12" xfId="1676"/>
    <cellStyle name="20% - Accent5 12 2" xfId="4303"/>
    <cellStyle name="20% - Accent5 13" xfId="2990"/>
    <cellStyle name="20% - Accent5 2" xfId="11"/>
    <cellStyle name="20% - Accent5 2 2" xfId="405"/>
    <cellStyle name="20% - Accent5 2 2 2" xfId="820"/>
    <cellStyle name="20% - Accent5 2 2 2 2" xfId="1478"/>
    <cellStyle name="20% - Accent5 2 2 2 2 2" xfId="2791"/>
    <cellStyle name="20% - Accent5 2 2 2 2 2 2" xfId="5415"/>
    <cellStyle name="20% - Accent5 2 2 2 2 3" xfId="4105"/>
    <cellStyle name="20% - Accent5 2 2 2 3" xfId="2137"/>
    <cellStyle name="20% - Accent5 2 2 2 3 2" xfId="4761"/>
    <cellStyle name="20% - Accent5 2 2 2 4" xfId="3451"/>
    <cellStyle name="20% - Accent5 2 2 3" xfId="1164"/>
    <cellStyle name="20% - Accent5 2 2 3 2" xfId="2478"/>
    <cellStyle name="20% - Accent5 2 2 3 2 2" xfId="5102"/>
    <cellStyle name="20% - Accent5 2 2 3 3" xfId="3792"/>
    <cellStyle name="20% - Accent5 2 2 4" xfId="1824"/>
    <cellStyle name="20% - Accent5 2 2 4 2" xfId="4448"/>
    <cellStyle name="20% - Accent5 2 2 5" xfId="3138"/>
    <cellStyle name="20% - Accent5 2 3" xfId="680"/>
    <cellStyle name="20% - Accent5 2 3 2" xfId="1341"/>
    <cellStyle name="20% - Accent5 2 3 2 2" xfId="2654"/>
    <cellStyle name="20% - Accent5 2 3 2 2 2" xfId="5278"/>
    <cellStyle name="20% - Accent5 2 3 2 3" xfId="3968"/>
    <cellStyle name="20% - Accent5 2 3 3" xfId="2000"/>
    <cellStyle name="20% - Accent5 2 3 3 2" xfId="4624"/>
    <cellStyle name="20% - Accent5 2 3 4" xfId="3314"/>
    <cellStyle name="20% - Accent5 2 4" xfId="1018"/>
    <cellStyle name="20% - Accent5 2 4 2" xfId="2334"/>
    <cellStyle name="20% - Accent5 2 4 2 2" xfId="4958"/>
    <cellStyle name="20% - Accent5 2 4 3" xfId="3648"/>
    <cellStyle name="20% - Accent5 2 5" xfId="1685"/>
    <cellStyle name="20% - Accent5 2 5 2" xfId="4311"/>
    <cellStyle name="20% - Accent5 2 6" xfId="2999"/>
    <cellStyle name="20% - Accent5 2 7" xfId="152"/>
    <cellStyle name="20% - Accent5 3" xfId="396"/>
    <cellStyle name="20% - Accent5 3 2" xfId="811"/>
    <cellStyle name="20% - Accent5 3 2 2" xfId="1470"/>
    <cellStyle name="20% - Accent5 3 2 2 2" xfId="2783"/>
    <cellStyle name="20% - Accent5 3 2 2 2 2" xfId="5407"/>
    <cellStyle name="20% - Accent5 3 2 2 3" xfId="4097"/>
    <cellStyle name="20% - Accent5 3 2 3" xfId="2129"/>
    <cellStyle name="20% - Accent5 3 2 3 2" xfId="4753"/>
    <cellStyle name="20% - Accent5 3 2 4" xfId="3443"/>
    <cellStyle name="20% - Accent5 3 3" xfId="1156"/>
    <cellStyle name="20% - Accent5 3 3 2" xfId="2470"/>
    <cellStyle name="20% - Accent5 3 3 2 2" xfId="5094"/>
    <cellStyle name="20% - Accent5 3 3 3" xfId="3784"/>
    <cellStyle name="20% - Accent5 3 4" xfId="1816"/>
    <cellStyle name="20% - Accent5 3 4 2" xfId="4440"/>
    <cellStyle name="20% - Accent5 3 5" xfId="3130"/>
    <cellStyle name="20% - Accent5 4" xfId="631"/>
    <cellStyle name="20% - Accent5 4 2" xfId="949"/>
    <cellStyle name="20% - Accent5 4 2 2" xfId="1607"/>
    <cellStyle name="20% - Accent5 4 2 2 2" xfId="2920"/>
    <cellStyle name="20% - Accent5 4 2 2 2 2" xfId="5544"/>
    <cellStyle name="20% - Accent5 4 2 2 3" xfId="4234"/>
    <cellStyle name="20% - Accent5 4 2 3" xfId="2266"/>
    <cellStyle name="20% - Accent5 4 2 3 2" xfId="4890"/>
    <cellStyle name="20% - Accent5 4 2 4" xfId="3580"/>
    <cellStyle name="20% - Accent5 4 3" xfId="1293"/>
    <cellStyle name="20% - Accent5 4 3 2" xfId="2607"/>
    <cellStyle name="20% - Accent5 4 3 2 2" xfId="5231"/>
    <cellStyle name="20% - Accent5 4 3 3" xfId="3921"/>
    <cellStyle name="20% - Accent5 4 4" xfId="1953"/>
    <cellStyle name="20% - Accent5 4 4 2" xfId="4577"/>
    <cellStyle name="20% - Accent5 4 5" xfId="3267"/>
    <cellStyle name="20% - Accent5 5" xfId="644"/>
    <cellStyle name="20% - Accent5 5 2" xfId="962"/>
    <cellStyle name="20% - Accent5 5 2 2" xfId="1620"/>
    <cellStyle name="20% - Accent5 5 2 2 2" xfId="2933"/>
    <cellStyle name="20% - Accent5 5 2 2 2 2" xfId="5557"/>
    <cellStyle name="20% - Accent5 5 2 2 3" xfId="4247"/>
    <cellStyle name="20% - Accent5 5 2 3" xfId="2279"/>
    <cellStyle name="20% - Accent5 5 2 3 2" xfId="4903"/>
    <cellStyle name="20% - Accent5 5 2 4" xfId="3593"/>
    <cellStyle name="20% - Accent5 5 3" xfId="1306"/>
    <cellStyle name="20% - Accent5 5 3 2" xfId="2620"/>
    <cellStyle name="20% - Accent5 5 3 2 2" xfId="5244"/>
    <cellStyle name="20% - Accent5 5 3 3" xfId="3934"/>
    <cellStyle name="20% - Accent5 5 4" xfId="1966"/>
    <cellStyle name="20% - Accent5 5 4 2" xfId="4590"/>
    <cellStyle name="20% - Accent5 5 5" xfId="3280"/>
    <cellStyle name="20% - Accent5 6" xfId="658"/>
    <cellStyle name="20% - Accent5 6 2" xfId="975"/>
    <cellStyle name="20% - Accent5 6 2 2" xfId="1633"/>
    <cellStyle name="20% - Accent5 6 2 2 2" xfId="2946"/>
    <cellStyle name="20% - Accent5 6 2 2 2 2" xfId="5570"/>
    <cellStyle name="20% - Accent5 6 2 2 3" xfId="4260"/>
    <cellStyle name="20% - Accent5 6 2 3" xfId="2292"/>
    <cellStyle name="20% - Accent5 6 2 3 2" xfId="4916"/>
    <cellStyle name="20% - Accent5 6 2 4" xfId="3606"/>
    <cellStyle name="20% - Accent5 6 3" xfId="1320"/>
    <cellStyle name="20% - Accent5 6 3 2" xfId="2633"/>
    <cellStyle name="20% - Accent5 6 3 2 2" xfId="5257"/>
    <cellStyle name="20% - Accent5 6 3 3" xfId="3947"/>
    <cellStyle name="20% - Accent5 6 4" xfId="1979"/>
    <cellStyle name="20% - Accent5 6 4 2" xfId="4603"/>
    <cellStyle name="20% - Accent5 6 5" xfId="3293"/>
    <cellStyle name="20% - Accent5 7" xfId="671"/>
    <cellStyle name="20% - Accent5 7 2" xfId="1333"/>
    <cellStyle name="20% - Accent5 7 2 2" xfId="2646"/>
    <cellStyle name="20% - Accent5 7 2 2 2" xfId="5270"/>
    <cellStyle name="20% - Accent5 7 2 3" xfId="3960"/>
    <cellStyle name="20% - Accent5 7 3" xfId="1992"/>
    <cellStyle name="20% - Accent5 7 3 2" xfId="4616"/>
    <cellStyle name="20% - Accent5 7 4" xfId="3306"/>
    <cellStyle name="20% - Accent5 8" xfId="991"/>
    <cellStyle name="20% - Accent5 8 2" xfId="1648"/>
    <cellStyle name="20% - Accent5 8 2 2" xfId="2961"/>
    <cellStyle name="20% - Accent5 8 2 2 2" xfId="5585"/>
    <cellStyle name="20% - Accent5 8 2 3" xfId="4275"/>
    <cellStyle name="20% - Accent5 8 3" xfId="2307"/>
    <cellStyle name="20% - Accent5 8 3 2" xfId="4931"/>
    <cellStyle name="20% - Accent5 8 4" xfId="3621"/>
    <cellStyle name="20% - Accent5 9" xfId="1005"/>
    <cellStyle name="20% - Accent5 9 2" xfId="2321"/>
    <cellStyle name="20% - Accent5 9 2 2" xfId="4945"/>
    <cellStyle name="20% - Accent5 9 3" xfId="3635"/>
    <cellStyle name="20% - Accent6" xfId="145" builtinId="50" customBuiltin="1"/>
    <cellStyle name="20% - Accent6 10" xfId="1019"/>
    <cellStyle name="20% - Accent6 10 2" xfId="2335"/>
    <cellStyle name="20% - Accent6 10 2 2" xfId="4959"/>
    <cellStyle name="20% - Accent6 10 3" xfId="3649"/>
    <cellStyle name="20% - Accent6 11" xfId="1663"/>
    <cellStyle name="20% - Accent6 11 2" xfId="2976"/>
    <cellStyle name="20% - Accent6 11 2 2" xfId="5600"/>
    <cellStyle name="20% - Accent6 11 3" xfId="4290"/>
    <cellStyle name="20% - Accent6 12" xfId="1678"/>
    <cellStyle name="20% - Accent6 12 2" xfId="4305"/>
    <cellStyle name="20% - Accent6 13" xfId="2992"/>
    <cellStyle name="20% - Accent6 2" xfId="12"/>
    <cellStyle name="20% - Accent6 2 2" xfId="406"/>
    <cellStyle name="20% - Accent6 2 2 2" xfId="821"/>
    <cellStyle name="20% - Accent6 2 2 2 2" xfId="1479"/>
    <cellStyle name="20% - Accent6 2 2 2 2 2" xfId="2792"/>
    <cellStyle name="20% - Accent6 2 2 2 2 2 2" xfId="5416"/>
    <cellStyle name="20% - Accent6 2 2 2 2 3" xfId="4106"/>
    <cellStyle name="20% - Accent6 2 2 2 3" xfId="2138"/>
    <cellStyle name="20% - Accent6 2 2 2 3 2" xfId="4762"/>
    <cellStyle name="20% - Accent6 2 2 2 4" xfId="3452"/>
    <cellStyle name="20% - Accent6 2 2 3" xfId="1165"/>
    <cellStyle name="20% - Accent6 2 2 3 2" xfId="2479"/>
    <cellStyle name="20% - Accent6 2 2 3 2 2" xfId="5103"/>
    <cellStyle name="20% - Accent6 2 2 3 3" xfId="3793"/>
    <cellStyle name="20% - Accent6 2 2 4" xfId="1825"/>
    <cellStyle name="20% - Accent6 2 2 4 2" xfId="4449"/>
    <cellStyle name="20% - Accent6 2 2 5" xfId="3139"/>
    <cellStyle name="20% - Accent6 2 3" xfId="681"/>
    <cellStyle name="20% - Accent6 2 3 2" xfId="1342"/>
    <cellStyle name="20% - Accent6 2 3 2 2" xfId="2655"/>
    <cellStyle name="20% - Accent6 2 3 2 2 2" xfId="5279"/>
    <cellStyle name="20% - Accent6 2 3 2 3" xfId="3969"/>
    <cellStyle name="20% - Accent6 2 3 3" xfId="2001"/>
    <cellStyle name="20% - Accent6 2 3 3 2" xfId="4625"/>
    <cellStyle name="20% - Accent6 2 3 4" xfId="3315"/>
    <cellStyle name="20% - Accent6 2 4" xfId="1020"/>
    <cellStyle name="20% - Accent6 2 4 2" xfId="2336"/>
    <cellStyle name="20% - Accent6 2 4 2 2" xfId="4960"/>
    <cellStyle name="20% - Accent6 2 4 3" xfId="3650"/>
    <cellStyle name="20% - Accent6 2 5" xfId="1686"/>
    <cellStyle name="20% - Accent6 2 5 2" xfId="4312"/>
    <cellStyle name="20% - Accent6 2 6" xfId="3000"/>
    <cellStyle name="20% - Accent6 2 7" xfId="153"/>
    <cellStyle name="20% - Accent6 3" xfId="398"/>
    <cellStyle name="20% - Accent6 3 2" xfId="813"/>
    <cellStyle name="20% - Accent6 3 2 2" xfId="1472"/>
    <cellStyle name="20% - Accent6 3 2 2 2" xfId="2785"/>
    <cellStyle name="20% - Accent6 3 2 2 2 2" xfId="5409"/>
    <cellStyle name="20% - Accent6 3 2 2 3" xfId="4099"/>
    <cellStyle name="20% - Accent6 3 2 3" xfId="2131"/>
    <cellStyle name="20% - Accent6 3 2 3 2" xfId="4755"/>
    <cellStyle name="20% - Accent6 3 2 4" xfId="3445"/>
    <cellStyle name="20% - Accent6 3 3" xfId="1158"/>
    <cellStyle name="20% - Accent6 3 3 2" xfId="2472"/>
    <cellStyle name="20% - Accent6 3 3 2 2" xfId="5096"/>
    <cellStyle name="20% - Accent6 3 3 3" xfId="3786"/>
    <cellStyle name="20% - Accent6 3 4" xfId="1818"/>
    <cellStyle name="20% - Accent6 3 4 2" xfId="4442"/>
    <cellStyle name="20% - Accent6 3 5" xfId="3132"/>
    <cellStyle name="20% - Accent6 4" xfId="633"/>
    <cellStyle name="20% - Accent6 4 2" xfId="951"/>
    <cellStyle name="20% - Accent6 4 2 2" xfId="1609"/>
    <cellStyle name="20% - Accent6 4 2 2 2" xfId="2922"/>
    <cellStyle name="20% - Accent6 4 2 2 2 2" xfId="5546"/>
    <cellStyle name="20% - Accent6 4 2 2 3" xfId="4236"/>
    <cellStyle name="20% - Accent6 4 2 3" xfId="2268"/>
    <cellStyle name="20% - Accent6 4 2 3 2" xfId="4892"/>
    <cellStyle name="20% - Accent6 4 2 4" xfId="3582"/>
    <cellStyle name="20% - Accent6 4 3" xfId="1295"/>
    <cellStyle name="20% - Accent6 4 3 2" xfId="2609"/>
    <cellStyle name="20% - Accent6 4 3 2 2" xfId="5233"/>
    <cellStyle name="20% - Accent6 4 3 3" xfId="3923"/>
    <cellStyle name="20% - Accent6 4 4" xfId="1955"/>
    <cellStyle name="20% - Accent6 4 4 2" xfId="4579"/>
    <cellStyle name="20% - Accent6 4 5" xfId="3269"/>
    <cellStyle name="20% - Accent6 5" xfId="646"/>
    <cellStyle name="20% - Accent6 5 2" xfId="964"/>
    <cellStyle name="20% - Accent6 5 2 2" xfId="1622"/>
    <cellStyle name="20% - Accent6 5 2 2 2" xfId="2935"/>
    <cellStyle name="20% - Accent6 5 2 2 2 2" xfId="5559"/>
    <cellStyle name="20% - Accent6 5 2 2 3" xfId="4249"/>
    <cellStyle name="20% - Accent6 5 2 3" xfId="2281"/>
    <cellStyle name="20% - Accent6 5 2 3 2" xfId="4905"/>
    <cellStyle name="20% - Accent6 5 2 4" xfId="3595"/>
    <cellStyle name="20% - Accent6 5 3" xfId="1308"/>
    <cellStyle name="20% - Accent6 5 3 2" xfId="2622"/>
    <cellStyle name="20% - Accent6 5 3 2 2" xfId="5246"/>
    <cellStyle name="20% - Accent6 5 3 3" xfId="3936"/>
    <cellStyle name="20% - Accent6 5 4" xfId="1968"/>
    <cellStyle name="20% - Accent6 5 4 2" xfId="4592"/>
    <cellStyle name="20% - Accent6 5 5" xfId="3282"/>
    <cellStyle name="20% - Accent6 6" xfId="660"/>
    <cellStyle name="20% - Accent6 6 2" xfId="977"/>
    <cellStyle name="20% - Accent6 6 2 2" xfId="1635"/>
    <cellStyle name="20% - Accent6 6 2 2 2" xfId="2948"/>
    <cellStyle name="20% - Accent6 6 2 2 2 2" xfId="5572"/>
    <cellStyle name="20% - Accent6 6 2 2 3" xfId="4262"/>
    <cellStyle name="20% - Accent6 6 2 3" xfId="2294"/>
    <cellStyle name="20% - Accent6 6 2 3 2" xfId="4918"/>
    <cellStyle name="20% - Accent6 6 2 4" xfId="3608"/>
    <cellStyle name="20% - Accent6 6 3" xfId="1322"/>
    <cellStyle name="20% - Accent6 6 3 2" xfId="2635"/>
    <cellStyle name="20% - Accent6 6 3 2 2" xfId="5259"/>
    <cellStyle name="20% - Accent6 6 3 3" xfId="3949"/>
    <cellStyle name="20% - Accent6 6 4" xfId="1981"/>
    <cellStyle name="20% - Accent6 6 4 2" xfId="4605"/>
    <cellStyle name="20% - Accent6 6 5" xfId="3295"/>
    <cellStyle name="20% - Accent6 7" xfId="673"/>
    <cellStyle name="20% - Accent6 7 2" xfId="1335"/>
    <cellStyle name="20% - Accent6 7 2 2" xfId="2648"/>
    <cellStyle name="20% - Accent6 7 2 2 2" xfId="5272"/>
    <cellStyle name="20% - Accent6 7 2 3" xfId="3962"/>
    <cellStyle name="20% - Accent6 7 3" xfId="1994"/>
    <cellStyle name="20% - Accent6 7 3 2" xfId="4618"/>
    <cellStyle name="20% - Accent6 7 4" xfId="3308"/>
    <cellStyle name="20% - Accent6 8" xfId="993"/>
    <cellStyle name="20% - Accent6 8 2" xfId="1650"/>
    <cellStyle name="20% - Accent6 8 2 2" xfId="2963"/>
    <cellStyle name="20% - Accent6 8 2 2 2" xfId="5587"/>
    <cellStyle name="20% - Accent6 8 2 3" xfId="4277"/>
    <cellStyle name="20% - Accent6 8 3" xfId="2309"/>
    <cellStyle name="20% - Accent6 8 3 2" xfId="4933"/>
    <cellStyle name="20% - Accent6 8 4" xfId="3623"/>
    <cellStyle name="20% - Accent6 9" xfId="1007"/>
    <cellStyle name="20% - Accent6 9 2" xfId="2323"/>
    <cellStyle name="20% - Accent6 9 2 2" xfId="4947"/>
    <cellStyle name="20% - Accent6 9 3" xfId="3637"/>
    <cellStyle name="40% - Accent1" xfId="126" builtinId="31" customBuiltin="1"/>
    <cellStyle name="40% - Accent1 10" xfId="1021"/>
    <cellStyle name="40% - Accent1 10 2" xfId="2337"/>
    <cellStyle name="40% - Accent1 10 2 2" xfId="4961"/>
    <cellStyle name="40% - Accent1 10 3" xfId="3651"/>
    <cellStyle name="40% - Accent1 11" xfId="1654"/>
    <cellStyle name="40% - Accent1 11 2" xfId="2967"/>
    <cellStyle name="40% - Accent1 11 2 2" xfId="5591"/>
    <cellStyle name="40% - Accent1 11 3" xfId="4281"/>
    <cellStyle name="40% - Accent1 12" xfId="1669"/>
    <cellStyle name="40% - Accent1 12 2" xfId="4296"/>
    <cellStyle name="40% - Accent1 13" xfId="2983"/>
    <cellStyle name="40% - Accent1 2" xfId="13"/>
    <cellStyle name="40% - Accent1 2 2" xfId="407"/>
    <cellStyle name="40% - Accent1 2 2 2" xfId="822"/>
    <cellStyle name="40% - Accent1 2 2 2 2" xfId="1480"/>
    <cellStyle name="40% - Accent1 2 2 2 2 2" xfId="2793"/>
    <cellStyle name="40% - Accent1 2 2 2 2 2 2" xfId="5417"/>
    <cellStyle name="40% - Accent1 2 2 2 2 3" xfId="4107"/>
    <cellStyle name="40% - Accent1 2 2 2 3" xfId="2139"/>
    <cellStyle name="40% - Accent1 2 2 2 3 2" xfId="4763"/>
    <cellStyle name="40% - Accent1 2 2 2 4" xfId="3453"/>
    <cellStyle name="40% - Accent1 2 2 3" xfId="1166"/>
    <cellStyle name="40% - Accent1 2 2 3 2" xfId="2480"/>
    <cellStyle name="40% - Accent1 2 2 3 2 2" xfId="5104"/>
    <cellStyle name="40% - Accent1 2 2 3 3" xfId="3794"/>
    <cellStyle name="40% - Accent1 2 2 4" xfId="1826"/>
    <cellStyle name="40% - Accent1 2 2 4 2" xfId="4450"/>
    <cellStyle name="40% - Accent1 2 2 5" xfId="3140"/>
    <cellStyle name="40% - Accent1 2 3" xfId="682"/>
    <cellStyle name="40% - Accent1 2 3 2" xfId="1343"/>
    <cellStyle name="40% - Accent1 2 3 2 2" xfId="2656"/>
    <cellStyle name="40% - Accent1 2 3 2 2 2" xfId="5280"/>
    <cellStyle name="40% - Accent1 2 3 2 3" xfId="3970"/>
    <cellStyle name="40% - Accent1 2 3 3" xfId="2002"/>
    <cellStyle name="40% - Accent1 2 3 3 2" xfId="4626"/>
    <cellStyle name="40% - Accent1 2 3 4" xfId="3316"/>
    <cellStyle name="40% - Accent1 2 4" xfId="1022"/>
    <cellStyle name="40% - Accent1 2 4 2" xfId="2338"/>
    <cellStyle name="40% - Accent1 2 4 2 2" xfId="4962"/>
    <cellStyle name="40% - Accent1 2 4 3" xfId="3652"/>
    <cellStyle name="40% - Accent1 2 5" xfId="1687"/>
    <cellStyle name="40% - Accent1 2 5 2" xfId="4313"/>
    <cellStyle name="40% - Accent1 2 6" xfId="3001"/>
    <cellStyle name="40% - Accent1 2 7" xfId="154"/>
    <cellStyle name="40% - Accent1 3" xfId="389"/>
    <cellStyle name="40% - Accent1 3 2" xfId="804"/>
    <cellStyle name="40% - Accent1 3 2 2" xfId="1463"/>
    <cellStyle name="40% - Accent1 3 2 2 2" xfId="2776"/>
    <cellStyle name="40% - Accent1 3 2 2 2 2" xfId="5400"/>
    <cellStyle name="40% - Accent1 3 2 2 3" xfId="4090"/>
    <cellStyle name="40% - Accent1 3 2 3" xfId="2122"/>
    <cellStyle name="40% - Accent1 3 2 3 2" xfId="4746"/>
    <cellStyle name="40% - Accent1 3 2 4" xfId="3436"/>
    <cellStyle name="40% - Accent1 3 3" xfId="1149"/>
    <cellStyle name="40% - Accent1 3 3 2" xfId="2463"/>
    <cellStyle name="40% - Accent1 3 3 2 2" xfId="5087"/>
    <cellStyle name="40% - Accent1 3 3 3" xfId="3777"/>
    <cellStyle name="40% - Accent1 3 4" xfId="1809"/>
    <cellStyle name="40% - Accent1 3 4 2" xfId="4433"/>
    <cellStyle name="40% - Accent1 3 5" xfId="3123"/>
    <cellStyle name="40% - Accent1 4" xfId="624"/>
    <cellStyle name="40% - Accent1 4 2" xfId="942"/>
    <cellStyle name="40% - Accent1 4 2 2" xfId="1600"/>
    <cellStyle name="40% - Accent1 4 2 2 2" xfId="2913"/>
    <cellStyle name="40% - Accent1 4 2 2 2 2" xfId="5537"/>
    <cellStyle name="40% - Accent1 4 2 2 3" xfId="4227"/>
    <cellStyle name="40% - Accent1 4 2 3" xfId="2259"/>
    <cellStyle name="40% - Accent1 4 2 3 2" xfId="4883"/>
    <cellStyle name="40% - Accent1 4 2 4" xfId="3573"/>
    <cellStyle name="40% - Accent1 4 3" xfId="1286"/>
    <cellStyle name="40% - Accent1 4 3 2" xfId="2600"/>
    <cellStyle name="40% - Accent1 4 3 2 2" xfId="5224"/>
    <cellStyle name="40% - Accent1 4 3 3" xfId="3914"/>
    <cellStyle name="40% - Accent1 4 4" xfId="1946"/>
    <cellStyle name="40% - Accent1 4 4 2" xfId="4570"/>
    <cellStyle name="40% - Accent1 4 5" xfId="3260"/>
    <cellStyle name="40% - Accent1 5" xfId="637"/>
    <cellStyle name="40% - Accent1 5 2" xfId="955"/>
    <cellStyle name="40% - Accent1 5 2 2" xfId="1613"/>
    <cellStyle name="40% - Accent1 5 2 2 2" xfId="2926"/>
    <cellStyle name="40% - Accent1 5 2 2 2 2" xfId="5550"/>
    <cellStyle name="40% - Accent1 5 2 2 3" xfId="4240"/>
    <cellStyle name="40% - Accent1 5 2 3" xfId="2272"/>
    <cellStyle name="40% - Accent1 5 2 3 2" xfId="4896"/>
    <cellStyle name="40% - Accent1 5 2 4" xfId="3586"/>
    <cellStyle name="40% - Accent1 5 3" xfId="1299"/>
    <cellStyle name="40% - Accent1 5 3 2" xfId="2613"/>
    <cellStyle name="40% - Accent1 5 3 2 2" xfId="5237"/>
    <cellStyle name="40% - Accent1 5 3 3" xfId="3927"/>
    <cellStyle name="40% - Accent1 5 4" xfId="1959"/>
    <cellStyle name="40% - Accent1 5 4 2" xfId="4583"/>
    <cellStyle name="40% - Accent1 5 5" xfId="3273"/>
    <cellStyle name="40% - Accent1 6" xfId="651"/>
    <cellStyle name="40% - Accent1 6 2" xfId="968"/>
    <cellStyle name="40% - Accent1 6 2 2" xfId="1626"/>
    <cellStyle name="40% - Accent1 6 2 2 2" xfId="2939"/>
    <cellStyle name="40% - Accent1 6 2 2 2 2" xfId="5563"/>
    <cellStyle name="40% - Accent1 6 2 2 3" xfId="4253"/>
    <cellStyle name="40% - Accent1 6 2 3" xfId="2285"/>
    <cellStyle name="40% - Accent1 6 2 3 2" xfId="4909"/>
    <cellStyle name="40% - Accent1 6 2 4" xfId="3599"/>
    <cellStyle name="40% - Accent1 6 3" xfId="1313"/>
    <cellStyle name="40% - Accent1 6 3 2" xfId="2626"/>
    <cellStyle name="40% - Accent1 6 3 2 2" xfId="5250"/>
    <cellStyle name="40% - Accent1 6 3 3" xfId="3940"/>
    <cellStyle name="40% - Accent1 6 4" xfId="1972"/>
    <cellStyle name="40% - Accent1 6 4 2" xfId="4596"/>
    <cellStyle name="40% - Accent1 6 5" xfId="3286"/>
    <cellStyle name="40% - Accent1 7" xfId="664"/>
    <cellStyle name="40% - Accent1 7 2" xfId="1326"/>
    <cellStyle name="40% - Accent1 7 2 2" xfId="2639"/>
    <cellStyle name="40% - Accent1 7 2 2 2" xfId="5263"/>
    <cellStyle name="40% - Accent1 7 2 3" xfId="3953"/>
    <cellStyle name="40% - Accent1 7 3" xfId="1985"/>
    <cellStyle name="40% - Accent1 7 3 2" xfId="4609"/>
    <cellStyle name="40% - Accent1 7 4" xfId="3299"/>
    <cellStyle name="40% - Accent1 8" xfId="984"/>
    <cellStyle name="40% - Accent1 8 2" xfId="1641"/>
    <cellStyle name="40% - Accent1 8 2 2" xfId="2954"/>
    <cellStyle name="40% - Accent1 8 2 2 2" xfId="5578"/>
    <cellStyle name="40% - Accent1 8 2 3" xfId="4268"/>
    <cellStyle name="40% - Accent1 8 3" xfId="2300"/>
    <cellStyle name="40% - Accent1 8 3 2" xfId="4924"/>
    <cellStyle name="40% - Accent1 8 4" xfId="3614"/>
    <cellStyle name="40% - Accent1 9" xfId="998"/>
    <cellStyle name="40% - Accent1 9 2" xfId="2314"/>
    <cellStyle name="40% - Accent1 9 2 2" xfId="4938"/>
    <cellStyle name="40% - Accent1 9 3" xfId="3628"/>
    <cellStyle name="40% - Accent2" xfId="130" builtinId="35" customBuiltin="1"/>
    <cellStyle name="40% - Accent2 10" xfId="1023"/>
    <cellStyle name="40% - Accent2 10 2" xfId="2339"/>
    <cellStyle name="40% - Accent2 10 2 2" xfId="4963"/>
    <cellStyle name="40% - Accent2 10 3" xfId="3653"/>
    <cellStyle name="40% - Accent2 11" xfId="1656"/>
    <cellStyle name="40% - Accent2 11 2" xfId="2969"/>
    <cellStyle name="40% - Accent2 11 2 2" xfId="5593"/>
    <cellStyle name="40% - Accent2 11 3" xfId="4283"/>
    <cellStyle name="40% - Accent2 12" xfId="1671"/>
    <cellStyle name="40% - Accent2 12 2" xfId="4298"/>
    <cellStyle name="40% - Accent2 13" xfId="2985"/>
    <cellStyle name="40% - Accent2 2" xfId="14"/>
    <cellStyle name="40% - Accent2 2 2" xfId="408"/>
    <cellStyle name="40% - Accent2 2 2 2" xfId="823"/>
    <cellStyle name="40% - Accent2 2 2 2 2" xfId="1481"/>
    <cellStyle name="40% - Accent2 2 2 2 2 2" xfId="2794"/>
    <cellStyle name="40% - Accent2 2 2 2 2 2 2" xfId="5418"/>
    <cellStyle name="40% - Accent2 2 2 2 2 3" xfId="4108"/>
    <cellStyle name="40% - Accent2 2 2 2 3" xfId="2140"/>
    <cellStyle name="40% - Accent2 2 2 2 3 2" xfId="4764"/>
    <cellStyle name="40% - Accent2 2 2 2 4" xfId="3454"/>
    <cellStyle name="40% - Accent2 2 2 3" xfId="1167"/>
    <cellStyle name="40% - Accent2 2 2 3 2" xfId="2481"/>
    <cellStyle name="40% - Accent2 2 2 3 2 2" xfId="5105"/>
    <cellStyle name="40% - Accent2 2 2 3 3" xfId="3795"/>
    <cellStyle name="40% - Accent2 2 2 4" xfId="1827"/>
    <cellStyle name="40% - Accent2 2 2 4 2" xfId="4451"/>
    <cellStyle name="40% - Accent2 2 2 5" xfId="3141"/>
    <cellStyle name="40% - Accent2 2 3" xfId="683"/>
    <cellStyle name="40% - Accent2 2 3 2" xfId="1344"/>
    <cellStyle name="40% - Accent2 2 3 2 2" xfId="2657"/>
    <cellStyle name="40% - Accent2 2 3 2 2 2" xfId="5281"/>
    <cellStyle name="40% - Accent2 2 3 2 3" xfId="3971"/>
    <cellStyle name="40% - Accent2 2 3 3" xfId="2003"/>
    <cellStyle name="40% - Accent2 2 3 3 2" xfId="4627"/>
    <cellStyle name="40% - Accent2 2 3 4" xfId="3317"/>
    <cellStyle name="40% - Accent2 2 4" xfId="1024"/>
    <cellStyle name="40% - Accent2 2 4 2" xfId="2340"/>
    <cellStyle name="40% - Accent2 2 4 2 2" xfId="4964"/>
    <cellStyle name="40% - Accent2 2 4 3" xfId="3654"/>
    <cellStyle name="40% - Accent2 2 5" xfId="1688"/>
    <cellStyle name="40% - Accent2 2 5 2" xfId="4314"/>
    <cellStyle name="40% - Accent2 2 6" xfId="3002"/>
    <cellStyle name="40% - Accent2 2 7" xfId="155"/>
    <cellStyle name="40% - Accent2 3" xfId="391"/>
    <cellStyle name="40% - Accent2 3 2" xfId="806"/>
    <cellStyle name="40% - Accent2 3 2 2" xfId="1465"/>
    <cellStyle name="40% - Accent2 3 2 2 2" xfId="2778"/>
    <cellStyle name="40% - Accent2 3 2 2 2 2" xfId="5402"/>
    <cellStyle name="40% - Accent2 3 2 2 3" xfId="4092"/>
    <cellStyle name="40% - Accent2 3 2 3" xfId="2124"/>
    <cellStyle name="40% - Accent2 3 2 3 2" xfId="4748"/>
    <cellStyle name="40% - Accent2 3 2 4" xfId="3438"/>
    <cellStyle name="40% - Accent2 3 3" xfId="1151"/>
    <cellStyle name="40% - Accent2 3 3 2" xfId="2465"/>
    <cellStyle name="40% - Accent2 3 3 2 2" xfId="5089"/>
    <cellStyle name="40% - Accent2 3 3 3" xfId="3779"/>
    <cellStyle name="40% - Accent2 3 4" xfId="1811"/>
    <cellStyle name="40% - Accent2 3 4 2" xfId="4435"/>
    <cellStyle name="40% - Accent2 3 5" xfId="3125"/>
    <cellStyle name="40% - Accent2 4" xfId="626"/>
    <cellStyle name="40% - Accent2 4 2" xfId="944"/>
    <cellStyle name="40% - Accent2 4 2 2" xfId="1602"/>
    <cellStyle name="40% - Accent2 4 2 2 2" xfId="2915"/>
    <cellStyle name="40% - Accent2 4 2 2 2 2" xfId="5539"/>
    <cellStyle name="40% - Accent2 4 2 2 3" xfId="4229"/>
    <cellStyle name="40% - Accent2 4 2 3" xfId="2261"/>
    <cellStyle name="40% - Accent2 4 2 3 2" xfId="4885"/>
    <cellStyle name="40% - Accent2 4 2 4" xfId="3575"/>
    <cellStyle name="40% - Accent2 4 3" xfId="1288"/>
    <cellStyle name="40% - Accent2 4 3 2" xfId="2602"/>
    <cellStyle name="40% - Accent2 4 3 2 2" xfId="5226"/>
    <cellStyle name="40% - Accent2 4 3 3" xfId="3916"/>
    <cellStyle name="40% - Accent2 4 4" xfId="1948"/>
    <cellStyle name="40% - Accent2 4 4 2" xfId="4572"/>
    <cellStyle name="40% - Accent2 4 5" xfId="3262"/>
    <cellStyle name="40% - Accent2 5" xfId="639"/>
    <cellStyle name="40% - Accent2 5 2" xfId="957"/>
    <cellStyle name="40% - Accent2 5 2 2" xfId="1615"/>
    <cellStyle name="40% - Accent2 5 2 2 2" xfId="2928"/>
    <cellStyle name="40% - Accent2 5 2 2 2 2" xfId="5552"/>
    <cellStyle name="40% - Accent2 5 2 2 3" xfId="4242"/>
    <cellStyle name="40% - Accent2 5 2 3" xfId="2274"/>
    <cellStyle name="40% - Accent2 5 2 3 2" xfId="4898"/>
    <cellStyle name="40% - Accent2 5 2 4" xfId="3588"/>
    <cellStyle name="40% - Accent2 5 3" xfId="1301"/>
    <cellStyle name="40% - Accent2 5 3 2" xfId="2615"/>
    <cellStyle name="40% - Accent2 5 3 2 2" xfId="5239"/>
    <cellStyle name="40% - Accent2 5 3 3" xfId="3929"/>
    <cellStyle name="40% - Accent2 5 4" xfId="1961"/>
    <cellStyle name="40% - Accent2 5 4 2" xfId="4585"/>
    <cellStyle name="40% - Accent2 5 5" xfId="3275"/>
    <cellStyle name="40% - Accent2 6" xfId="653"/>
    <cellStyle name="40% - Accent2 6 2" xfId="970"/>
    <cellStyle name="40% - Accent2 6 2 2" xfId="1628"/>
    <cellStyle name="40% - Accent2 6 2 2 2" xfId="2941"/>
    <cellStyle name="40% - Accent2 6 2 2 2 2" xfId="5565"/>
    <cellStyle name="40% - Accent2 6 2 2 3" xfId="4255"/>
    <cellStyle name="40% - Accent2 6 2 3" xfId="2287"/>
    <cellStyle name="40% - Accent2 6 2 3 2" xfId="4911"/>
    <cellStyle name="40% - Accent2 6 2 4" xfId="3601"/>
    <cellStyle name="40% - Accent2 6 3" xfId="1315"/>
    <cellStyle name="40% - Accent2 6 3 2" xfId="2628"/>
    <cellStyle name="40% - Accent2 6 3 2 2" xfId="5252"/>
    <cellStyle name="40% - Accent2 6 3 3" xfId="3942"/>
    <cellStyle name="40% - Accent2 6 4" xfId="1974"/>
    <cellStyle name="40% - Accent2 6 4 2" xfId="4598"/>
    <cellStyle name="40% - Accent2 6 5" xfId="3288"/>
    <cellStyle name="40% - Accent2 7" xfId="666"/>
    <cellStyle name="40% - Accent2 7 2" xfId="1328"/>
    <cellStyle name="40% - Accent2 7 2 2" xfId="2641"/>
    <cellStyle name="40% - Accent2 7 2 2 2" xfId="5265"/>
    <cellStyle name="40% - Accent2 7 2 3" xfId="3955"/>
    <cellStyle name="40% - Accent2 7 3" xfId="1987"/>
    <cellStyle name="40% - Accent2 7 3 2" xfId="4611"/>
    <cellStyle name="40% - Accent2 7 4" xfId="3301"/>
    <cellStyle name="40% - Accent2 8" xfId="986"/>
    <cellStyle name="40% - Accent2 8 2" xfId="1643"/>
    <cellStyle name="40% - Accent2 8 2 2" xfId="2956"/>
    <cellStyle name="40% - Accent2 8 2 2 2" xfId="5580"/>
    <cellStyle name="40% - Accent2 8 2 3" xfId="4270"/>
    <cellStyle name="40% - Accent2 8 3" xfId="2302"/>
    <cellStyle name="40% - Accent2 8 3 2" xfId="4926"/>
    <cellStyle name="40% - Accent2 8 4" xfId="3616"/>
    <cellStyle name="40% - Accent2 9" xfId="1000"/>
    <cellStyle name="40% - Accent2 9 2" xfId="2316"/>
    <cellStyle name="40% - Accent2 9 2 2" xfId="4940"/>
    <cellStyle name="40% - Accent2 9 3" xfId="3630"/>
    <cellStyle name="40% - Accent3" xfId="134" builtinId="39" customBuiltin="1"/>
    <cellStyle name="40% - Accent3 10" xfId="1025"/>
    <cellStyle name="40% - Accent3 10 2" xfId="2341"/>
    <cellStyle name="40% - Accent3 10 2 2" xfId="4965"/>
    <cellStyle name="40% - Accent3 10 3" xfId="3655"/>
    <cellStyle name="40% - Accent3 11" xfId="1658"/>
    <cellStyle name="40% - Accent3 11 2" xfId="2971"/>
    <cellStyle name="40% - Accent3 11 2 2" xfId="5595"/>
    <cellStyle name="40% - Accent3 11 3" xfId="4285"/>
    <cellStyle name="40% - Accent3 12" xfId="1673"/>
    <cellStyle name="40% - Accent3 12 2" xfId="4300"/>
    <cellStyle name="40% - Accent3 13" xfId="2987"/>
    <cellStyle name="40% - Accent3 2" xfId="15"/>
    <cellStyle name="40% - Accent3 2 2" xfId="409"/>
    <cellStyle name="40% - Accent3 2 2 2" xfId="824"/>
    <cellStyle name="40% - Accent3 2 2 2 2" xfId="1482"/>
    <cellStyle name="40% - Accent3 2 2 2 2 2" xfId="2795"/>
    <cellStyle name="40% - Accent3 2 2 2 2 2 2" xfId="5419"/>
    <cellStyle name="40% - Accent3 2 2 2 2 3" xfId="4109"/>
    <cellStyle name="40% - Accent3 2 2 2 3" xfId="2141"/>
    <cellStyle name="40% - Accent3 2 2 2 3 2" xfId="4765"/>
    <cellStyle name="40% - Accent3 2 2 2 4" xfId="3455"/>
    <cellStyle name="40% - Accent3 2 2 3" xfId="1168"/>
    <cellStyle name="40% - Accent3 2 2 3 2" xfId="2482"/>
    <cellStyle name="40% - Accent3 2 2 3 2 2" xfId="5106"/>
    <cellStyle name="40% - Accent3 2 2 3 3" xfId="3796"/>
    <cellStyle name="40% - Accent3 2 2 4" xfId="1828"/>
    <cellStyle name="40% - Accent3 2 2 4 2" xfId="4452"/>
    <cellStyle name="40% - Accent3 2 2 5" xfId="3142"/>
    <cellStyle name="40% - Accent3 2 3" xfId="684"/>
    <cellStyle name="40% - Accent3 2 3 2" xfId="1345"/>
    <cellStyle name="40% - Accent3 2 3 2 2" xfId="2658"/>
    <cellStyle name="40% - Accent3 2 3 2 2 2" xfId="5282"/>
    <cellStyle name="40% - Accent3 2 3 2 3" xfId="3972"/>
    <cellStyle name="40% - Accent3 2 3 3" xfId="2004"/>
    <cellStyle name="40% - Accent3 2 3 3 2" xfId="4628"/>
    <cellStyle name="40% - Accent3 2 3 4" xfId="3318"/>
    <cellStyle name="40% - Accent3 2 4" xfId="1026"/>
    <cellStyle name="40% - Accent3 2 4 2" xfId="2342"/>
    <cellStyle name="40% - Accent3 2 4 2 2" xfId="4966"/>
    <cellStyle name="40% - Accent3 2 4 3" xfId="3656"/>
    <cellStyle name="40% - Accent3 2 5" xfId="1689"/>
    <cellStyle name="40% - Accent3 2 5 2" xfId="4315"/>
    <cellStyle name="40% - Accent3 2 6" xfId="3003"/>
    <cellStyle name="40% - Accent3 2 7" xfId="156"/>
    <cellStyle name="40% - Accent3 3" xfId="393"/>
    <cellStyle name="40% - Accent3 3 2" xfId="808"/>
    <cellStyle name="40% - Accent3 3 2 2" xfId="1467"/>
    <cellStyle name="40% - Accent3 3 2 2 2" xfId="2780"/>
    <cellStyle name="40% - Accent3 3 2 2 2 2" xfId="5404"/>
    <cellStyle name="40% - Accent3 3 2 2 3" xfId="4094"/>
    <cellStyle name="40% - Accent3 3 2 3" xfId="2126"/>
    <cellStyle name="40% - Accent3 3 2 3 2" xfId="4750"/>
    <cellStyle name="40% - Accent3 3 2 4" xfId="3440"/>
    <cellStyle name="40% - Accent3 3 3" xfId="1153"/>
    <cellStyle name="40% - Accent3 3 3 2" xfId="2467"/>
    <cellStyle name="40% - Accent3 3 3 2 2" xfId="5091"/>
    <cellStyle name="40% - Accent3 3 3 3" xfId="3781"/>
    <cellStyle name="40% - Accent3 3 4" xfId="1813"/>
    <cellStyle name="40% - Accent3 3 4 2" xfId="4437"/>
    <cellStyle name="40% - Accent3 3 5" xfId="3127"/>
    <cellStyle name="40% - Accent3 4" xfId="628"/>
    <cellStyle name="40% - Accent3 4 2" xfId="946"/>
    <cellStyle name="40% - Accent3 4 2 2" xfId="1604"/>
    <cellStyle name="40% - Accent3 4 2 2 2" xfId="2917"/>
    <cellStyle name="40% - Accent3 4 2 2 2 2" xfId="5541"/>
    <cellStyle name="40% - Accent3 4 2 2 3" xfId="4231"/>
    <cellStyle name="40% - Accent3 4 2 3" xfId="2263"/>
    <cellStyle name="40% - Accent3 4 2 3 2" xfId="4887"/>
    <cellStyle name="40% - Accent3 4 2 4" xfId="3577"/>
    <cellStyle name="40% - Accent3 4 3" xfId="1290"/>
    <cellStyle name="40% - Accent3 4 3 2" xfId="2604"/>
    <cellStyle name="40% - Accent3 4 3 2 2" xfId="5228"/>
    <cellStyle name="40% - Accent3 4 3 3" xfId="3918"/>
    <cellStyle name="40% - Accent3 4 4" xfId="1950"/>
    <cellStyle name="40% - Accent3 4 4 2" xfId="4574"/>
    <cellStyle name="40% - Accent3 4 5" xfId="3264"/>
    <cellStyle name="40% - Accent3 5" xfId="641"/>
    <cellStyle name="40% - Accent3 5 2" xfId="959"/>
    <cellStyle name="40% - Accent3 5 2 2" xfId="1617"/>
    <cellStyle name="40% - Accent3 5 2 2 2" xfId="2930"/>
    <cellStyle name="40% - Accent3 5 2 2 2 2" xfId="5554"/>
    <cellStyle name="40% - Accent3 5 2 2 3" xfId="4244"/>
    <cellStyle name="40% - Accent3 5 2 3" xfId="2276"/>
    <cellStyle name="40% - Accent3 5 2 3 2" xfId="4900"/>
    <cellStyle name="40% - Accent3 5 2 4" xfId="3590"/>
    <cellStyle name="40% - Accent3 5 3" xfId="1303"/>
    <cellStyle name="40% - Accent3 5 3 2" xfId="2617"/>
    <cellStyle name="40% - Accent3 5 3 2 2" xfId="5241"/>
    <cellStyle name="40% - Accent3 5 3 3" xfId="3931"/>
    <cellStyle name="40% - Accent3 5 4" xfId="1963"/>
    <cellStyle name="40% - Accent3 5 4 2" xfId="4587"/>
    <cellStyle name="40% - Accent3 5 5" xfId="3277"/>
    <cellStyle name="40% - Accent3 6" xfId="655"/>
    <cellStyle name="40% - Accent3 6 2" xfId="972"/>
    <cellStyle name="40% - Accent3 6 2 2" xfId="1630"/>
    <cellStyle name="40% - Accent3 6 2 2 2" xfId="2943"/>
    <cellStyle name="40% - Accent3 6 2 2 2 2" xfId="5567"/>
    <cellStyle name="40% - Accent3 6 2 2 3" xfId="4257"/>
    <cellStyle name="40% - Accent3 6 2 3" xfId="2289"/>
    <cellStyle name="40% - Accent3 6 2 3 2" xfId="4913"/>
    <cellStyle name="40% - Accent3 6 2 4" xfId="3603"/>
    <cellStyle name="40% - Accent3 6 3" xfId="1317"/>
    <cellStyle name="40% - Accent3 6 3 2" xfId="2630"/>
    <cellStyle name="40% - Accent3 6 3 2 2" xfId="5254"/>
    <cellStyle name="40% - Accent3 6 3 3" xfId="3944"/>
    <cellStyle name="40% - Accent3 6 4" xfId="1976"/>
    <cellStyle name="40% - Accent3 6 4 2" xfId="4600"/>
    <cellStyle name="40% - Accent3 6 5" xfId="3290"/>
    <cellStyle name="40% - Accent3 7" xfId="668"/>
    <cellStyle name="40% - Accent3 7 2" xfId="1330"/>
    <cellStyle name="40% - Accent3 7 2 2" xfId="2643"/>
    <cellStyle name="40% - Accent3 7 2 2 2" xfId="5267"/>
    <cellStyle name="40% - Accent3 7 2 3" xfId="3957"/>
    <cellStyle name="40% - Accent3 7 3" xfId="1989"/>
    <cellStyle name="40% - Accent3 7 3 2" xfId="4613"/>
    <cellStyle name="40% - Accent3 7 4" xfId="3303"/>
    <cellStyle name="40% - Accent3 8" xfId="988"/>
    <cellStyle name="40% - Accent3 8 2" xfId="1645"/>
    <cellStyle name="40% - Accent3 8 2 2" xfId="2958"/>
    <cellStyle name="40% - Accent3 8 2 2 2" xfId="5582"/>
    <cellStyle name="40% - Accent3 8 2 3" xfId="4272"/>
    <cellStyle name="40% - Accent3 8 3" xfId="2304"/>
    <cellStyle name="40% - Accent3 8 3 2" xfId="4928"/>
    <cellStyle name="40% - Accent3 8 4" xfId="3618"/>
    <cellStyle name="40% - Accent3 9" xfId="1002"/>
    <cellStyle name="40% - Accent3 9 2" xfId="2318"/>
    <cellStyle name="40% - Accent3 9 2 2" xfId="4942"/>
    <cellStyle name="40% - Accent3 9 3" xfId="3632"/>
    <cellStyle name="40% - Accent4" xfId="138" builtinId="43" customBuiltin="1"/>
    <cellStyle name="40% - Accent4 10" xfId="1027"/>
    <cellStyle name="40% - Accent4 10 2" xfId="2343"/>
    <cellStyle name="40% - Accent4 10 2 2" xfId="4967"/>
    <cellStyle name="40% - Accent4 10 3" xfId="3657"/>
    <cellStyle name="40% - Accent4 11" xfId="1660"/>
    <cellStyle name="40% - Accent4 11 2" xfId="2973"/>
    <cellStyle name="40% - Accent4 11 2 2" xfId="5597"/>
    <cellStyle name="40% - Accent4 11 3" xfId="4287"/>
    <cellStyle name="40% - Accent4 12" xfId="1675"/>
    <cellStyle name="40% - Accent4 12 2" xfId="4302"/>
    <cellStyle name="40% - Accent4 13" xfId="2989"/>
    <cellStyle name="40% - Accent4 2" xfId="16"/>
    <cellStyle name="40% - Accent4 2 2" xfId="410"/>
    <cellStyle name="40% - Accent4 2 2 2" xfId="825"/>
    <cellStyle name="40% - Accent4 2 2 2 2" xfId="1483"/>
    <cellStyle name="40% - Accent4 2 2 2 2 2" xfId="2796"/>
    <cellStyle name="40% - Accent4 2 2 2 2 2 2" xfId="5420"/>
    <cellStyle name="40% - Accent4 2 2 2 2 3" xfId="4110"/>
    <cellStyle name="40% - Accent4 2 2 2 3" xfId="2142"/>
    <cellStyle name="40% - Accent4 2 2 2 3 2" xfId="4766"/>
    <cellStyle name="40% - Accent4 2 2 2 4" xfId="3456"/>
    <cellStyle name="40% - Accent4 2 2 3" xfId="1169"/>
    <cellStyle name="40% - Accent4 2 2 3 2" xfId="2483"/>
    <cellStyle name="40% - Accent4 2 2 3 2 2" xfId="5107"/>
    <cellStyle name="40% - Accent4 2 2 3 3" xfId="3797"/>
    <cellStyle name="40% - Accent4 2 2 4" xfId="1829"/>
    <cellStyle name="40% - Accent4 2 2 4 2" xfId="4453"/>
    <cellStyle name="40% - Accent4 2 2 5" xfId="3143"/>
    <cellStyle name="40% - Accent4 2 3" xfId="685"/>
    <cellStyle name="40% - Accent4 2 3 2" xfId="1346"/>
    <cellStyle name="40% - Accent4 2 3 2 2" xfId="2659"/>
    <cellStyle name="40% - Accent4 2 3 2 2 2" xfId="5283"/>
    <cellStyle name="40% - Accent4 2 3 2 3" xfId="3973"/>
    <cellStyle name="40% - Accent4 2 3 3" xfId="2005"/>
    <cellStyle name="40% - Accent4 2 3 3 2" xfId="4629"/>
    <cellStyle name="40% - Accent4 2 3 4" xfId="3319"/>
    <cellStyle name="40% - Accent4 2 4" xfId="1028"/>
    <cellStyle name="40% - Accent4 2 4 2" xfId="2344"/>
    <cellStyle name="40% - Accent4 2 4 2 2" xfId="4968"/>
    <cellStyle name="40% - Accent4 2 4 3" xfId="3658"/>
    <cellStyle name="40% - Accent4 2 5" xfId="1690"/>
    <cellStyle name="40% - Accent4 2 5 2" xfId="4316"/>
    <cellStyle name="40% - Accent4 2 6" xfId="3004"/>
    <cellStyle name="40% - Accent4 2 7" xfId="157"/>
    <cellStyle name="40% - Accent4 3" xfId="395"/>
    <cellStyle name="40% - Accent4 3 2" xfId="810"/>
    <cellStyle name="40% - Accent4 3 2 2" xfId="1469"/>
    <cellStyle name="40% - Accent4 3 2 2 2" xfId="2782"/>
    <cellStyle name="40% - Accent4 3 2 2 2 2" xfId="5406"/>
    <cellStyle name="40% - Accent4 3 2 2 3" xfId="4096"/>
    <cellStyle name="40% - Accent4 3 2 3" xfId="2128"/>
    <cellStyle name="40% - Accent4 3 2 3 2" xfId="4752"/>
    <cellStyle name="40% - Accent4 3 2 4" xfId="3442"/>
    <cellStyle name="40% - Accent4 3 3" xfId="1155"/>
    <cellStyle name="40% - Accent4 3 3 2" xfId="2469"/>
    <cellStyle name="40% - Accent4 3 3 2 2" xfId="5093"/>
    <cellStyle name="40% - Accent4 3 3 3" xfId="3783"/>
    <cellStyle name="40% - Accent4 3 4" xfId="1815"/>
    <cellStyle name="40% - Accent4 3 4 2" xfId="4439"/>
    <cellStyle name="40% - Accent4 3 5" xfId="3129"/>
    <cellStyle name="40% - Accent4 4" xfId="630"/>
    <cellStyle name="40% - Accent4 4 2" xfId="948"/>
    <cellStyle name="40% - Accent4 4 2 2" xfId="1606"/>
    <cellStyle name="40% - Accent4 4 2 2 2" xfId="2919"/>
    <cellStyle name="40% - Accent4 4 2 2 2 2" xfId="5543"/>
    <cellStyle name="40% - Accent4 4 2 2 3" xfId="4233"/>
    <cellStyle name="40% - Accent4 4 2 3" xfId="2265"/>
    <cellStyle name="40% - Accent4 4 2 3 2" xfId="4889"/>
    <cellStyle name="40% - Accent4 4 2 4" xfId="3579"/>
    <cellStyle name="40% - Accent4 4 3" xfId="1292"/>
    <cellStyle name="40% - Accent4 4 3 2" xfId="2606"/>
    <cellStyle name="40% - Accent4 4 3 2 2" xfId="5230"/>
    <cellStyle name="40% - Accent4 4 3 3" xfId="3920"/>
    <cellStyle name="40% - Accent4 4 4" xfId="1952"/>
    <cellStyle name="40% - Accent4 4 4 2" xfId="4576"/>
    <cellStyle name="40% - Accent4 4 5" xfId="3266"/>
    <cellStyle name="40% - Accent4 5" xfId="643"/>
    <cellStyle name="40% - Accent4 5 2" xfId="961"/>
    <cellStyle name="40% - Accent4 5 2 2" xfId="1619"/>
    <cellStyle name="40% - Accent4 5 2 2 2" xfId="2932"/>
    <cellStyle name="40% - Accent4 5 2 2 2 2" xfId="5556"/>
    <cellStyle name="40% - Accent4 5 2 2 3" xfId="4246"/>
    <cellStyle name="40% - Accent4 5 2 3" xfId="2278"/>
    <cellStyle name="40% - Accent4 5 2 3 2" xfId="4902"/>
    <cellStyle name="40% - Accent4 5 2 4" xfId="3592"/>
    <cellStyle name="40% - Accent4 5 3" xfId="1305"/>
    <cellStyle name="40% - Accent4 5 3 2" xfId="2619"/>
    <cellStyle name="40% - Accent4 5 3 2 2" xfId="5243"/>
    <cellStyle name="40% - Accent4 5 3 3" xfId="3933"/>
    <cellStyle name="40% - Accent4 5 4" xfId="1965"/>
    <cellStyle name="40% - Accent4 5 4 2" xfId="4589"/>
    <cellStyle name="40% - Accent4 5 5" xfId="3279"/>
    <cellStyle name="40% - Accent4 6" xfId="657"/>
    <cellStyle name="40% - Accent4 6 2" xfId="974"/>
    <cellStyle name="40% - Accent4 6 2 2" xfId="1632"/>
    <cellStyle name="40% - Accent4 6 2 2 2" xfId="2945"/>
    <cellStyle name="40% - Accent4 6 2 2 2 2" xfId="5569"/>
    <cellStyle name="40% - Accent4 6 2 2 3" xfId="4259"/>
    <cellStyle name="40% - Accent4 6 2 3" xfId="2291"/>
    <cellStyle name="40% - Accent4 6 2 3 2" xfId="4915"/>
    <cellStyle name="40% - Accent4 6 2 4" xfId="3605"/>
    <cellStyle name="40% - Accent4 6 3" xfId="1319"/>
    <cellStyle name="40% - Accent4 6 3 2" xfId="2632"/>
    <cellStyle name="40% - Accent4 6 3 2 2" xfId="5256"/>
    <cellStyle name="40% - Accent4 6 3 3" xfId="3946"/>
    <cellStyle name="40% - Accent4 6 4" xfId="1978"/>
    <cellStyle name="40% - Accent4 6 4 2" xfId="4602"/>
    <cellStyle name="40% - Accent4 6 5" xfId="3292"/>
    <cellStyle name="40% - Accent4 7" xfId="670"/>
    <cellStyle name="40% - Accent4 7 2" xfId="1332"/>
    <cellStyle name="40% - Accent4 7 2 2" xfId="2645"/>
    <cellStyle name="40% - Accent4 7 2 2 2" xfId="5269"/>
    <cellStyle name="40% - Accent4 7 2 3" xfId="3959"/>
    <cellStyle name="40% - Accent4 7 3" xfId="1991"/>
    <cellStyle name="40% - Accent4 7 3 2" xfId="4615"/>
    <cellStyle name="40% - Accent4 7 4" xfId="3305"/>
    <cellStyle name="40% - Accent4 8" xfId="990"/>
    <cellStyle name="40% - Accent4 8 2" xfId="1647"/>
    <cellStyle name="40% - Accent4 8 2 2" xfId="2960"/>
    <cellStyle name="40% - Accent4 8 2 2 2" xfId="5584"/>
    <cellStyle name="40% - Accent4 8 2 3" xfId="4274"/>
    <cellStyle name="40% - Accent4 8 3" xfId="2306"/>
    <cellStyle name="40% - Accent4 8 3 2" xfId="4930"/>
    <cellStyle name="40% - Accent4 8 4" xfId="3620"/>
    <cellStyle name="40% - Accent4 9" xfId="1004"/>
    <cellStyle name="40% - Accent4 9 2" xfId="2320"/>
    <cellStyle name="40% - Accent4 9 2 2" xfId="4944"/>
    <cellStyle name="40% - Accent4 9 3" xfId="3634"/>
    <cellStyle name="40% - Accent5" xfId="142" builtinId="47" customBuiltin="1"/>
    <cellStyle name="40% - Accent5 10" xfId="1029"/>
    <cellStyle name="40% - Accent5 10 2" xfId="2345"/>
    <cellStyle name="40% - Accent5 10 2 2" xfId="4969"/>
    <cellStyle name="40% - Accent5 10 3" xfId="3659"/>
    <cellStyle name="40% - Accent5 11" xfId="1662"/>
    <cellStyle name="40% - Accent5 11 2" xfId="2975"/>
    <cellStyle name="40% - Accent5 11 2 2" xfId="5599"/>
    <cellStyle name="40% - Accent5 11 3" xfId="4289"/>
    <cellStyle name="40% - Accent5 12" xfId="1677"/>
    <cellStyle name="40% - Accent5 12 2" xfId="4304"/>
    <cellStyle name="40% - Accent5 13" xfId="2991"/>
    <cellStyle name="40% - Accent5 2" xfId="17"/>
    <cellStyle name="40% - Accent5 2 2" xfId="411"/>
    <cellStyle name="40% - Accent5 2 2 2" xfId="826"/>
    <cellStyle name="40% - Accent5 2 2 2 2" xfId="1484"/>
    <cellStyle name="40% - Accent5 2 2 2 2 2" xfId="2797"/>
    <cellStyle name="40% - Accent5 2 2 2 2 2 2" xfId="5421"/>
    <cellStyle name="40% - Accent5 2 2 2 2 3" xfId="4111"/>
    <cellStyle name="40% - Accent5 2 2 2 3" xfId="2143"/>
    <cellStyle name="40% - Accent5 2 2 2 3 2" xfId="4767"/>
    <cellStyle name="40% - Accent5 2 2 2 4" xfId="3457"/>
    <cellStyle name="40% - Accent5 2 2 3" xfId="1170"/>
    <cellStyle name="40% - Accent5 2 2 3 2" xfId="2484"/>
    <cellStyle name="40% - Accent5 2 2 3 2 2" xfId="5108"/>
    <cellStyle name="40% - Accent5 2 2 3 3" xfId="3798"/>
    <cellStyle name="40% - Accent5 2 2 4" xfId="1830"/>
    <cellStyle name="40% - Accent5 2 2 4 2" xfId="4454"/>
    <cellStyle name="40% - Accent5 2 2 5" xfId="3144"/>
    <cellStyle name="40% - Accent5 2 3" xfId="686"/>
    <cellStyle name="40% - Accent5 2 3 2" xfId="1347"/>
    <cellStyle name="40% - Accent5 2 3 2 2" xfId="2660"/>
    <cellStyle name="40% - Accent5 2 3 2 2 2" xfId="5284"/>
    <cellStyle name="40% - Accent5 2 3 2 3" xfId="3974"/>
    <cellStyle name="40% - Accent5 2 3 3" xfId="2006"/>
    <cellStyle name="40% - Accent5 2 3 3 2" xfId="4630"/>
    <cellStyle name="40% - Accent5 2 3 4" xfId="3320"/>
    <cellStyle name="40% - Accent5 2 4" xfId="1030"/>
    <cellStyle name="40% - Accent5 2 4 2" xfId="2346"/>
    <cellStyle name="40% - Accent5 2 4 2 2" xfId="4970"/>
    <cellStyle name="40% - Accent5 2 4 3" xfId="3660"/>
    <cellStyle name="40% - Accent5 2 5" xfId="1691"/>
    <cellStyle name="40% - Accent5 2 5 2" xfId="4317"/>
    <cellStyle name="40% - Accent5 2 6" xfId="3005"/>
    <cellStyle name="40% - Accent5 2 7" xfId="158"/>
    <cellStyle name="40% - Accent5 3" xfId="397"/>
    <cellStyle name="40% - Accent5 3 2" xfId="812"/>
    <cellStyle name="40% - Accent5 3 2 2" xfId="1471"/>
    <cellStyle name="40% - Accent5 3 2 2 2" xfId="2784"/>
    <cellStyle name="40% - Accent5 3 2 2 2 2" xfId="5408"/>
    <cellStyle name="40% - Accent5 3 2 2 3" xfId="4098"/>
    <cellStyle name="40% - Accent5 3 2 3" xfId="2130"/>
    <cellStyle name="40% - Accent5 3 2 3 2" xfId="4754"/>
    <cellStyle name="40% - Accent5 3 2 4" xfId="3444"/>
    <cellStyle name="40% - Accent5 3 3" xfId="1157"/>
    <cellStyle name="40% - Accent5 3 3 2" xfId="2471"/>
    <cellStyle name="40% - Accent5 3 3 2 2" xfId="5095"/>
    <cellStyle name="40% - Accent5 3 3 3" xfId="3785"/>
    <cellStyle name="40% - Accent5 3 4" xfId="1817"/>
    <cellStyle name="40% - Accent5 3 4 2" xfId="4441"/>
    <cellStyle name="40% - Accent5 3 5" xfId="3131"/>
    <cellStyle name="40% - Accent5 4" xfId="632"/>
    <cellStyle name="40% - Accent5 4 2" xfId="950"/>
    <cellStyle name="40% - Accent5 4 2 2" xfId="1608"/>
    <cellStyle name="40% - Accent5 4 2 2 2" xfId="2921"/>
    <cellStyle name="40% - Accent5 4 2 2 2 2" xfId="5545"/>
    <cellStyle name="40% - Accent5 4 2 2 3" xfId="4235"/>
    <cellStyle name="40% - Accent5 4 2 3" xfId="2267"/>
    <cellStyle name="40% - Accent5 4 2 3 2" xfId="4891"/>
    <cellStyle name="40% - Accent5 4 2 4" xfId="3581"/>
    <cellStyle name="40% - Accent5 4 3" xfId="1294"/>
    <cellStyle name="40% - Accent5 4 3 2" xfId="2608"/>
    <cellStyle name="40% - Accent5 4 3 2 2" xfId="5232"/>
    <cellStyle name="40% - Accent5 4 3 3" xfId="3922"/>
    <cellStyle name="40% - Accent5 4 4" xfId="1954"/>
    <cellStyle name="40% - Accent5 4 4 2" xfId="4578"/>
    <cellStyle name="40% - Accent5 4 5" xfId="3268"/>
    <cellStyle name="40% - Accent5 5" xfId="645"/>
    <cellStyle name="40% - Accent5 5 2" xfId="963"/>
    <cellStyle name="40% - Accent5 5 2 2" xfId="1621"/>
    <cellStyle name="40% - Accent5 5 2 2 2" xfId="2934"/>
    <cellStyle name="40% - Accent5 5 2 2 2 2" xfId="5558"/>
    <cellStyle name="40% - Accent5 5 2 2 3" xfId="4248"/>
    <cellStyle name="40% - Accent5 5 2 3" xfId="2280"/>
    <cellStyle name="40% - Accent5 5 2 3 2" xfId="4904"/>
    <cellStyle name="40% - Accent5 5 2 4" xfId="3594"/>
    <cellStyle name="40% - Accent5 5 3" xfId="1307"/>
    <cellStyle name="40% - Accent5 5 3 2" xfId="2621"/>
    <cellStyle name="40% - Accent5 5 3 2 2" xfId="5245"/>
    <cellStyle name="40% - Accent5 5 3 3" xfId="3935"/>
    <cellStyle name="40% - Accent5 5 4" xfId="1967"/>
    <cellStyle name="40% - Accent5 5 4 2" xfId="4591"/>
    <cellStyle name="40% - Accent5 5 5" xfId="3281"/>
    <cellStyle name="40% - Accent5 6" xfId="659"/>
    <cellStyle name="40% - Accent5 6 2" xfId="976"/>
    <cellStyle name="40% - Accent5 6 2 2" xfId="1634"/>
    <cellStyle name="40% - Accent5 6 2 2 2" xfId="2947"/>
    <cellStyle name="40% - Accent5 6 2 2 2 2" xfId="5571"/>
    <cellStyle name="40% - Accent5 6 2 2 3" xfId="4261"/>
    <cellStyle name="40% - Accent5 6 2 3" xfId="2293"/>
    <cellStyle name="40% - Accent5 6 2 3 2" xfId="4917"/>
    <cellStyle name="40% - Accent5 6 2 4" xfId="3607"/>
    <cellStyle name="40% - Accent5 6 3" xfId="1321"/>
    <cellStyle name="40% - Accent5 6 3 2" xfId="2634"/>
    <cellStyle name="40% - Accent5 6 3 2 2" xfId="5258"/>
    <cellStyle name="40% - Accent5 6 3 3" xfId="3948"/>
    <cellStyle name="40% - Accent5 6 4" xfId="1980"/>
    <cellStyle name="40% - Accent5 6 4 2" xfId="4604"/>
    <cellStyle name="40% - Accent5 6 5" xfId="3294"/>
    <cellStyle name="40% - Accent5 7" xfId="672"/>
    <cellStyle name="40% - Accent5 7 2" xfId="1334"/>
    <cellStyle name="40% - Accent5 7 2 2" xfId="2647"/>
    <cellStyle name="40% - Accent5 7 2 2 2" xfId="5271"/>
    <cellStyle name="40% - Accent5 7 2 3" xfId="3961"/>
    <cellStyle name="40% - Accent5 7 3" xfId="1993"/>
    <cellStyle name="40% - Accent5 7 3 2" xfId="4617"/>
    <cellStyle name="40% - Accent5 7 4" xfId="3307"/>
    <cellStyle name="40% - Accent5 8" xfId="992"/>
    <cellStyle name="40% - Accent5 8 2" xfId="1649"/>
    <cellStyle name="40% - Accent5 8 2 2" xfId="2962"/>
    <cellStyle name="40% - Accent5 8 2 2 2" xfId="5586"/>
    <cellStyle name="40% - Accent5 8 2 3" xfId="4276"/>
    <cellStyle name="40% - Accent5 8 3" xfId="2308"/>
    <cellStyle name="40% - Accent5 8 3 2" xfId="4932"/>
    <cellStyle name="40% - Accent5 8 4" xfId="3622"/>
    <cellStyle name="40% - Accent5 9" xfId="1006"/>
    <cellStyle name="40% - Accent5 9 2" xfId="2322"/>
    <cellStyle name="40% - Accent5 9 2 2" xfId="4946"/>
    <cellStyle name="40% - Accent5 9 3" xfId="3636"/>
    <cellStyle name="40% - Accent6" xfId="146" builtinId="51" customBuiltin="1"/>
    <cellStyle name="40% - Accent6 10" xfId="1031"/>
    <cellStyle name="40% - Accent6 10 2" xfId="2347"/>
    <cellStyle name="40% - Accent6 10 2 2" xfId="4971"/>
    <cellStyle name="40% - Accent6 10 3" xfId="3661"/>
    <cellStyle name="40% - Accent6 11" xfId="1664"/>
    <cellStyle name="40% - Accent6 11 2" xfId="2977"/>
    <cellStyle name="40% - Accent6 11 2 2" xfId="5601"/>
    <cellStyle name="40% - Accent6 11 3" xfId="4291"/>
    <cellStyle name="40% - Accent6 12" xfId="1679"/>
    <cellStyle name="40% - Accent6 12 2" xfId="4306"/>
    <cellStyle name="40% - Accent6 13" xfId="2993"/>
    <cellStyle name="40% - Accent6 2" xfId="18"/>
    <cellStyle name="40% - Accent6 2 2" xfId="412"/>
    <cellStyle name="40% - Accent6 2 2 2" xfId="827"/>
    <cellStyle name="40% - Accent6 2 2 2 2" xfId="1485"/>
    <cellStyle name="40% - Accent6 2 2 2 2 2" xfId="2798"/>
    <cellStyle name="40% - Accent6 2 2 2 2 2 2" xfId="5422"/>
    <cellStyle name="40% - Accent6 2 2 2 2 3" xfId="4112"/>
    <cellStyle name="40% - Accent6 2 2 2 3" xfId="2144"/>
    <cellStyle name="40% - Accent6 2 2 2 3 2" xfId="4768"/>
    <cellStyle name="40% - Accent6 2 2 2 4" xfId="3458"/>
    <cellStyle name="40% - Accent6 2 2 3" xfId="1171"/>
    <cellStyle name="40% - Accent6 2 2 3 2" xfId="2485"/>
    <cellStyle name="40% - Accent6 2 2 3 2 2" xfId="5109"/>
    <cellStyle name="40% - Accent6 2 2 3 3" xfId="3799"/>
    <cellStyle name="40% - Accent6 2 2 4" xfId="1831"/>
    <cellStyle name="40% - Accent6 2 2 4 2" xfId="4455"/>
    <cellStyle name="40% - Accent6 2 2 5" xfId="3145"/>
    <cellStyle name="40% - Accent6 2 3" xfId="687"/>
    <cellStyle name="40% - Accent6 2 3 2" xfId="1348"/>
    <cellStyle name="40% - Accent6 2 3 2 2" xfId="2661"/>
    <cellStyle name="40% - Accent6 2 3 2 2 2" xfId="5285"/>
    <cellStyle name="40% - Accent6 2 3 2 3" xfId="3975"/>
    <cellStyle name="40% - Accent6 2 3 3" xfId="2007"/>
    <cellStyle name="40% - Accent6 2 3 3 2" xfId="4631"/>
    <cellStyle name="40% - Accent6 2 3 4" xfId="3321"/>
    <cellStyle name="40% - Accent6 2 4" xfId="1032"/>
    <cellStyle name="40% - Accent6 2 4 2" xfId="2348"/>
    <cellStyle name="40% - Accent6 2 4 2 2" xfId="4972"/>
    <cellStyle name="40% - Accent6 2 4 3" xfId="3662"/>
    <cellStyle name="40% - Accent6 2 5" xfId="1692"/>
    <cellStyle name="40% - Accent6 2 5 2" xfId="4318"/>
    <cellStyle name="40% - Accent6 2 6" xfId="3006"/>
    <cellStyle name="40% - Accent6 2 7" xfId="159"/>
    <cellStyle name="40% - Accent6 3" xfId="399"/>
    <cellStyle name="40% - Accent6 3 2" xfId="814"/>
    <cellStyle name="40% - Accent6 3 2 2" xfId="1473"/>
    <cellStyle name="40% - Accent6 3 2 2 2" xfId="2786"/>
    <cellStyle name="40% - Accent6 3 2 2 2 2" xfId="5410"/>
    <cellStyle name="40% - Accent6 3 2 2 3" xfId="4100"/>
    <cellStyle name="40% - Accent6 3 2 3" xfId="2132"/>
    <cellStyle name="40% - Accent6 3 2 3 2" xfId="4756"/>
    <cellStyle name="40% - Accent6 3 2 4" xfId="3446"/>
    <cellStyle name="40% - Accent6 3 3" xfId="1159"/>
    <cellStyle name="40% - Accent6 3 3 2" xfId="2473"/>
    <cellStyle name="40% - Accent6 3 3 2 2" xfId="5097"/>
    <cellStyle name="40% - Accent6 3 3 3" xfId="3787"/>
    <cellStyle name="40% - Accent6 3 4" xfId="1819"/>
    <cellStyle name="40% - Accent6 3 4 2" xfId="4443"/>
    <cellStyle name="40% - Accent6 3 5" xfId="3133"/>
    <cellStyle name="40% - Accent6 4" xfId="634"/>
    <cellStyle name="40% - Accent6 4 2" xfId="952"/>
    <cellStyle name="40% - Accent6 4 2 2" xfId="1610"/>
    <cellStyle name="40% - Accent6 4 2 2 2" xfId="2923"/>
    <cellStyle name="40% - Accent6 4 2 2 2 2" xfId="5547"/>
    <cellStyle name="40% - Accent6 4 2 2 3" xfId="4237"/>
    <cellStyle name="40% - Accent6 4 2 3" xfId="2269"/>
    <cellStyle name="40% - Accent6 4 2 3 2" xfId="4893"/>
    <cellStyle name="40% - Accent6 4 2 4" xfId="3583"/>
    <cellStyle name="40% - Accent6 4 3" xfId="1296"/>
    <cellStyle name="40% - Accent6 4 3 2" xfId="2610"/>
    <cellStyle name="40% - Accent6 4 3 2 2" xfId="5234"/>
    <cellStyle name="40% - Accent6 4 3 3" xfId="3924"/>
    <cellStyle name="40% - Accent6 4 4" xfId="1956"/>
    <cellStyle name="40% - Accent6 4 4 2" xfId="4580"/>
    <cellStyle name="40% - Accent6 4 5" xfId="3270"/>
    <cellStyle name="40% - Accent6 5" xfId="647"/>
    <cellStyle name="40% - Accent6 5 2" xfId="965"/>
    <cellStyle name="40% - Accent6 5 2 2" xfId="1623"/>
    <cellStyle name="40% - Accent6 5 2 2 2" xfId="2936"/>
    <cellStyle name="40% - Accent6 5 2 2 2 2" xfId="5560"/>
    <cellStyle name="40% - Accent6 5 2 2 3" xfId="4250"/>
    <cellStyle name="40% - Accent6 5 2 3" xfId="2282"/>
    <cellStyle name="40% - Accent6 5 2 3 2" xfId="4906"/>
    <cellStyle name="40% - Accent6 5 2 4" xfId="3596"/>
    <cellStyle name="40% - Accent6 5 3" xfId="1309"/>
    <cellStyle name="40% - Accent6 5 3 2" xfId="2623"/>
    <cellStyle name="40% - Accent6 5 3 2 2" xfId="5247"/>
    <cellStyle name="40% - Accent6 5 3 3" xfId="3937"/>
    <cellStyle name="40% - Accent6 5 4" xfId="1969"/>
    <cellStyle name="40% - Accent6 5 4 2" xfId="4593"/>
    <cellStyle name="40% - Accent6 5 5" xfId="3283"/>
    <cellStyle name="40% - Accent6 6" xfId="661"/>
    <cellStyle name="40% - Accent6 6 2" xfId="978"/>
    <cellStyle name="40% - Accent6 6 2 2" xfId="1636"/>
    <cellStyle name="40% - Accent6 6 2 2 2" xfId="2949"/>
    <cellStyle name="40% - Accent6 6 2 2 2 2" xfId="5573"/>
    <cellStyle name="40% - Accent6 6 2 2 3" xfId="4263"/>
    <cellStyle name="40% - Accent6 6 2 3" xfId="2295"/>
    <cellStyle name="40% - Accent6 6 2 3 2" xfId="4919"/>
    <cellStyle name="40% - Accent6 6 2 4" xfId="3609"/>
    <cellStyle name="40% - Accent6 6 3" xfId="1323"/>
    <cellStyle name="40% - Accent6 6 3 2" xfId="2636"/>
    <cellStyle name="40% - Accent6 6 3 2 2" xfId="5260"/>
    <cellStyle name="40% - Accent6 6 3 3" xfId="3950"/>
    <cellStyle name="40% - Accent6 6 4" xfId="1982"/>
    <cellStyle name="40% - Accent6 6 4 2" xfId="4606"/>
    <cellStyle name="40% - Accent6 6 5" xfId="3296"/>
    <cellStyle name="40% - Accent6 7" xfId="674"/>
    <cellStyle name="40% - Accent6 7 2" xfId="1336"/>
    <cellStyle name="40% - Accent6 7 2 2" xfId="2649"/>
    <cellStyle name="40% - Accent6 7 2 2 2" xfId="5273"/>
    <cellStyle name="40% - Accent6 7 2 3" xfId="3963"/>
    <cellStyle name="40% - Accent6 7 3" xfId="1995"/>
    <cellStyle name="40% - Accent6 7 3 2" xfId="4619"/>
    <cellStyle name="40% - Accent6 7 4" xfId="3309"/>
    <cellStyle name="40% - Accent6 8" xfId="994"/>
    <cellStyle name="40% - Accent6 8 2" xfId="1651"/>
    <cellStyle name="40% - Accent6 8 2 2" xfId="2964"/>
    <cellStyle name="40% - Accent6 8 2 2 2" xfId="5588"/>
    <cellStyle name="40% - Accent6 8 2 3" xfId="4278"/>
    <cellStyle name="40% - Accent6 8 3" xfId="2310"/>
    <cellStyle name="40% - Accent6 8 3 2" xfId="4934"/>
    <cellStyle name="40% - Accent6 8 4" xfId="3624"/>
    <cellStyle name="40% - Accent6 9" xfId="1008"/>
    <cellStyle name="40% - Accent6 9 2" xfId="2324"/>
    <cellStyle name="40% - Accent6 9 2 2" xfId="4948"/>
    <cellStyle name="40% - Accent6 9 3" xfId="3638"/>
    <cellStyle name="60% - Accent1" xfId="127" builtinId="32" customBuiltin="1"/>
    <cellStyle name="60% - Accent1 2" xfId="19"/>
    <cellStyle name="60% - Accent1 2 2" xfId="160"/>
    <cellStyle name="60% - Accent2" xfId="131" builtinId="36" customBuiltin="1"/>
    <cellStyle name="60% - Accent2 2" xfId="20"/>
    <cellStyle name="60% - Accent2 2 2" xfId="161"/>
    <cellStyle name="60% - Accent3" xfId="135" builtinId="40" customBuiltin="1"/>
    <cellStyle name="60% - Accent3 2" xfId="21"/>
    <cellStyle name="60% - Accent3 2 2" xfId="162"/>
    <cellStyle name="60% - Accent4" xfId="139" builtinId="44" customBuiltin="1"/>
    <cellStyle name="60% - Accent4 2" xfId="22"/>
    <cellStyle name="60% - Accent4 2 2" xfId="163"/>
    <cellStyle name="60% - Accent5" xfId="143" builtinId="48" customBuiltin="1"/>
    <cellStyle name="60% - Accent5 2" xfId="23"/>
    <cellStyle name="60% - Accent5 2 2" xfId="164"/>
    <cellStyle name="60% - Accent6" xfId="147" builtinId="52" customBuiltin="1"/>
    <cellStyle name="60% - Accent6 2" xfId="24"/>
    <cellStyle name="60% - Accent6 2 2" xfId="165"/>
    <cellStyle name="Accent1" xfId="124" builtinId="29" customBuiltin="1"/>
    <cellStyle name="Accent1 - 20%" xfId="26"/>
    <cellStyle name="Accent1 - 40%" xfId="27"/>
    <cellStyle name="Accent1 - 60%" xfId="28"/>
    <cellStyle name="Accent1 2" xfId="25"/>
    <cellStyle name="Accent1 2 2" xfId="166"/>
    <cellStyle name="Accent2" xfId="128" builtinId="33" customBuiltin="1"/>
    <cellStyle name="Accent2 - 20%" xfId="30"/>
    <cellStyle name="Accent2 - 40%" xfId="31"/>
    <cellStyle name="Accent2 - 60%" xfId="32"/>
    <cellStyle name="Accent2 2" xfId="29"/>
    <cellStyle name="Accent2 2 2" xfId="167"/>
    <cellStyle name="Accent3" xfId="132" builtinId="37" customBuiltin="1"/>
    <cellStyle name="Accent3 - 20%" xfId="34"/>
    <cellStyle name="Accent3 - 40%" xfId="35"/>
    <cellStyle name="Accent3 - 60%" xfId="36"/>
    <cellStyle name="Accent3 2" xfId="33"/>
    <cellStyle name="Accent3 2 2" xfId="168"/>
    <cellStyle name="Accent4" xfId="136" builtinId="41" customBuiltin="1"/>
    <cellStyle name="Accent4 - 20%" xfId="38"/>
    <cellStyle name="Accent4 - 40%" xfId="39"/>
    <cellStyle name="Accent4 - 60%" xfId="40"/>
    <cellStyle name="Accent4 2" xfId="37"/>
    <cellStyle name="Accent4 2 2" xfId="169"/>
    <cellStyle name="Accent5" xfId="140" builtinId="45" customBuiltin="1"/>
    <cellStyle name="Accent5 - 20%" xfId="42"/>
    <cellStyle name="Accent5 - 40%" xfId="43"/>
    <cellStyle name="Accent5 - 60%" xfId="44"/>
    <cellStyle name="Accent5 2" xfId="41"/>
    <cellStyle name="Accent5 2 2" xfId="170"/>
    <cellStyle name="Accent6" xfId="144" builtinId="49" customBuiltin="1"/>
    <cellStyle name="Accent6 - 20%" xfId="46"/>
    <cellStyle name="Accent6 - 40%" xfId="47"/>
    <cellStyle name="Accent6 - 60%" xfId="48"/>
    <cellStyle name="Accent6 2" xfId="45"/>
    <cellStyle name="Accent6 2 2" xfId="171"/>
    <cellStyle name="Bad" xfId="114" builtinId="27" customBuiltin="1"/>
    <cellStyle name="Bad 2" xfId="49"/>
    <cellStyle name="Bad 2 2" xfId="172"/>
    <cellStyle name="Calculation" xfId="118" builtinId="22" customBuiltin="1"/>
    <cellStyle name="Calculation 2" xfId="50"/>
    <cellStyle name="Calculation 2 2" xfId="173"/>
    <cellStyle name="Check Cell" xfId="120" builtinId="23" customBuiltin="1"/>
    <cellStyle name="Check Cell 2" xfId="51"/>
    <cellStyle name="Check Cell 2 2" xfId="174"/>
    <cellStyle name="Comma 2" xfId="413"/>
    <cellStyle name="Comma 3" xfId="688"/>
    <cellStyle name="Comma 4" xfId="1033"/>
    <cellStyle name="Comma 5" xfId="1693"/>
    <cellStyle name="Comma 6" xfId="1666"/>
    <cellStyle name="Comma 6 2" xfId="4293"/>
    <cellStyle name="Comma 64" xfId="176"/>
    <cellStyle name="Comma 64 2" xfId="414"/>
    <cellStyle name="Comma 64 2 2" xfId="828"/>
    <cellStyle name="Comma 64 2 2 2" xfId="1486"/>
    <cellStyle name="Comma 64 2 2 2 2" xfId="2799"/>
    <cellStyle name="Comma 64 2 2 2 2 2" xfId="5423"/>
    <cellStyle name="Comma 64 2 2 2 3" xfId="4113"/>
    <cellStyle name="Comma 64 2 2 3" xfId="2145"/>
    <cellStyle name="Comma 64 2 2 3 2" xfId="4769"/>
    <cellStyle name="Comma 64 2 2 4" xfId="3459"/>
    <cellStyle name="Comma 64 2 3" xfId="1172"/>
    <cellStyle name="Comma 64 2 3 2" xfId="2486"/>
    <cellStyle name="Comma 64 2 3 2 2" xfId="5110"/>
    <cellStyle name="Comma 64 2 3 3" xfId="3800"/>
    <cellStyle name="Comma 64 2 4" xfId="1832"/>
    <cellStyle name="Comma 64 2 4 2" xfId="4456"/>
    <cellStyle name="Comma 64 2 5" xfId="3146"/>
    <cellStyle name="Comma 64 3" xfId="689"/>
    <cellStyle name="Comma 64 3 2" xfId="1349"/>
    <cellStyle name="Comma 64 3 2 2" xfId="2662"/>
    <cellStyle name="Comma 64 3 2 2 2" xfId="5286"/>
    <cellStyle name="Comma 64 3 2 3" xfId="3976"/>
    <cellStyle name="Comma 64 3 3" xfId="2008"/>
    <cellStyle name="Comma 64 3 3 2" xfId="4632"/>
    <cellStyle name="Comma 64 3 4" xfId="3322"/>
    <cellStyle name="Comma 64 4" xfId="1034"/>
    <cellStyle name="Comma 64 4 2" xfId="2349"/>
    <cellStyle name="Comma 64 4 2 2" xfId="4973"/>
    <cellStyle name="Comma 64 4 3" xfId="3663"/>
    <cellStyle name="Comma 64 5" xfId="1694"/>
    <cellStyle name="Comma 64 5 2" xfId="4319"/>
    <cellStyle name="Comma 64 6" xfId="3008"/>
    <cellStyle name="Comma 7" xfId="3007"/>
    <cellStyle name="Comma 8" xfId="2981"/>
    <cellStyle name="Comma 9" xfId="175"/>
    <cellStyle name="Completed Project" xfId="177"/>
    <cellStyle name="Currency 2" xfId="415"/>
    <cellStyle name="Emphasis 1" xfId="52"/>
    <cellStyle name="Emphasis 2" xfId="53"/>
    <cellStyle name="Emphasis 3" xfId="54"/>
    <cellStyle name="Explanatory Text" xfId="122" builtinId="53" customBuiltin="1"/>
    <cellStyle name="Explanatory Text 2" xfId="55"/>
    <cellStyle name="Explanatory Text 2 2" xfId="178"/>
    <cellStyle name="Good" xfId="113" builtinId="26" customBuiltin="1"/>
    <cellStyle name="Good 2" xfId="56"/>
    <cellStyle name="Good 2 2" xfId="179"/>
    <cellStyle name="Heading 1" xfId="110" builtinId="16" customBuiltin="1"/>
    <cellStyle name="Heading 1 2" xfId="57"/>
    <cellStyle name="Heading 1 2 2" xfId="180"/>
    <cellStyle name="Heading 2" xfId="111" builtinId="17" customBuiltin="1"/>
    <cellStyle name="Heading 2 2" xfId="58"/>
    <cellStyle name="Heading 2 2 2" xfId="181"/>
    <cellStyle name="Heading 3" xfId="2" builtinId="18" customBuiltin="1"/>
    <cellStyle name="Heading 3 2" xfId="59"/>
    <cellStyle name="Heading 3 2 2" xfId="182"/>
    <cellStyle name="Heading 4" xfId="112" builtinId="19" customBuiltin="1"/>
    <cellStyle name="Heading 4 2" xfId="60"/>
    <cellStyle name="Heading 4 2 2" xfId="183"/>
    <cellStyle name="Hyperlink" xfId="3" builtinId="8"/>
    <cellStyle name="Hyperlink 2" xfId="4"/>
    <cellStyle name="Hyperlink 3" xfId="6"/>
    <cellStyle name="Hyperlink 3 2" xfId="400"/>
    <cellStyle name="Hyperlink 4" xfId="1310"/>
    <cellStyle name="Hyperlink 5" xfId="648"/>
    <cellStyle name="Input" xfId="116" builtinId="20" customBuiltin="1"/>
    <cellStyle name="Input 2" xfId="61"/>
    <cellStyle name="Input 2 2" xfId="184"/>
    <cellStyle name="Linked Cell" xfId="119" builtinId="24" customBuiltin="1"/>
    <cellStyle name="Linked Cell 2" xfId="62"/>
    <cellStyle name="Linked Cell 2 2" xfId="185"/>
    <cellStyle name="Neutral" xfId="115" builtinId="28" customBuiltin="1"/>
    <cellStyle name="Neutral 2" xfId="63"/>
    <cellStyle name="Neutral 2 2" xfId="186"/>
    <cellStyle name="Normal" xfId="0" builtinId="0"/>
    <cellStyle name="Normal 10" xfId="187"/>
    <cellStyle name="Normal 10 10" xfId="188"/>
    <cellStyle name="Normal 10 10 2" xfId="417"/>
    <cellStyle name="Normal 10 10 2 2" xfId="830"/>
    <cellStyle name="Normal 10 10 2 2 2" xfId="1488"/>
    <cellStyle name="Normal 10 10 2 2 2 2" xfId="2801"/>
    <cellStyle name="Normal 10 10 2 2 2 2 2" xfId="5425"/>
    <cellStyle name="Normal 10 10 2 2 2 3" xfId="4115"/>
    <cellStyle name="Normal 10 10 2 2 3" xfId="2147"/>
    <cellStyle name="Normal 10 10 2 2 3 2" xfId="4771"/>
    <cellStyle name="Normal 10 10 2 2 4" xfId="3461"/>
    <cellStyle name="Normal 10 10 2 3" xfId="1174"/>
    <cellStyle name="Normal 10 10 2 3 2" xfId="2488"/>
    <cellStyle name="Normal 10 10 2 3 2 2" xfId="5112"/>
    <cellStyle name="Normal 10 10 2 3 3" xfId="3802"/>
    <cellStyle name="Normal 10 10 2 4" xfId="1834"/>
    <cellStyle name="Normal 10 10 2 4 2" xfId="4458"/>
    <cellStyle name="Normal 10 10 2 5" xfId="3148"/>
    <cellStyle name="Normal 10 10 3" xfId="691"/>
    <cellStyle name="Normal 10 10 3 2" xfId="1351"/>
    <cellStyle name="Normal 10 10 3 2 2" xfId="2664"/>
    <cellStyle name="Normal 10 10 3 2 2 2" xfId="5288"/>
    <cellStyle name="Normal 10 10 3 2 3" xfId="3978"/>
    <cellStyle name="Normal 10 10 3 3" xfId="2010"/>
    <cellStyle name="Normal 10 10 3 3 2" xfId="4634"/>
    <cellStyle name="Normal 10 10 3 4" xfId="3324"/>
    <cellStyle name="Normal 10 10 4" xfId="1036"/>
    <cellStyle name="Normal 10 10 4 2" xfId="2351"/>
    <cellStyle name="Normal 10 10 4 2 2" xfId="4975"/>
    <cellStyle name="Normal 10 10 4 3" xfId="3665"/>
    <cellStyle name="Normal 10 10 5" xfId="1696"/>
    <cellStyle name="Normal 10 10 5 2" xfId="4321"/>
    <cellStyle name="Normal 10 10 6" xfId="3010"/>
    <cellStyle name="Normal 10 11" xfId="189"/>
    <cellStyle name="Normal 10 11 2" xfId="418"/>
    <cellStyle name="Normal 10 11 2 2" xfId="831"/>
    <cellStyle name="Normal 10 11 2 2 2" xfId="1489"/>
    <cellStyle name="Normal 10 11 2 2 2 2" xfId="2802"/>
    <cellStyle name="Normal 10 11 2 2 2 2 2" xfId="5426"/>
    <cellStyle name="Normal 10 11 2 2 2 3" xfId="4116"/>
    <cellStyle name="Normal 10 11 2 2 3" xfId="2148"/>
    <cellStyle name="Normal 10 11 2 2 3 2" xfId="4772"/>
    <cellStyle name="Normal 10 11 2 2 4" xfId="3462"/>
    <cellStyle name="Normal 10 11 2 3" xfId="1175"/>
    <cellStyle name="Normal 10 11 2 3 2" xfId="2489"/>
    <cellStyle name="Normal 10 11 2 3 2 2" xfId="5113"/>
    <cellStyle name="Normal 10 11 2 3 3" xfId="3803"/>
    <cellStyle name="Normal 10 11 2 4" xfId="1835"/>
    <cellStyle name="Normal 10 11 2 4 2" xfId="4459"/>
    <cellStyle name="Normal 10 11 2 5" xfId="3149"/>
    <cellStyle name="Normal 10 11 3" xfId="692"/>
    <cellStyle name="Normal 10 11 3 2" xfId="1352"/>
    <cellStyle name="Normal 10 11 3 2 2" xfId="2665"/>
    <cellStyle name="Normal 10 11 3 2 2 2" xfId="5289"/>
    <cellStyle name="Normal 10 11 3 2 3" xfId="3979"/>
    <cellStyle name="Normal 10 11 3 3" xfId="2011"/>
    <cellStyle name="Normal 10 11 3 3 2" xfId="4635"/>
    <cellStyle name="Normal 10 11 3 4" xfId="3325"/>
    <cellStyle name="Normal 10 11 4" xfId="1037"/>
    <cellStyle name="Normal 10 11 4 2" xfId="2352"/>
    <cellStyle name="Normal 10 11 4 2 2" xfId="4976"/>
    <cellStyle name="Normal 10 11 4 3" xfId="3666"/>
    <cellStyle name="Normal 10 11 5" xfId="1697"/>
    <cellStyle name="Normal 10 11 5 2" xfId="4322"/>
    <cellStyle name="Normal 10 11 6" xfId="3011"/>
    <cellStyle name="Normal 10 12" xfId="190"/>
    <cellStyle name="Normal 10 12 2" xfId="419"/>
    <cellStyle name="Normal 10 12 2 2" xfId="832"/>
    <cellStyle name="Normal 10 12 2 2 2" xfId="1490"/>
    <cellStyle name="Normal 10 12 2 2 2 2" xfId="2803"/>
    <cellStyle name="Normal 10 12 2 2 2 2 2" xfId="5427"/>
    <cellStyle name="Normal 10 12 2 2 2 3" xfId="4117"/>
    <cellStyle name="Normal 10 12 2 2 3" xfId="2149"/>
    <cellStyle name="Normal 10 12 2 2 3 2" xfId="4773"/>
    <cellStyle name="Normal 10 12 2 2 4" xfId="3463"/>
    <cellStyle name="Normal 10 12 2 3" xfId="1176"/>
    <cellStyle name="Normal 10 12 2 3 2" xfId="2490"/>
    <cellStyle name="Normal 10 12 2 3 2 2" xfId="5114"/>
    <cellStyle name="Normal 10 12 2 3 3" xfId="3804"/>
    <cellStyle name="Normal 10 12 2 4" xfId="1836"/>
    <cellStyle name="Normal 10 12 2 4 2" xfId="4460"/>
    <cellStyle name="Normal 10 12 2 5" xfId="3150"/>
    <cellStyle name="Normal 10 12 3" xfId="693"/>
    <cellStyle name="Normal 10 12 3 2" xfId="1353"/>
    <cellStyle name="Normal 10 12 3 2 2" xfId="2666"/>
    <cellStyle name="Normal 10 12 3 2 2 2" xfId="5290"/>
    <cellStyle name="Normal 10 12 3 2 3" xfId="3980"/>
    <cellStyle name="Normal 10 12 3 3" xfId="2012"/>
    <cellStyle name="Normal 10 12 3 3 2" xfId="4636"/>
    <cellStyle name="Normal 10 12 3 4" xfId="3326"/>
    <cellStyle name="Normal 10 12 4" xfId="1038"/>
    <cellStyle name="Normal 10 12 4 2" xfId="2353"/>
    <cellStyle name="Normal 10 12 4 2 2" xfId="4977"/>
    <cellStyle name="Normal 10 12 4 3" xfId="3667"/>
    <cellStyle name="Normal 10 12 5" xfId="1698"/>
    <cellStyle name="Normal 10 12 5 2" xfId="4323"/>
    <cellStyle name="Normal 10 12 6" xfId="3012"/>
    <cellStyle name="Normal 10 13" xfId="191"/>
    <cellStyle name="Normal 10 13 2" xfId="420"/>
    <cellStyle name="Normal 10 13 2 2" xfId="833"/>
    <cellStyle name="Normal 10 13 2 2 2" xfId="1491"/>
    <cellStyle name="Normal 10 13 2 2 2 2" xfId="2804"/>
    <cellStyle name="Normal 10 13 2 2 2 2 2" xfId="5428"/>
    <cellStyle name="Normal 10 13 2 2 2 3" xfId="4118"/>
    <cellStyle name="Normal 10 13 2 2 3" xfId="2150"/>
    <cellStyle name="Normal 10 13 2 2 3 2" xfId="4774"/>
    <cellStyle name="Normal 10 13 2 2 4" xfId="3464"/>
    <cellStyle name="Normal 10 13 2 3" xfId="1177"/>
    <cellStyle name="Normal 10 13 2 3 2" xfId="2491"/>
    <cellStyle name="Normal 10 13 2 3 2 2" xfId="5115"/>
    <cellStyle name="Normal 10 13 2 3 3" xfId="3805"/>
    <cellStyle name="Normal 10 13 2 4" xfId="1837"/>
    <cellStyle name="Normal 10 13 2 4 2" xfId="4461"/>
    <cellStyle name="Normal 10 13 2 5" xfId="3151"/>
    <cellStyle name="Normal 10 13 3" xfId="694"/>
    <cellStyle name="Normal 10 13 3 2" xfId="1354"/>
    <cellStyle name="Normal 10 13 3 2 2" xfId="2667"/>
    <cellStyle name="Normal 10 13 3 2 2 2" xfId="5291"/>
    <cellStyle name="Normal 10 13 3 2 3" xfId="3981"/>
    <cellStyle name="Normal 10 13 3 3" xfId="2013"/>
    <cellStyle name="Normal 10 13 3 3 2" xfId="4637"/>
    <cellStyle name="Normal 10 13 3 4" xfId="3327"/>
    <cellStyle name="Normal 10 13 4" xfId="1039"/>
    <cellStyle name="Normal 10 13 4 2" xfId="2354"/>
    <cellStyle name="Normal 10 13 4 2 2" xfId="4978"/>
    <cellStyle name="Normal 10 13 4 3" xfId="3668"/>
    <cellStyle name="Normal 10 13 5" xfId="1699"/>
    <cellStyle name="Normal 10 13 5 2" xfId="4324"/>
    <cellStyle name="Normal 10 13 6" xfId="3013"/>
    <cellStyle name="Normal 10 14" xfId="192"/>
    <cellStyle name="Normal 10 14 2" xfId="421"/>
    <cellStyle name="Normal 10 14 2 2" xfId="834"/>
    <cellStyle name="Normal 10 14 2 2 2" xfId="1492"/>
    <cellStyle name="Normal 10 14 2 2 2 2" xfId="2805"/>
    <cellStyle name="Normal 10 14 2 2 2 2 2" xfId="5429"/>
    <cellStyle name="Normal 10 14 2 2 2 3" xfId="4119"/>
    <cellStyle name="Normal 10 14 2 2 3" xfId="2151"/>
    <cellStyle name="Normal 10 14 2 2 3 2" xfId="4775"/>
    <cellStyle name="Normal 10 14 2 2 4" xfId="3465"/>
    <cellStyle name="Normal 10 14 2 3" xfId="1178"/>
    <cellStyle name="Normal 10 14 2 3 2" xfId="2492"/>
    <cellStyle name="Normal 10 14 2 3 2 2" xfId="5116"/>
    <cellStyle name="Normal 10 14 2 3 3" xfId="3806"/>
    <cellStyle name="Normal 10 14 2 4" xfId="1838"/>
    <cellStyle name="Normal 10 14 2 4 2" xfId="4462"/>
    <cellStyle name="Normal 10 14 2 5" xfId="3152"/>
    <cellStyle name="Normal 10 14 3" xfId="695"/>
    <cellStyle name="Normal 10 14 3 2" xfId="1355"/>
    <cellStyle name="Normal 10 14 3 2 2" xfId="2668"/>
    <cellStyle name="Normal 10 14 3 2 2 2" xfId="5292"/>
    <cellStyle name="Normal 10 14 3 2 3" xfId="3982"/>
    <cellStyle name="Normal 10 14 3 3" xfId="2014"/>
    <cellStyle name="Normal 10 14 3 3 2" xfId="4638"/>
    <cellStyle name="Normal 10 14 3 4" xfId="3328"/>
    <cellStyle name="Normal 10 14 4" xfId="1040"/>
    <cellStyle name="Normal 10 14 4 2" xfId="2355"/>
    <cellStyle name="Normal 10 14 4 2 2" xfId="4979"/>
    <cellStyle name="Normal 10 14 4 3" xfId="3669"/>
    <cellStyle name="Normal 10 14 5" xfId="1700"/>
    <cellStyle name="Normal 10 14 5 2" xfId="4325"/>
    <cellStyle name="Normal 10 14 6" xfId="3014"/>
    <cellStyle name="Normal 10 15" xfId="193"/>
    <cellStyle name="Normal 10 15 2" xfId="422"/>
    <cellStyle name="Normal 10 15 2 2" xfId="835"/>
    <cellStyle name="Normal 10 15 2 2 2" xfId="1493"/>
    <cellStyle name="Normal 10 15 2 2 2 2" xfId="2806"/>
    <cellStyle name="Normal 10 15 2 2 2 2 2" xfId="5430"/>
    <cellStyle name="Normal 10 15 2 2 2 3" xfId="4120"/>
    <cellStyle name="Normal 10 15 2 2 3" xfId="2152"/>
    <cellStyle name="Normal 10 15 2 2 3 2" xfId="4776"/>
    <cellStyle name="Normal 10 15 2 2 4" xfId="3466"/>
    <cellStyle name="Normal 10 15 2 3" xfId="1179"/>
    <cellStyle name="Normal 10 15 2 3 2" xfId="2493"/>
    <cellStyle name="Normal 10 15 2 3 2 2" xfId="5117"/>
    <cellStyle name="Normal 10 15 2 3 3" xfId="3807"/>
    <cellStyle name="Normal 10 15 2 4" xfId="1839"/>
    <cellStyle name="Normal 10 15 2 4 2" xfId="4463"/>
    <cellStyle name="Normal 10 15 2 5" xfId="3153"/>
    <cellStyle name="Normal 10 15 3" xfId="696"/>
    <cellStyle name="Normal 10 15 3 2" xfId="1356"/>
    <cellStyle name="Normal 10 15 3 2 2" xfId="2669"/>
    <cellStyle name="Normal 10 15 3 2 2 2" xfId="5293"/>
    <cellStyle name="Normal 10 15 3 2 3" xfId="3983"/>
    <cellStyle name="Normal 10 15 3 3" xfId="2015"/>
    <cellStyle name="Normal 10 15 3 3 2" xfId="4639"/>
    <cellStyle name="Normal 10 15 3 4" xfId="3329"/>
    <cellStyle name="Normal 10 15 4" xfId="1041"/>
    <cellStyle name="Normal 10 15 4 2" xfId="2356"/>
    <cellStyle name="Normal 10 15 4 2 2" xfId="4980"/>
    <cellStyle name="Normal 10 15 4 3" xfId="3670"/>
    <cellStyle name="Normal 10 15 5" xfId="1701"/>
    <cellStyle name="Normal 10 15 5 2" xfId="4326"/>
    <cellStyle name="Normal 10 15 6" xfId="3015"/>
    <cellStyle name="Normal 10 16" xfId="194"/>
    <cellStyle name="Normal 10 16 2" xfId="423"/>
    <cellStyle name="Normal 10 16 2 2" xfId="836"/>
    <cellStyle name="Normal 10 16 2 2 2" xfId="1494"/>
    <cellStyle name="Normal 10 16 2 2 2 2" xfId="2807"/>
    <cellStyle name="Normal 10 16 2 2 2 2 2" xfId="5431"/>
    <cellStyle name="Normal 10 16 2 2 2 3" xfId="4121"/>
    <cellStyle name="Normal 10 16 2 2 3" xfId="2153"/>
    <cellStyle name="Normal 10 16 2 2 3 2" xfId="4777"/>
    <cellStyle name="Normal 10 16 2 2 4" xfId="3467"/>
    <cellStyle name="Normal 10 16 2 3" xfId="1180"/>
    <cellStyle name="Normal 10 16 2 3 2" xfId="2494"/>
    <cellStyle name="Normal 10 16 2 3 2 2" xfId="5118"/>
    <cellStyle name="Normal 10 16 2 3 3" xfId="3808"/>
    <cellStyle name="Normal 10 16 2 4" xfId="1840"/>
    <cellStyle name="Normal 10 16 2 4 2" xfId="4464"/>
    <cellStyle name="Normal 10 16 2 5" xfId="3154"/>
    <cellStyle name="Normal 10 16 3" xfId="697"/>
    <cellStyle name="Normal 10 16 3 2" xfId="1357"/>
    <cellStyle name="Normal 10 16 3 2 2" xfId="2670"/>
    <cellStyle name="Normal 10 16 3 2 2 2" xfId="5294"/>
    <cellStyle name="Normal 10 16 3 2 3" xfId="3984"/>
    <cellStyle name="Normal 10 16 3 3" xfId="2016"/>
    <cellStyle name="Normal 10 16 3 3 2" xfId="4640"/>
    <cellStyle name="Normal 10 16 3 4" xfId="3330"/>
    <cellStyle name="Normal 10 16 4" xfId="1042"/>
    <cellStyle name="Normal 10 16 4 2" xfId="2357"/>
    <cellStyle name="Normal 10 16 4 2 2" xfId="4981"/>
    <cellStyle name="Normal 10 16 4 3" xfId="3671"/>
    <cellStyle name="Normal 10 16 5" xfId="1702"/>
    <cellStyle name="Normal 10 16 5 2" xfId="4327"/>
    <cellStyle name="Normal 10 16 6" xfId="3016"/>
    <cellStyle name="Normal 10 17" xfId="416"/>
    <cellStyle name="Normal 10 17 2" xfId="829"/>
    <cellStyle name="Normal 10 17 2 2" xfId="1487"/>
    <cellStyle name="Normal 10 17 2 2 2" xfId="2800"/>
    <cellStyle name="Normal 10 17 2 2 2 2" xfId="5424"/>
    <cellStyle name="Normal 10 17 2 2 3" xfId="4114"/>
    <cellStyle name="Normal 10 17 2 3" xfId="2146"/>
    <cellStyle name="Normal 10 17 2 3 2" xfId="4770"/>
    <cellStyle name="Normal 10 17 2 4" xfId="3460"/>
    <cellStyle name="Normal 10 17 3" xfId="1173"/>
    <cellStyle name="Normal 10 17 3 2" xfId="2487"/>
    <cellStyle name="Normal 10 17 3 2 2" xfId="5111"/>
    <cellStyle name="Normal 10 17 3 3" xfId="3801"/>
    <cellStyle name="Normal 10 17 4" xfId="1833"/>
    <cellStyle name="Normal 10 17 4 2" xfId="4457"/>
    <cellStyle name="Normal 10 17 5" xfId="3147"/>
    <cellStyle name="Normal 10 18" xfId="690"/>
    <cellStyle name="Normal 10 18 2" xfId="1350"/>
    <cellStyle name="Normal 10 18 2 2" xfId="2663"/>
    <cellStyle name="Normal 10 18 2 2 2" xfId="5287"/>
    <cellStyle name="Normal 10 18 2 3" xfId="3977"/>
    <cellStyle name="Normal 10 18 3" xfId="2009"/>
    <cellStyle name="Normal 10 18 3 2" xfId="4633"/>
    <cellStyle name="Normal 10 18 4" xfId="3323"/>
    <cellStyle name="Normal 10 19" xfId="1035"/>
    <cellStyle name="Normal 10 19 2" xfId="2350"/>
    <cellStyle name="Normal 10 19 2 2" xfId="4974"/>
    <cellStyle name="Normal 10 19 3" xfId="3664"/>
    <cellStyle name="Normal 10 2" xfId="195"/>
    <cellStyle name="Normal 10 2 2" xfId="424"/>
    <cellStyle name="Normal 10 2 2 2" xfId="837"/>
    <cellStyle name="Normal 10 2 2 2 2" xfId="1495"/>
    <cellStyle name="Normal 10 2 2 2 2 2" xfId="2808"/>
    <cellStyle name="Normal 10 2 2 2 2 2 2" xfId="5432"/>
    <cellStyle name="Normal 10 2 2 2 2 3" xfId="4122"/>
    <cellStyle name="Normal 10 2 2 2 3" xfId="2154"/>
    <cellStyle name="Normal 10 2 2 2 3 2" xfId="4778"/>
    <cellStyle name="Normal 10 2 2 2 4" xfId="3468"/>
    <cellStyle name="Normal 10 2 2 3" xfId="1181"/>
    <cellStyle name="Normal 10 2 2 3 2" xfId="2495"/>
    <cellStyle name="Normal 10 2 2 3 2 2" xfId="5119"/>
    <cellStyle name="Normal 10 2 2 3 3" xfId="3809"/>
    <cellStyle name="Normal 10 2 2 4" xfId="1841"/>
    <cellStyle name="Normal 10 2 2 4 2" xfId="4465"/>
    <cellStyle name="Normal 10 2 2 5" xfId="3155"/>
    <cellStyle name="Normal 10 2 3" xfId="698"/>
    <cellStyle name="Normal 10 2 3 2" xfId="1358"/>
    <cellStyle name="Normal 10 2 3 2 2" xfId="2671"/>
    <cellStyle name="Normal 10 2 3 2 2 2" xfId="5295"/>
    <cellStyle name="Normal 10 2 3 2 3" xfId="3985"/>
    <cellStyle name="Normal 10 2 3 3" xfId="2017"/>
    <cellStyle name="Normal 10 2 3 3 2" xfId="4641"/>
    <cellStyle name="Normal 10 2 3 4" xfId="3331"/>
    <cellStyle name="Normal 10 2 4" xfId="1043"/>
    <cellStyle name="Normal 10 2 4 2" xfId="2358"/>
    <cellStyle name="Normal 10 2 4 2 2" xfId="4982"/>
    <cellStyle name="Normal 10 2 4 3" xfId="3672"/>
    <cellStyle name="Normal 10 2 5" xfId="1703"/>
    <cellStyle name="Normal 10 2 5 2" xfId="4328"/>
    <cellStyle name="Normal 10 2 6" xfId="3017"/>
    <cellStyle name="Normal 10 20" xfId="1695"/>
    <cellStyle name="Normal 10 20 2" xfId="4320"/>
    <cellStyle name="Normal 10 21" xfId="3009"/>
    <cellStyle name="Normal 10 3" xfId="196"/>
    <cellStyle name="Normal 10 3 2" xfId="425"/>
    <cellStyle name="Normal 10 3 2 2" xfId="838"/>
    <cellStyle name="Normal 10 3 2 2 2" xfId="1496"/>
    <cellStyle name="Normal 10 3 2 2 2 2" xfId="2809"/>
    <cellStyle name="Normal 10 3 2 2 2 2 2" xfId="5433"/>
    <cellStyle name="Normal 10 3 2 2 2 3" xfId="4123"/>
    <cellStyle name="Normal 10 3 2 2 3" xfId="2155"/>
    <cellStyle name="Normal 10 3 2 2 3 2" xfId="4779"/>
    <cellStyle name="Normal 10 3 2 2 4" xfId="3469"/>
    <cellStyle name="Normal 10 3 2 3" xfId="1182"/>
    <cellStyle name="Normal 10 3 2 3 2" xfId="2496"/>
    <cellStyle name="Normal 10 3 2 3 2 2" xfId="5120"/>
    <cellStyle name="Normal 10 3 2 3 3" xfId="3810"/>
    <cellStyle name="Normal 10 3 2 4" xfId="1842"/>
    <cellStyle name="Normal 10 3 2 4 2" xfId="4466"/>
    <cellStyle name="Normal 10 3 2 5" xfId="3156"/>
    <cellStyle name="Normal 10 3 3" xfId="699"/>
    <cellStyle name="Normal 10 3 3 2" xfId="1359"/>
    <cellStyle name="Normal 10 3 3 2 2" xfId="2672"/>
    <cellStyle name="Normal 10 3 3 2 2 2" xfId="5296"/>
    <cellStyle name="Normal 10 3 3 2 3" xfId="3986"/>
    <cellStyle name="Normal 10 3 3 3" xfId="2018"/>
    <cellStyle name="Normal 10 3 3 3 2" xfId="4642"/>
    <cellStyle name="Normal 10 3 3 4" xfId="3332"/>
    <cellStyle name="Normal 10 3 4" xfId="1044"/>
    <cellStyle name="Normal 10 3 4 2" xfId="2359"/>
    <cellStyle name="Normal 10 3 4 2 2" xfId="4983"/>
    <cellStyle name="Normal 10 3 4 3" xfId="3673"/>
    <cellStyle name="Normal 10 3 5" xfId="1704"/>
    <cellStyle name="Normal 10 3 5 2" xfId="4329"/>
    <cellStyle name="Normal 10 3 6" xfId="3018"/>
    <cellStyle name="Normal 10 4" xfId="197"/>
    <cellStyle name="Normal 10 4 2" xfId="426"/>
    <cellStyle name="Normal 10 4 2 2" xfId="839"/>
    <cellStyle name="Normal 10 4 2 2 2" xfId="1497"/>
    <cellStyle name="Normal 10 4 2 2 2 2" xfId="2810"/>
    <cellStyle name="Normal 10 4 2 2 2 2 2" xfId="5434"/>
    <cellStyle name="Normal 10 4 2 2 2 3" xfId="4124"/>
    <cellStyle name="Normal 10 4 2 2 3" xfId="2156"/>
    <cellStyle name="Normal 10 4 2 2 3 2" xfId="4780"/>
    <cellStyle name="Normal 10 4 2 2 4" xfId="3470"/>
    <cellStyle name="Normal 10 4 2 3" xfId="1183"/>
    <cellStyle name="Normal 10 4 2 3 2" xfId="2497"/>
    <cellStyle name="Normal 10 4 2 3 2 2" xfId="5121"/>
    <cellStyle name="Normal 10 4 2 3 3" xfId="3811"/>
    <cellStyle name="Normal 10 4 2 4" xfId="1843"/>
    <cellStyle name="Normal 10 4 2 4 2" xfId="4467"/>
    <cellStyle name="Normal 10 4 2 5" xfId="3157"/>
    <cellStyle name="Normal 10 4 3" xfId="700"/>
    <cellStyle name="Normal 10 4 3 2" xfId="1360"/>
    <cellStyle name="Normal 10 4 3 2 2" xfId="2673"/>
    <cellStyle name="Normal 10 4 3 2 2 2" xfId="5297"/>
    <cellStyle name="Normal 10 4 3 2 3" xfId="3987"/>
    <cellStyle name="Normal 10 4 3 3" xfId="2019"/>
    <cellStyle name="Normal 10 4 3 3 2" xfId="4643"/>
    <cellStyle name="Normal 10 4 3 4" xfId="3333"/>
    <cellStyle name="Normal 10 4 4" xfId="1045"/>
    <cellStyle name="Normal 10 4 4 2" xfId="2360"/>
    <cellStyle name="Normal 10 4 4 2 2" xfId="4984"/>
    <cellStyle name="Normal 10 4 4 3" xfId="3674"/>
    <cellStyle name="Normal 10 4 5" xfId="1705"/>
    <cellStyle name="Normal 10 4 5 2" xfId="4330"/>
    <cellStyle name="Normal 10 4 6" xfId="3019"/>
    <cellStyle name="Normal 10 5" xfId="198"/>
    <cellStyle name="Normal 10 5 2" xfId="427"/>
    <cellStyle name="Normal 10 5 2 2" xfId="840"/>
    <cellStyle name="Normal 10 5 2 2 2" xfId="1498"/>
    <cellStyle name="Normal 10 5 2 2 2 2" xfId="2811"/>
    <cellStyle name="Normal 10 5 2 2 2 2 2" xfId="5435"/>
    <cellStyle name="Normal 10 5 2 2 2 3" xfId="4125"/>
    <cellStyle name="Normal 10 5 2 2 3" xfId="2157"/>
    <cellStyle name="Normal 10 5 2 2 3 2" xfId="4781"/>
    <cellStyle name="Normal 10 5 2 2 4" xfId="3471"/>
    <cellStyle name="Normal 10 5 2 3" xfId="1184"/>
    <cellStyle name="Normal 10 5 2 3 2" xfId="2498"/>
    <cellStyle name="Normal 10 5 2 3 2 2" xfId="5122"/>
    <cellStyle name="Normal 10 5 2 3 3" xfId="3812"/>
    <cellStyle name="Normal 10 5 2 4" xfId="1844"/>
    <cellStyle name="Normal 10 5 2 4 2" xfId="4468"/>
    <cellStyle name="Normal 10 5 2 5" xfId="3158"/>
    <cellStyle name="Normal 10 5 3" xfId="701"/>
    <cellStyle name="Normal 10 5 3 2" xfId="1361"/>
    <cellStyle name="Normal 10 5 3 2 2" xfId="2674"/>
    <cellStyle name="Normal 10 5 3 2 2 2" xfId="5298"/>
    <cellStyle name="Normal 10 5 3 2 3" xfId="3988"/>
    <cellStyle name="Normal 10 5 3 3" xfId="2020"/>
    <cellStyle name="Normal 10 5 3 3 2" xfId="4644"/>
    <cellStyle name="Normal 10 5 3 4" xfId="3334"/>
    <cellStyle name="Normal 10 5 4" xfId="1046"/>
    <cellStyle name="Normal 10 5 4 2" xfId="2361"/>
    <cellStyle name="Normal 10 5 4 2 2" xfId="4985"/>
    <cellStyle name="Normal 10 5 4 3" xfId="3675"/>
    <cellStyle name="Normal 10 5 5" xfId="1706"/>
    <cellStyle name="Normal 10 5 5 2" xfId="4331"/>
    <cellStyle name="Normal 10 5 6" xfId="3020"/>
    <cellStyle name="Normal 10 6" xfId="199"/>
    <cellStyle name="Normal 10 6 2" xfId="428"/>
    <cellStyle name="Normal 10 6 2 2" xfId="841"/>
    <cellStyle name="Normal 10 6 2 2 2" xfId="1499"/>
    <cellStyle name="Normal 10 6 2 2 2 2" xfId="2812"/>
    <cellStyle name="Normal 10 6 2 2 2 2 2" xfId="5436"/>
    <cellStyle name="Normal 10 6 2 2 2 3" xfId="4126"/>
    <cellStyle name="Normal 10 6 2 2 3" xfId="2158"/>
    <cellStyle name="Normal 10 6 2 2 3 2" xfId="4782"/>
    <cellStyle name="Normal 10 6 2 2 4" xfId="3472"/>
    <cellStyle name="Normal 10 6 2 3" xfId="1185"/>
    <cellStyle name="Normal 10 6 2 3 2" xfId="2499"/>
    <cellStyle name="Normal 10 6 2 3 2 2" xfId="5123"/>
    <cellStyle name="Normal 10 6 2 3 3" xfId="3813"/>
    <cellStyle name="Normal 10 6 2 4" xfId="1845"/>
    <cellStyle name="Normal 10 6 2 4 2" xfId="4469"/>
    <cellStyle name="Normal 10 6 2 5" xfId="3159"/>
    <cellStyle name="Normal 10 6 3" xfId="702"/>
    <cellStyle name="Normal 10 6 3 2" xfId="1362"/>
    <cellStyle name="Normal 10 6 3 2 2" xfId="2675"/>
    <cellStyle name="Normal 10 6 3 2 2 2" xfId="5299"/>
    <cellStyle name="Normal 10 6 3 2 3" xfId="3989"/>
    <cellStyle name="Normal 10 6 3 3" xfId="2021"/>
    <cellStyle name="Normal 10 6 3 3 2" xfId="4645"/>
    <cellStyle name="Normal 10 6 3 4" xfId="3335"/>
    <cellStyle name="Normal 10 6 4" xfId="1047"/>
    <cellStyle name="Normal 10 6 4 2" xfId="2362"/>
    <cellStyle name="Normal 10 6 4 2 2" xfId="4986"/>
    <cellStyle name="Normal 10 6 4 3" xfId="3676"/>
    <cellStyle name="Normal 10 6 5" xfId="1707"/>
    <cellStyle name="Normal 10 6 5 2" xfId="4332"/>
    <cellStyle name="Normal 10 6 6" xfId="3021"/>
    <cellStyle name="Normal 10 7" xfId="200"/>
    <cellStyle name="Normal 10 7 2" xfId="429"/>
    <cellStyle name="Normal 10 7 2 2" xfId="842"/>
    <cellStyle name="Normal 10 7 2 2 2" xfId="1500"/>
    <cellStyle name="Normal 10 7 2 2 2 2" xfId="2813"/>
    <cellStyle name="Normal 10 7 2 2 2 2 2" xfId="5437"/>
    <cellStyle name="Normal 10 7 2 2 2 3" xfId="4127"/>
    <cellStyle name="Normal 10 7 2 2 3" xfId="2159"/>
    <cellStyle name="Normal 10 7 2 2 3 2" xfId="4783"/>
    <cellStyle name="Normal 10 7 2 2 4" xfId="3473"/>
    <cellStyle name="Normal 10 7 2 3" xfId="1186"/>
    <cellStyle name="Normal 10 7 2 3 2" xfId="2500"/>
    <cellStyle name="Normal 10 7 2 3 2 2" xfId="5124"/>
    <cellStyle name="Normal 10 7 2 3 3" xfId="3814"/>
    <cellStyle name="Normal 10 7 2 4" xfId="1846"/>
    <cellStyle name="Normal 10 7 2 4 2" xfId="4470"/>
    <cellStyle name="Normal 10 7 2 5" xfId="3160"/>
    <cellStyle name="Normal 10 7 3" xfId="703"/>
    <cellStyle name="Normal 10 7 3 2" xfId="1363"/>
    <cellStyle name="Normal 10 7 3 2 2" xfId="2676"/>
    <cellStyle name="Normal 10 7 3 2 2 2" xfId="5300"/>
    <cellStyle name="Normal 10 7 3 2 3" xfId="3990"/>
    <cellStyle name="Normal 10 7 3 3" xfId="2022"/>
    <cellStyle name="Normal 10 7 3 3 2" xfId="4646"/>
    <cellStyle name="Normal 10 7 3 4" xfId="3336"/>
    <cellStyle name="Normal 10 7 4" xfId="1048"/>
    <cellStyle name="Normal 10 7 4 2" xfId="2363"/>
    <cellStyle name="Normal 10 7 4 2 2" xfId="4987"/>
    <cellStyle name="Normal 10 7 4 3" xfId="3677"/>
    <cellStyle name="Normal 10 7 5" xfId="1708"/>
    <cellStyle name="Normal 10 7 5 2" xfId="4333"/>
    <cellStyle name="Normal 10 7 6" xfId="3022"/>
    <cellStyle name="Normal 10 8" xfId="201"/>
    <cellStyle name="Normal 10 8 2" xfId="430"/>
    <cellStyle name="Normal 10 8 2 2" xfId="843"/>
    <cellStyle name="Normal 10 8 2 2 2" xfId="1501"/>
    <cellStyle name="Normal 10 8 2 2 2 2" xfId="2814"/>
    <cellStyle name="Normal 10 8 2 2 2 2 2" xfId="5438"/>
    <cellStyle name="Normal 10 8 2 2 2 3" xfId="4128"/>
    <cellStyle name="Normal 10 8 2 2 3" xfId="2160"/>
    <cellStyle name="Normal 10 8 2 2 3 2" xfId="4784"/>
    <cellStyle name="Normal 10 8 2 2 4" xfId="3474"/>
    <cellStyle name="Normal 10 8 2 3" xfId="1187"/>
    <cellStyle name="Normal 10 8 2 3 2" xfId="2501"/>
    <cellStyle name="Normal 10 8 2 3 2 2" xfId="5125"/>
    <cellStyle name="Normal 10 8 2 3 3" xfId="3815"/>
    <cellStyle name="Normal 10 8 2 4" xfId="1847"/>
    <cellStyle name="Normal 10 8 2 4 2" xfId="4471"/>
    <cellStyle name="Normal 10 8 2 5" xfId="3161"/>
    <cellStyle name="Normal 10 8 3" xfId="704"/>
    <cellStyle name="Normal 10 8 3 2" xfId="1364"/>
    <cellStyle name="Normal 10 8 3 2 2" xfId="2677"/>
    <cellStyle name="Normal 10 8 3 2 2 2" xfId="5301"/>
    <cellStyle name="Normal 10 8 3 2 3" xfId="3991"/>
    <cellStyle name="Normal 10 8 3 3" xfId="2023"/>
    <cellStyle name="Normal 10 8 3 3 2" xfId="4647"/>
    <cellStyle name="Normal 10 8 3 4" xfId="3337"/>
    <cellStyle name="Normal 10 8 4" xfId="1049"/>
    <cellStyle name="Normal 10 8 4 2" xfId="2364"/>
    <cellStyle name="Normal 10 8 4 2 2" xfId="4988"/>
    <cellStyle name="Normal 10 8 4 3" xfId="3678"/>
    <cellStyle name="Normal 10 8 5" xfId="1709"/>
    <cellStyle name="Normal 10 8 5 2" xfId="4334"/>
    <cellStyle name="Normal 10 8 6" xfId="3023"/>
    <cellStyle name="Normal 10 9" xfId="202"/>
    <cellStyle name="Normal 10 9 2" xfId="431"/>
    <cellStyle name="Normal 10 9 2 2" xfId="844"/>
    <cellStyle name="Normal 10 9 2 2 2" xfId="1502"/>
    <cellStyle name="Normal 10 9 2 2 2 2" xfId="2815"/>
    <cellStyle name="Normal 10 9 2 2 2 2 2" xfId="5439"/>
    <cellStyle name="Normal 10 9 2 2 2 3" xfId="4129"/>
    <cellStyle name="Normal 10 9 2 2 3" xfId="2161"/>
    <cellStyle name="Normal 10 9 2 2 3 2" xfId="4785"/>
    <cellStyle name="Normal 10 9 2 2 4" xfId="3475"/>
    <cellStyle name="Normal 10 9 2 3" xfId="1188"/>
    <cellStyle name="Normal 10 9 2 3 2" xfId="2502"/>
    <cellStyle name="Normal 10 9 2 3 2 2" xfId="5126"/>
    <cellStyle name="Normal 10 9 2 3 3" xfId="3816"/>
    <cellStyle name="Normal 10 9 2 4" xfId="1848"/>
    <cellStyle name="Normal 10 9 2 4 2" xfId="4472"/>
    <cellStyle name="Normal 10 9 2 5" xfId="3162"/>
    <cellStyle name="Normal 10 9 3" xfId="705"/>
    <cellStyle name="Normal 10 9 3 2" xfId="1365"/>
    <cellStyle name="Normal 10 9 3 2 2" xfId="2678"/>
    <cellStyle name="Normal 10 9 3 2 2 2" xfId="5302"/>
    <cellStyle name="Normal 10 9 3 2 3" xfId="3992"/>
    <cellStyle name="Normal 10 9 3 3" xfId="2024"/>
    <cellStyle name="Normal 10 9 3 3 2" xfId="4648"/>
    <cellStyle name="Normal 10 9 3 4" xfId="3338"/>
    <cellStyle name="Normal 10 9 4" xfId="1050"/>
    <cellStyle name="Normal 10 9 4 2" xfId="2365"/>
    <cellStyle name="Normal 10 9 4 2 2" xfId="4989"/>
    <cellStyle name="Normal 10 9 4 3" xfId="3679"/>
    <cellStyle name="Normal 10 9 5" xfId="1710"/>
    <cellStyle name="Normal 10 9 5 2" xfId="4335"/>
    <cellStyle name="Normal 10 9 6" xfId="3024"/>
    <cellStyle name="Normal 11" xfId="1680"/>
    <cellStyle name="Normal 11 2" xfId="2978"/>
    <cellStyle name="Normal 12" xfId="1665"/>
    <cellStyle name="Normal 12 2" xfId="4292"/>
    <cellStyle name="Normal 13" xfId="2994"/>
    <cellStyle name="Normal 14" xfId="2979"/>
    <cellStyle name="Normal 2" xfId="1"/>
    <cellStyle name="Normal 2 10" xfId="203"/>
    <cellStyle name="Normal 2 10 2" xfId="204"/>
    <cellStyle name="Normal 2 10 2 2" xfId="434"/>
    <cellStyle name="Normal 2 10 3" xfId="433"/>
    <cellStyle name="Normal 2 11" xfId="205"/>
    <cellStyle name="Normal 2 11 2" xfId="206"/>
    <cellStyle name="Normal 2 11 2 2" xfId="436"/>
    <cellStyle name="Normal 2 11 3" xfId="435"/>
    <cellStyle name="Normal 2 12" xfId="207"/>
    <cellStyle name="Normal 2 12 2" xfId="208"/>
    <cellStyle name="Normal 2 12 2 2" xfId="438"/>
    <cellStyle name="Normal 2 12 3" xfId="437"/>
    <cellStyle name="Normal 2 13" xfId="209"/>
    <cellStyle name="Normal 2 13 2" xfId="210"/>
    <cellStyle name="Normal 2 13 2 2" xfId="440"/>
    <cellStyle name="Normal 2 13 3" xfId="439"/>
    <cellStyle name="Normal 2 14" xfId="211"/>
    <cellStyle name="Normal 2 14 2" xfId="212"/>
    <cellStyle name="Normal 2 14 2 2" xfId="442"/>
    <cellStyle name="Normal 2 14 3" xfId="441"/>
    <cellStyle name="Normal 2 15" xfId="213"/>
    <cellStyle name="Normal 2 15 2" xfId="214"/>
    <cellStyle name="Normal 2 15 2 2" xfId="444"/>
    <cellStyle name="Normal 2 15 3" xfId="443"/>
    <cellStyle name="Normal 2 16" xfId="215"/>
    <cellStyle name="Normal 2 16 2" xfId="216"/>
    <cellStyle name="Normal 2 16 2 2" xfId="446"/>
    <cellStyle name="Normal 2 16 3" xfId="445"/>
    <cellStyle name="Normal 2 17" xfId="217"/>
    <cellStyle name="Normal 2 17 2" xfId="218"/>
    <cellStyle name="Normal 2 17 2 2" xfId="448"/>
    <cellStyle name="Normal 2 17 3" xfId="447"/>
    <cellStyle name="Normal 2 18" xfId="219"/>
    <cellStyle name="Normal 2 18 2" xfId="220"/>
    <cellStyle name="Normal 2 18 2 2" xfId="450"/>
    <cellStyle name="Normal 2 18 3" xfId="449"/>
    <cellStyle name="Normal 2 19" xfId="221"/>
    <cellStyle name="Normal 2 19 2" xfId="222"/>
    <cellStyle name="Normal 2 19 2 2" xfId="452"/>
    <cellStyle name="Normal 2 19 3" xfId="451"/>
    <cellStyle name="Normal 2 2" xfId="223"/>
    <cellStyle name="Normal 2 2 2" xfId="224"/>
    <cellStyle name="Normal 2 2 2 2" xfId="454"/>
    <cellStyle name="Normal 2 2 3" xfId="453"/>
    <cellStyle name="Normal 2 20" xfId="225"/>
    <cellStyle name="Normal 2 20 2" xfId="226"/>
    <cellStyle name="Normal 2 20 2 2" xfId="456"/>
    <cellStyle name="Normal 2 20 3" xfId="455"/>
    <cellStyle name="Normal 2 21" xfId="227"/>
    <cellStyle name="Normal 2 21 2" xfId="228"/>
    <cellStyle name="Normal 2 21 2 2" xfId="458"/>
    <cellStyle name="Normal 2 21 3" xfId="457"/>
    <cellStyle name="Normal 2 22" xfId="229"/>
    <cellStyle name="Normal 2 22 2" xfId="230"/>
    <cellStyle name="Normal 2 22 2 2" xfId="460"/>
    <cellStyle name="Normal 2 22 3" xfId="459"/>
    <cellStyle name="Normal 2 23" xfId="231"/>
    <cellStyle name="Normal 2 23 2" xfId="232"/>
    <cellStyle name="Normal 2 23 2 2" xfId="462"/>
    <cellStyle name="Normal 2 23 3" xfId="461"/>
    <cellStyle name="Normal 2 24" xfId="233"/>
    <cellStyle name="Normal 2 24 2" xfId="234"/>
    <cellStyle name="Normal 2 24 2 2" xfId="464"/>
    <cellStyle name="Normal 2 24 3" xfId="463"/>
    <cellStyle name="Normal 2 25" xfId="235"/>
    <cellStyle name="Normal 2 25 2" xfId="236"/>
    <cellStyle name="Normal 2 25 2 2" xfId="466"/>
    <cellStyle name="Normal 2 25 3" xfId="465"/>
    <cellStyle name="Normal 2 26" xfId="237"/>
    <cellStyle name="Normal 2 26 2" xfId="238"/>
    <cellStyle name="Normal 2 26 2 2" xfId="468"/>
    <cellStyle name="Normal 2 26 3" xfId="467"/>
    <cellStyle name="Normal 2 27" xfId="239"/>
    <cellStyle name="Normal 2 27 2" xfId="240"/>
    <cellStyle name="Normal 2 27 2 2" xfId="470"/>
    <cellStyle name="Normal 2 27 3" xfId="469"/>
    <cellStyle name="Normal 2 28" xfId="241"/>
    <cellStyle name="Normal 2 28 2" xfId="242"/>
    <cellStyle name="Normal 2 28 2 2" xfId="472"/>
    <cellStyle name="Normal 2 28 3" xfId="471"/>
    <cellStyle name="Normal 2 29" xfId="243"/>
    <cellStyle name="Normal 2 29 2" xfId="244"/>
    <cellStyle name="Normal 2 29 2 2" xfId="474"/>
    <cellStyle name="Normal 2 29 3" xfId="473"/>
    <cellStyle name="Normal 2 3" xfId="245"/>
    <cellStyle name="Normal 2 3 2" xfId="246"/>
    <cellStyle name="Normal 2 3 2 2" xfId="476"/>
    <cellStyle name="Normal 2 3 3" xfId="475"/>
    <cellStyle name="Normal 2 30" xfId="247"/>
    <cellStyle name="Normal 2 30 2" xfId="248"/>
    <cellStyle name="Normal 2 30 2 2" xfId="478"/>
    <cellStyle name="Normal 2 30 3" xfId="477"/>
    <cellStyle name="Normal 2 31" xfId="249"/>
    <cellStyle name="Normal 2 31 2" xfId="250"/>
    <cellStyle name="Normal 2 31 2 2" xfId="480"/>
    <cellStyle name="Normal 2 31 3" xfId="479"/>
    <cellStyle name="Normal 2 32" xfId="251"/>
    <cellStyle name="Normal 2 32 2" xfId="252"/>
    <cellStyle name="Normal 2 32 2 2" xfId="482"/>
    <cellStyle name="Normal 2 32 3" xfId="481"/>
    <cellStyle name="Normal 2 33" xfId="253"/>
    <cellStyle name="Normal 2 33 2" xfId="254"/>
    <cellStyle name="Normal 2 33 2 2" xfId="484"/>
    <cellStyle name="Normal 2 33 3" xfId="483"/>
    <cellStyle name="Normal 2 34" xfId="255"/>
    <cellStyle name="Normal 2 34 2" xfId="256"/>
    <cellStyle name="Normal 2 34 2 2" xfId="486"/>
    <cellStyle name="Normal 2 34 3" xfId="485"/>
    <cellStyle name="Normal 2 35" xfId="257"/>
    <cellStyle name="Normal 2 35 2" xfId="258"/>
    <cellStyle name="Normal 2 35 2 2" xfId="488"/>
    <cellStyle name="Normal 2 35 3" xfId="487"/>
    <cellStyle name="Normal 2 36" xfId="259"/>
    <cellStyle name="Normal 2 36 2" xfId="260"/>
    <cellStyle name="Normal 2 36 2 2" xfId="490"/>
    <cellStyle name="Normal 2 36 3" xfId="489"/>
    <cellStyle name="Normal 2 37" xfId="261"/>
    <cellStyle name="Normal 2 37 2" xfId="262"/>
    <cellStyle name="Normal 2 37 2 2" xfId="492"/>
    <cellStyle name="Normal 2 37 3" xfId="491"/>
    <cellStyle name="Normal 2 38" xfId="263"/>
    <cellStyle name="Normal 2 38 2" xfId="264"/>
    <cellStyle name="Normal 2 38 2 2" xfId="494"/>
    <cellStyle name="Normal 2 38 3" xfId="493"/>
    <cellStyle name="Normal 2 39" xfId="265"/>
    <cellStyle name="Normal 2 39 2" xfId="266"/>
    <cellStyle name="Normal 2 39 2 2" xfId="496"/>
    <cellStyle name="Normal 2 39 3" xfId="495"/>
    <cellStyle name="Normal 2 4" xfId="267"/>
    <cellStyle name="Normal 2 4 2" xfId="268"/>
    <cellStyle name="Normal 2 4 2 2" xfId="498"/>
    <cellStyle name="Normal 2 4 3" xfId="497"/>
    <cellStyle name="Normal 2 40" xfId="269"/>
    <cellStyle name="Normal 2 40 2" xfId="270"/>
    <cellStyle name="Normal 2 40 2 2" xfId="500"/>
    <cellStyle name="Normal 2 40 3" xfId="499"/>
    <cellStyle name="Normal 2 41" xfId="271"/>
    <cellStyle name="Normal 2 41 2" xfId="272"/>
    <cellStyle name="Normal 2 41 2 2" xfId="502"/>
    <cellStyle name="Normal 2 41 3" xfId="501"/>
    <cellStyle name="Normal 2 42" xfId="273"/>
    <cellStyle name="Normal 2 42 2" xfId="274"/>
    <cellStyle name="Normal 2 42 2 2" xfId="504"/>
    <cellStyle name="Normal 2 42 3" xfId="503"/>
    <cellStyle name="Normal 2 43" xfId="275"/>
    <cellStyle name="Normal 2 43 2" xfId="276"/>
    <cellStyle name="Normal 2 43 2 2" xfId="506"/>
    <cellStyle name="Normal 2 43 3" xfId="505"/>
    <cellStyle name="Normal 2 44" xfId="277"/>
    <cellStyle name="Normal 2 44 2" xfId="507"/>
    <cellStyle name="Normal 2 45" xfId="278"/>
    <cellStyle name="Normal 2 45 2" xfId="508"/>
    <cellStyle name="Normal 2 45 2 2" xfId="846"/>
    <cellStyle name="Normal 2 45 2 2 2" xfId="1504"/>
    <cellStyle name="Normal 2 45 2 2 2 2" xfId="2817"/>
    <cellStyle name="Normal 2 45 2 2 2 2 2" xfId="5441"/>
    <cellStyle name="Normal 2 45 2 2 2 3" xfId="4131"/>
    <cellStyle name="Normal 2 45 2 2 3" xfId="2163"/>
    <cellStyle name="Normal 2 45 2 2 3 2" xfId="4787"/>
    <cellStyle name="Normal 2 45 2 2 4" xfId="3477"/>
    <cellStyle name="Normal 2 45 2 3" xfId="1190"/>
    <cellStyle name="Normal 2 45 2 3 2" xfId="2504"/>
    <cellStyle name="Normal 2 45 2 3 2 2" xfId="5128"/>
    <cellStyle name="Normal 2 45 2 3 3" xfId="3818"/>
    <cellStyle name="Normal 2 45 2 4" xfId="1850"/>
    <cellStyle name="Normal 2 45 2 4 2" xfId="4474"/>
    <cellStyle name="Normal 2 45 2 5" xfId="3164"/>
    <cellStyle name="Normal 2 45 3" xfId="707"/>
    <cellStyle name="Normal 2 45 3 2" xfId="1367"/>
    <cellStyle name="Normal 2 45 3 2 2" xfId="2680"/>
    <cellStyle name="Normal 2 45 3 2 2 2" xfId="5304"/>
    <cellStyle name="Normal 2 45 3 2 3" xfId="3994"/>
    <cellStyle name="Normal 2 45 3 3" xfId="2026"/>
    <cellStyle name="Normal 2 45 3 3 2" xfId="4650"/>
    <cellStyle name="Normal 2 45 3 4" xfId="3340"/>
    <cellStyle name="Normal 2 45 4" xfId="1052"/>
    <cellStyle name="Normal 2 45 4 2" xfId="2367"/>
    <cellStyle name="Normal 2 45 4 2 2" xfId="4991"/>
    <cellStyle name="Normal 2 45 4 3" xfId="3681"/>
    <cellStyle name="Normal 2 45 5" xfId="1712"/>
    <cellStyle name="Normal 2 45 5 2" xfId="4337"/>
    <cellStyle name="Normal 2 45 6" xfId="3026"/>
    <cellStyle name="Normal 2 46" xfId="432"/>
    <cellStyle name="Normal 2 46 2" xfId="845"/>
    <cellStyle name="Normal 2 46 2 2" xfId="1503"/>
    <cellStyle name="Normal 2 46 2 2 2" xfId="2816"/>
    <cellStyle name="Normal 2 46 2 2 2 2" xfId="5440"/>
    <cellStyle name="Normal 2 46 2 2 3" xfId="4130"/>
    <cellStyle name="Normal 2 46 2 3" xfId="2162"/>
    <cellStyle name="Normal 2 46 2 3 2" xfId="4786"/>
    <cellStyle name="Normal 2 46 2 4" xfId="3476"/>
    <cellStyle name="Normal 2 46 3" xfId="1189"/>
    <cellStyle name="Normal 2 46 3 2" xfId="2503"/>
    <cellStyle name="Normal 2 46 3 2 2" xfId="5127"/>
    <cellStyle name="Normal 2 46 3 3" xfId="3817"/>
    <cellStyle name="Normal 2 46 4" xfId="1849"/>
    <cellStyle name="Normal 2 46 4 2" xfId="4473"/>
    <cellStyle name="Normal 2 46 5" xfId="3163"/>
    <cellStyle name="Normal 2 47" xfId="706"/>
    <cellStyle name="Normal 2 47 2" xfId="1366"/>
    <cellStyle name="Normal 2 47 2 2" xfId="2679"/>
    <cellStyle name="Normal 2 47 2 2 2" xfId="5303"/>
    <cellStyle name="Normal 2 47 2 3" xfId="3993"/>
    <cellStyle name="Normal 2 47 3" xfId="2025"/>
    <cellStyle name="Normal 2 47 3 2" xfId="4649"/>
    <cellStyle name="Normal 2 47 4" xfId="3339"/>
    <cellStyle name="Normal 2 48" xfId="1051"/>
    <cellStyle name="Normal 2 48 2" xfId="2366"/>
    <cellStyle name="Normal 2 48 2 2" xfId="4990"/>
    <cellStyle name="Normal 2 48 3" xfId="3680"/>
    <cellStyle name="Normal 2 49" xfId="1711"/>
    <cellStyle name="Normal 2 49 2" xfId="4336"/>
    <cellStyle name="Normal 2 5" xfId="279"/>
    <cellStyle name="Normal 2 5 2" xfId="280"/>
    <cellStyle name="Normal 2 5 2 2" xfId="510"/>
    <cellStyle name="Normal 2 5 3" xfId="509"/>
    <cellStyle name="Normal 2 50" xfId="3025"/>
    <cellStyle name="Normal 2 6" xfId="281"/>
    <cellStyle name="Normal 2 6 2" xfId="282"/>
    <cellStyle name="Normal 2 6 2 2" xfId="512"/>
    <cellStyle name="Normal 2 6 3" xfId="511"/>
    <cellStyle name="Normal 2 7" xfId="283"/>
    <cellStyle name="Normal 2 7 2" xfId="284"/>
    <cellStyle name="Normal 2 7 2 2" xfId="514"/>
    <cellStyle name="Normal 2 7 3" xfId="513"/>
    <cellStyle name="Normal 2 8" xfId="285"/>
    <cellStyle name="Normal 2 8 2" xfId="286"/>
    <cellStyle name="Normal 2 8 2 2" xfId="516"/>
    <cellStyle name="Normal 2 8 3" xfId="515"/>
    <cellStyle name="Normal 2 9" xfId="287"/>
    <cellStyle name="Normal 2 9 2" xfId="288"/>
    <cellStyle name="Normal 2 9 2 2" xfId="518"/>
    <cellStyle name="Normal 2 9 3" xfId="517"/>
    <cellStyle name="Normal 3" xfId="5"/>
    <cellStyle name="Normal 3 2" xfId="815"/>
    <cellStyle name="Normal 4" xfId="387"/>
    <cellStyle name="Normal 4 2" xfId="802"/>
    <cellStyle name="Normal 4 2 2" xfId="1461"/>
    <cellStyle name="Normal 4 2 2 2" xfId="2774"/>
    <cellStyle name="Normal 4 2 2 2 2" xfId="5398"/>
    <cellStyle name="Normal 4 2 2 3" xfId="4088"/>
    <cellStyle name="Normal 4 2 3" xfId="2120"/>
    <cellStyle name="Normal 4 2 3 2" xfId="4744"/>
    <cellStyle name="Normal 4 2 4" xfId="3434"/>
    <cellStyle name="Normal 4 3" xfId="1147"/>
    <cellStyle name="Normal 4 3 2" xfId="2461"/>
    <cellStyle name="Normal 4 3 2 2" xfId="5085"/>
    <cellStyle name="Normal 4 3 3" xfId="3775"/>
    <cellStyle name="Normal 4 4" xfId="1807"/>
    <cellStyle name="Normal 4 4 2" xfId="4431"/>
    <cellStyle name="Normal 4 5" xfId="3121"/>
    <cellStyle name="Normal 5" xfId="662"/>
    <cellStyle name="Normal 5 2" xfId="1324"/>
    <cellStyle name="Normal 5 2 2" xfId="2637"/>
    <cellStyle name="Normal 5 2 2 2" xfId="5261"/>
    <cellStyle name="Normal 5 2 3" xfId="3951"/>
    <cellStyle name="Normal 5 3" xfId="1983"/>
    <cellStyle name="Normal 5 3 2" xfId="4607"/>
    <cellStyle name="Normal 5 4" xfId="3297"/>
    <cellStyle name="Normal 6" xfId="675"/>
    <cellStyle name="Normal 6 2" xfId="979"/>
    <cellStyle name="Normal 7" xfId="980"/>
    <cellStyle name="Normal 7 2" xfId="1637"/>
    <cellStyle name="Normal 7 2 2" xfId="2950"/>
    <cellStyle name="Normal 7 2 2 2" xfId="5574"/>
    <cellStyle name="Normal 7 2 3" xfId="4264"/>
    <cellStyle name="Normal 7 3" xfId="2296"/>
    <cellStyle name="Normal 7 3 2" xfId="4920"/>
    <cellStyle name="Normal 7 4" xfId="3610"/>
    <cellStyle name="Normal 76 2" xfId="289"/>
    <cellStyle name="Normal 76 2 2" xfId="519"/>
    <cellStyle name="Normal 76 2 2 2" xfId="847"/>
    <cellStyle name="Normal 76 2 2 2 2" xfId="1505"/>
    <cellStyle name="Normal 76 2 2 2 2 2" xfId="2818"/>
    <cellStyle name="Normal 76 2 2 2 2 2 2" xfId="5442"/>
    <cellStyle name="Normal 76 2 2 2 2 3" xfId="4132"/>
    <cellStyle name="Normal 76 2 2 2 3" xfId="2164"/>
    <cellStyle name="Normal 76 2 2 2 3 2" xfId="4788"/>
    <cellStyle name="Normal 76 2 2 2 4" xfId="3478"/>
    <cellStyle name="Normal 76 2 2 3" xfId="1191"/>
    <cellStyle name="Normal 76 2 2 3 2" xfId="2505"/>
    <cellStyle name="Normal 76 2 2 3 2 2" xfId="5129"/>
    <cellStyle name="Normal 76 2 2 3 3" xfId="3819"/>
    <cellStyle name="Normal 76 2 2 4" xfId="1851"/>
    <cellStyle name="Normal 76 2 2 4 2" xfId="4475"/>
    <cellStyle name="Normal 76 2 2 5" xfId="3165"/>
    <cellStyle name="Normal 76 2 3" xfId="708"/>
    <cellStyle name="Normal 76 2 3 2" xfId="1368"/>
    <cellStyle name="Normal 76 2 3 2 2" xfId="2681"/>
    <cellStyle name="Normal 76 2 3 2 2 2" xfId="5305"/>
    <cellStyle name="Normal 76 2 3 2 3" xfId="3995"/>
    <cellStyle name="Normal 76 2 3 3" xfId="2027"/>
    <cellStyle name="Normal 76 2 3 3 2" xfId="4651"/>
    <cellStyle name="Normal 76 2 3 4" xfId="3341"/>
    <cellStyle name="Normal 76 2 4" xfId="1053"/>
    <cellStyle name="Normal 76 2 4 2" xfId="2368"/>
    <cellStyle name="Normal 76 2 4 2 2" xfId="4992"/>
    <cellStyle name="Normal 76 2 4 3" xfId="3682"/>
    <cellStyle name="Normal 76 2 5" xfId="1713"/>
    <cellStyle name="Normal 76 2 5 2" xfId="4338"/>
    <cellStyle name="Normal 76 2 6" xfId="3027"/>
    <cellStyle name="Normal 76 3" xfId="290"/>
    <cellStyle name="Normal 76 3 2" xfId="520"/>
    <cellStyle name="Normal 76 3 2 2" xfId="848"/>
    <cellStyle name="Normal 76 3 2 2 2" xfId="1506"/>
    <cellStyle name="Normal 76 3 2 2 2 2" xfId="2819"/>
    <cellStyle name="Normal 76 3 2 2 2 2 2" xfId="5443"/>
    <cellStyle name="Normal 76 3 2 2 2 3" xfId="4133"/>
    <cellStyle name="Normal 76 3 2 2 3" xfId="2165"/>
    <cellStyle name="Normal 76 3 2 2 3 2" xfId="4789"/>
    <cellStyle name="Normal 76 3 2 2 4" xfId="3479"/>
    <cellStyle name="Normal 76 3 2 3" xfId="1192"/>
    <cellStyle name="Normal 76 3 2 3 2" xfId="2506"/>
    <cellStyle name="Normal 76 3 2 3 2 2" xfId="5130"/>
    <cellStyle name="Normal 76 3 2 3 3" xfId="3820"/>
    <cellStyle name="Normal 76 3 2 4" xfId="1852"/>
    <cellStyle name="Normal 76 3 2 4 2" xfId="4476"/>
    <cellStyle name="Normal 76 3 2 5" xfId="3166"/>
    <cellStyle name="Normal 76 3 3" xfId="709"/>
    <cellStyle name="Normal 76 3 3 2" xfId="1369"/>
    <cellStyle name="Normal 76 3 3 2 2" xfId="2682"/>
    <cellStyle name="Normal 76 3 3 2 2 2" xfId="5306"/>
    <cellStyle name="Normal 76 3 3 2 3" xfId="3996"/>
    <cellStyle name="Normal 76 3 3 3" xfId="2028"/>
    <cellStyle name="Normal 76 3 3 3 2" xfId="4652"/>
    <cellStyle name="Normal 76 3 3 4" xfId="3342"/>
    <cellStyle name="Normal 76 3 4" xfId="1054"/>
    <cellStyle name="Normal 76 3 4 2" xfId="2369"/>
    <cellStyle name="Normal 76 3 4 2 2" xfId="4993"/>
    <cellStyle name="Normal 76 3 4 3" xfId="3683"/>
    <cellStyle name="Normal 76 3 5" xfId="1714"/>
    <cellStyle name="Normal 76 3 5 2" xfId="4339"/>
    <cellStyle name="Normal 76 3 6" xfId="3028"/>
    <cellStyle name="Normal 76 4" xfId="291"/>
    <cellStyle name="Normal 76 4 2" xfId="521"/>
    <cellStyle name="Normal 76 4 2 2" xfId="849"/>
    <cellStyle name="Normal 76 4 2 2 2" xfId="1507"/>
    <cellStyle name="Normal 76 4 2 2 2 2" xfId="2820"/>
    <cellStyle name="Normal 76 4 2 2 2 2 2" xfId="5444"/>
    <cellStyle name="Normal 76 4 2 2 2 3" xfId="4134"/>
    <cellStyle name="Normal 76 4 2 2 3" xfId="2166"/>
    <cellStyle name="Normal 76 4 2 2 3 2" xfId="4790"/>
    <cellStyle name="Normal 76 4 2 2 4" xfId="3480"/>
    <cellStyle name="Normal 76 4 2 3" xfId="1193"/>
    <cellStyle name="Normal 76 4 2 3 2" xfId="2507"/>
    <cellStyle name="Normal 76 4 2 3 2 2" xfId="5131"/>
    <cellStyle name="Normal 76 4 2 3 3" xfId="3821"/>
    <cellStyle name="Normal 76 4 2 4" xfId="1853"/>
    <cellStyle name="Normal 76 4 2 4 2" xfId="4477"/>
    <cellStyle name="Normal 76 4 2 5" xfId="3167"/>
    <cellStyle name="Normal 76 4 3" xfId="710"/>
    <cellStyle name="Normal 76 4 3 2" xfId="1370"/>
    <cellStyle name="Normal 76 4 3 2 2" xfId="2683"/>
    <cellStyle name="Normal 76 4 3 2 2 2" xfId="5307"/>
    <cellStyle name="Normal 76 4 3 2 3" xfId="3997"/>
    <cellStyle name="Normal 76 4 3 3" xfId="2029"/>
    <cellStyle name="Normal 76 4 3 3 2" xfId="4653"/>
    <cellStyle name="Normal 76 4 3 4" xfId="3343"/>
    <cellStyle name="Normal 76 4 4" xfId="1055"/>
    <cellStyle name="Normal 76 4 4 2" xfId="2370"/>
    <cellStyle name="Normal 76 4 4 2 2" xfId="4994"/>
    <cellStyle name="Normal 76 4 4 3" xfId="3684"/>
    <cellStyle name="Normal 76 4 5" xfId="1715"/>
    <cellStyle name="Normal 76 4 5 2" xfId="4340"/>
    <cellStyle name="Normal 76 4 6" xfId="3029"/>
    <cellStyle name="Normal 77 2" xfId="292"/>
    <cellStyle name="Normal 77 2 2" xfId="522"/>
    <cellStyle name="Normal 77 2 2 2" xfId="850"/>
    <cellStyle name="Normal 77 2 2 2 2" xfId="1508"/>
    <cellStyle name="Normal 77 2 2 2 2 2" xfId="2821"/>
    <cellStyle name="Normal 77 2 2 2 2 2 2" xfId="5445"/>
    <cellStyle name="Normal 77 2 2 2 2 3" xfId="4135"/>
    <cellStyle name="Normal 77 2 2 2 3" xfId="2167"/>
    <cellStyle name="Normal 77 2 2 2 3 2" xfId="4791"/>
    <cellStyle name="Normal 77 2 2 2 4" xfId="3481"/>
    <cellStyle name="Normal 77 2 2 3" xfId="1194"/>
    <cellStyle name="Normal 77 2 2 3 2" xfId="2508"/>
    <cellStyle name="Normal 77 2 2 3 2 2" xfId="5132"/>
    <cellStyle name="Normal 77 2 2 3 3" xfId="3822"/>
    <cellStyle name="Normal 77 2 2 4" xfId="1854"/>
    <cellStyle name="Normal 77 2 2 4 2" xfId="4478"/>
    <cellStyle name="Normal 77 2 2 5" xfId="3168"/>
    <cellStyle name="Normal 77 2 3" xfId="711"/>
    <cellStyle name="Normal 77 2 3 2" xfId="1371"/>
    <cellStyle name="Normal 77 2 3 2 2" xfId="2684"/>
    <cellStyle name="Normal 77 2 3 2 2 2" xfId="5308"/>
    <cellStyle name="Normal 77 2 3 2 3" xfId="3998"/>
    <cellStyle name="Normal 77 2 3 3" xfId="2030"/>
    <cellStyle name="Normal 77 2 3 3 2" xfId="4654"/>
    <cellStyle name="Normal 77 2 3 4" xfId="3344"/>
    <cellStyle name="Normal 77 2 4" xfId="1056"/>
    <cellStyle name="Normal 77 2 4 2" xfId="2371"/>
    <cellStyle name="Normal 77 2 4 2 2" xfId="4995"/>
    <cellStyle name="Normal 77 2 4 3" xfId="3685"/>
    <cellStyle name="Normal 77 2 5" xfId="1716"/>
    <cellStyle name="Normal 77 2 5 2" xfId="4341"/>
    <cellStyle name="Normal 77 2 6" xfId="3030"/>
    <cellStyle name="Normal 77 3" xfId="293"/>
    <cellStyle name="Normal 77 3 2" xfId="523"/>
    <cellStyle name="Normal 77 3 2 2" xfId="851"/>
    <cellStyle name="Normal 77 3 2 2 2" xfId="1509"/>
    <cellStyle name="Normal 77 3 2 2 2 2" xfId="2822"/>
    <cellStyle name="Normal 77 3 2 2 2 2 2" xfId="5446"/>
    <cellStyle name="Normal 77 3 2 2 2 3" xfId="4136"/>
    <cellStyle name="Normal 77 3 2 2 3" xfId="2168"/>
    <cellStyle name="Normal 77 3 2 2 3 2" xfId="4792"/>
    <cellStyle name="Normal 77 3 2 2 4" xfId="3482"/>
    <cellStyle name="Normal 77 3 2 3" xfId="1195"/>
    <cellStyle name="Normal 77 3 2 3 2" xfId="2509"/>
    <cellStyle name="Normal 77 3 2 3 2 2" xfId="5133"/>
    <cellStyle name="Normal 77 3 2 3 3" xfId="3823"/>
    <cellStyle name="Normal 77 3 2 4" xfId="1855"/>
    <cellStyle name="Normal 77 3 2 4 2" xfId="4479"/>
    <cellStyle name="Normal 77 3 2 5" xfId="3169"/>
    <cellStyle name="Normal 77 3 3" xfId="712"/>
    <cellStyle name="Normal 77 3 3 2" xfId="1372"/>
    <cellStyle name="Normal 77 3 3 2 2" xfId="2685"/>
    <cellStyle name="Normal 77 3 3 2 2 2" xfId="5309"/>
    <cellStyle name="Normal 77 3 3 2 3" xfId="3999"/>
    <cellStyle name="Normal 77 3 3 3" xfId="2031"/>
    <cellStyle name="Normal 77 3 3 3 2" xfId="4655"/>
    <cellStyle name="Normal 77 3 3 4" xfId="3345"/>
    <cellStyle name="Normal 77 3 4" xfId="1057"/>
    <cellStyle name="Normal 77 3 4 2" xfId="2372"/>
    <cellStyle name="Normal 77 3 4 2 2" xfId="4996"/>
    <cellStyle name="Normal 77 3 4 3" xfId="3686"/>
    <cellStyle name="Normal 77 3 5" xfId="1717"/>
    <cellStyle name="Normal 77 3 5 2" xfId="4342"/>
    <cellStyle name="Normal 77 3 6" xfId="3031"/>
    <cellStyle name="Normal 77 4" xfId="294"/>
    <cellStyle name="Normal 77 4 2" xfId="524"/>
    <cellStyle name="Normal 77 4 2 2" xfId="852"/>
    <cellStyle name="Normal 77 4 2 2 2" xfId="1510"/>
    <cellStyle name="Normal 77 4 2 2 2 2" xfId="2823"/>
    <cellStyle name="Normal 77 4 2 2 2 2 2" xfId="5447"/>
    <cellStyle name="Normal 77 4 2 2 2 3" xfId="4137"/>
    <cellStyle name="Normal 77 4 2 2 3" xfId="2169"/>
    <cellStyle name="Normal 77 4 2 2 3 2" xfId="4793"/>
    <cellStyle name="Normal 77 4 2 2 4" xfId="3483"/>
    <cellStyle name="Normal 77 4 2 3" xfId="1196"/>
    <cellStyle name="Normal 77 4 2 3 2" xfId="2510"/>
    <cellStyle name="Normal 77 4 2 3 2 2" xfId="5134"/>
    <cellStyle name="Normal 77 4 2 3 3" xfId="3824"/>
    <cellStyle name="Normal 77 4 2 4" xfId="1856"/>
    <cellStyle name="Normal 77 4 2 4 2" xfId="4480"/>
    <cellStyle name="Normal 77 4 2 5" xfId="3170"/>
    <cellStyle name="Normal 77 4 3" xfId="713"/>
    <cellStyle name="Normal 77 4 3 2" xfId="1373"/>
    <cellStyle name="Normal 77 4 3 2 2" xfId="2686"/>
    <cellStyle name="Normal 77 4 3 2 2 2" xfId="5310"/>
    <cellStyle name="Normal 77 4 3 2 3" xfId="4000"/>
    <cellStyle name="Normal 77 4 3 3" xfId="2032"/>
    <cellStyle name="Normal 77 4 3 3 2" xfId="4656"/>
    <cellStyle name="Normal 77 4 3 4" xfId="3346"/>
    <cellStyle name="Normal 77 4 4" xfId="1058"/>
    <cellStyle name="Normal 77 4 4 2" xfId="2373"/>
    <cellStyle name="Normal 77 4 4 2 2" xfId="4997"/>
    <cellStyle name="Normal 77 4 4 3" xfId="3687"/>
    <cellStyle name="Normal 77 4 5" xfId="1718"/>
    <cellStyle name="Normal 77 4 5 2" xfId="4343"/>
    <cellStyle name="Normal 77 4 6" xfId="3032"/>
    <cellStyle name="Normal 77 5" xfId="295"/>
    <cellStyle name="Normal 77 5 2" xfId="525"/>
    <cellStyle name="Normal 77 5 2 2" xfId="853"/>
    <cellStyle name="Normal 77 5 2 2 2" xfId="1511"/>
    <cellStyle name="Normal 77 5 2 2 2 2" xfId="2824"/>
    <cellStyle name="Normal 77 5 2 2 2 2 2" xfId="5448"/>
    <cellStyle name="Normal 77 5 2 2 2 3" xfId="4138"/>
    <cellStyle name="Normal 77 5 2 2 3" xfId="2170"/>
    <cellStyle name="Normal 77 5 2 2 3 2" xfId="4794"/>
    <cellStyle name="Normal 77 5 2 2 4" xfId="3484"/>
    <cellStyle name="Normal 77 5 2 3" xfId="1197"/>
    <cellStyle name="Normal 77 5 2 3 2" xfId="2511"/>
    <cellStyle name="Normal 77 5 2 3 2 2" xfId="5135"/>
    <cellStyle name="Normal 77 5 2 3 3" xfId="3825"/>
    <cellStyle name="Normal 77 5 2 4" xfId="1857"/>
    <cellStyle name="Normal 77 5 2 4 2" xfId="4481"/>
    <cellStyle name="Normal 77 5 2 5" xfId="3171"/>
    <cellStyle name="Normal 77 5 3" xfId="714"/>
    <cellStyle name="Normal 77 5 3 2" xfId="1374"/>
    <cellStyle name="Normal 77 5 3 2 2" xfId="2687"/>
    <cellStyle name="Normal 77 5 3 2 2 2" xfId="5311"/>
    <cellStyle name="Normal 77 5 3 2 3" xfId="4001"/>
    <cellStyle name="Normal 77 5 3 3" xfId="2033"/>
    <cellStyle name="Normal 77 5 3 3 2" xfId="4657"/>
    <cellStyle name="Normal 77 5 3 4" xfId="3347"/>
    <cellStyle name="Normal 77 5 4" xfId="1059"/>
    <cellStyle name="Normal 77 5 4 2" xfId="2374"/>
    <cellStyle name="Normal 77 5 4 2 2" xfId="4998"/>
    <cellStyle name="Normal 77 5 4 3" xfId="3688"/>
    <cellStyle name="Normal 77 5 5" xfId="1719"/>
    <cellStyle name="Normal 77 5 5 2" xfId="4344"/>
    <cellStyle name="Normal 77 5 6" xfId="3033"/>
    <cellStyle name="Normal 77 6" xfId="296"/>
    <cellStyle name="Normal 77 6 2" xfId="526"/>
    <cellStyle name="Normal 77 6 2 2" xfId="854"/>
    <cellStyle name="Normal 77 6 2 2 2" xfId="1512"/>
    <cellStyle name="Normal 77 6 2 2 2 2" xfId="2825"/>
    <cellStyle name="Normal 77 6 2 2 2 2 2" xfId="5449"/>
    <cellStyle name="Normal 77 6 2 2 2 3" xfId="4139"/>
    <cellStyle name="Normal 77 6 2 2 3" xfId="2171"/>
    <cellStyle name="Normal 77 6 2 2 3 2" xfId="4795"/>
    <cellStyle name="Normal 77 6 2 2 4" xfId="3485"/>
    <cellStyle name="Normal 77 6 2 3" xfId="1198"/>
    <cellStyle name="Normal 77 6 2 3 2" xfId="2512"/>
    <cellStyle name="Normal 77 6 2 3 2 2" xfId="5136"/>
    <cellStyle name="Normal 77 6 2 3 3" xfId="3826"/>
    <cellStyle name="Normal 77 6 2 4" xfId="1858"/>
    <cellStyle name="Normal 77 6 2 4 2" xfId="4482"/>
    <cellStyle name="Normal 77 6 2 5" xfId="3172"/>
    <cellStyle name="Normal 77 6 3" xfId="715"/>
    <cellStyle name="Normal 77 6 3 2" xfId="1375"/>
    <cellStyle name="Normal 77 6 3 2 2" xfId="2688"/>
    <cellStyle name="Normal 77 6 3 2 2 2" xfId="5312"/>
    <cellStyle name="Normal 77 6 3 2 3" xfId="4002"/>
    <cellStyle name="Normal 77 6 3 3" xfId="2034"/>
    <cellStyle name="Normal 77 6 3 3 2" xfId="4658"/>
    <cellStyle name="Normal 77 6 3 4" xfId="3348"/>
    <cellStyle name="Normal 77 6 4" xfId="1060"/>
    <cellStyle name="Normal 77 6 4 2" xfId="2375"/>
    <cellStyle name="Normal 77 6 4 2 2" xfId="4999"/>
    <cellStyle name="Normal 77 6 4 3" xfId="3689"/>
    <cellStyle name="Normal 77 6 5" xfId="1720"/>
    <cellStyle name="Normal 77 6 5 2" xfId="4345"/>
    <cellStyle name="Normal 77 6 6" xfId="3034"/>
    <cellStyle name="Normal 77 7" xfId="297"/>
    <cellStyle name="Normal 77 7 2" xfId="527"/>
    <cellStyle name="Normal 77 7 2 2" xfId="855"/>
    <cellStyle name="Normal 77 7 2 2 2" xfId="1513"/>
    <cellStyle name="Normal 77 7 2 2 2 2" xfId="2826"/>
    <cellStyle name="Normal 77 7 2 2 2 2 2" xfId="5450"/>
    <cellStyle name="Normal 77 7 2 2 2 3" xfId="4140"/>
    <cellStyle name="Normal 77 7 2 2 3" xfId="2172"/>
    <cellStyle name="Normal 77 7 2 2 3 2" xfId="4796"/>
    <cellStyle name="Normal 77 7 2 2 4" xfId="3486"/>
    <cellStyle name="Normal 77 7 2 3" xfId="1199"/>
    <cellStyle name="Normal 77 7 2 3 2" xfId="2513"/>
    <cellStyle name="Normal 77 7 2 3 2 2" xfId="5137"/>
    <cellStyle name="Normal 77 7 2 3 3" xfId="3827"/>
    <cellStyle name="Normal 77 7 2 4" xfId="1859"/>
    <cellStyle name="Normal 77 7 2 4 2" xfId="4483"/>
    <cellStyle name="Normal 77 7 2 5" xfId="3173"/>
    <cellStyle name="Normal 77 7 3" xfId="716"/>
    <cellStyle name="Normal 77 7 3 2" xfId="1376"/>
    <cellStyle name="Normal 77 7 3 2 2" xfId="2689"/>
    <cellStyle name="Normal 77 7 3 2 2 2" xfId="5313"/>
    <cellStyle name="Normal 77 7 3 2 3" xfId="4003"/>
    <cellStyle name="Normal 77 7 3 3" xfId="2035"/>
    <cellStyle name="Normal 77 7 3 3 2" xfId="4659"/>
    <cellStyle name="Normal 77 7 3 4" xfId="3349"/>
    <cellStyle name="Normal 77 7 4" xfId="1061"/>
    <cellStyle name="Normal 77 7 4 2" xfId="2376"/>
    <cellStyle name="Normal 77 7 4 2 2" xfId="5000"/>
    <cellStyle name="Normal 77 7 4 3" xfId="3690"/>
    <cellStyle name="Normal 77 7 5" xfId="1721"/>
    <cellStyle name="Normal 77 7 5 2" xfId="4346"/>
    <cellStyle name="Normal 77 7 6" xfId="3035"/>
    <cellStyle name="Normal 77 8" xfId="298"/>
    <cellStyle name="Normal 77 8 2" xfId="528"/>
    <cellStyle name="Normal 77 8 2 2" xfId="856"/>
    <cellStyle name="Normal 77 8 2 2 2" xfId="1514"/>
    <cellStyle name="Normal 77 8 2 2 2 2" xfId="2827"/>
    <cellStyle name="Normal 77 8 2 2 2 2 2" xfId="5451"/>
    <cellStyle name="Normal 77 8 2 2 2 3" xfId="4141"/>
    <cellStyle name="Normal 77 8 2 2 3" xfId="2173"/>
    <cellStyle name="Normal 77 8 2 2 3 2" xfId="4797"/>
    <cellStyle name="Normal 77 8 2 2 4" xfId="3487"/>
    <cellStyle name="Normal 77 8 2 3" xfId="1200"/>
    <cellStyle name="Normal 77 8 2 3 2" xfId="2514"/>
    <cellStyle name="Normal 77 8 2 3 2 2" xfId="5138"/>
    <cellStyle name="Normal 77 8 2 3 3" xfId="3828"/>
    <cellStyle name="Normal 77 8 2 4" xfId="1860"/>
    <cellStyle name="Normal 77 8 2 4 2" xfId="4484"/>
    <cellStyle name="Normal 77 8 2 5" xfId="3174"/>
    <cellStyle name="Normal 77 8 3" xfId="717"/>
    <cellStyle name="Normal 77 8 3 2" xfId="1377"/>
    <cellStyle name="Normal 77 8 3 2 2" xfId="2690"/>
    <cellStyle name="Normal 77 8 3 2 2 2" xfId="5314"/>
    <cellStyle name="Normal 77 8 3 2 3" xfId="4004"/>
    <cellStyle name="Normal 77 8 3 3" xfId="2036"/>
    <cellStyle name="Normal 77 8 3 3 2" xfId="4660"/>
    <cellStyle name="Normal 77 8 3 4" xfId="3350"/>
    <cellStyle name="Normal 77 8 4" xfId="1062"/>
    <cellStyle name="Normal 77 8 4 2" xfId="2377"/>
    <cellStyle name="Normal 77 8 4 2 2" xfId="5001"/>
    <cellStyle name="Normal 77 8 4 3" xfId="3691"/>
    <cellStyle name="Normal 77 8 5" xfId="1722"/>
    <cellStyle name="Normal 77 8 5 2" xfId="4347"/>
    <cellStyle name="Normal 77 8 6" xfId="3036"/>
    <cellStyle name="Normal 78 2" xfId="299"/>
    <cellStyle name="Normal 78 2 2" xfId="529"/>
    <cellStyle name="Normal 78 2 2 2" xfId="857"/>
    <cellStyle name="Normal 78 2 2 2 2" xfId="1515"/>
    <cellStyle name="Normal 78 2 2 2 2 2" xfId="2828"/>
    <cellStyle name="Normal 78 2 2 2 2 2 2" xfId="5452"/>
    <cellStyle name="Normal 78 2 2 2 2 3" xfId="4142"/>
    <cellStyle name="Normal 78 2 2 2 3" xfId="2174"/>
    <cellStyle name="Normal 78 2 2 2 3 2" xfId="4798"/>
    <cellStyle name="Normal 78 2 2 2 4" xfId="3488"/>
    <cellStyle name="Normal 78 2 2 3" xfId="1201"/>
    <cellStyle name="Normal 78 2 2 3 2" xfId="2515"/>
    <cellStyle name="Normal 78 2 2 3 2 2" xfId="5139"/>
    <cellStyle name="Normal 78 2 2 3 3" xfId="3829"/>
    <cellStyle name="Normal 78 2 2 4" xfId="1861"/>
    <cellStyle name="Normal 78 2 2 4 2" xfId="4485"/>
    <cellStyle name="Normal 78 2 2 5" xfId="3175"/>
    <cellStyle name="Normal 78 2 3" xfId="718"/>
    <cellStyle name="Normal 78 2 3 2" xfId="1378"/>
    <cellStyle name="Normal 78 2 3 2 2" xfId="2691"/>
    <cellStyle name="Normal 78 2 3 2 2 2" xfId="5315"/>
    <cellStyle name="Normal 78 2 3 2 3" xfId="4005"/>
    <cellStyle name="Normal 78 2 3 3" xfId="2037"/>
    <cellStyle name="Normal 78 2 3 3 2" xfId="4661"/>
    <cellStyle name="Normal 78 2 3 4" xfId="3351"/>
    <cellStyle name="Normal 78 2 4" xfId="1063"/>
    <cellStyle name="Normal 78 2 4 2" xfId="2378"/>
    <cellStyle name="Normal 78 2 4 2 2" xfId="5002"/>
    <cellStyle name="Normal 78 2 4 3" xfId="3692"/>
    <cellStyle name="Normal 78 2 5" xfId="1723"/>
    <cellStyle name="Normal 78 2 5 2" xfId="4348"/>
    <cellStyle name="Normal 78 2 6" xfId="3037"/>
    <cellStyle name="Normal 78 3" xfId="300"/>
    <cellStyle name="Normal 78 3 2" xfId="530"/>
    <cellStyle name="Normal 78 3 2 2" xfId="858"/>
    <cellStyle name="Normal 78 3 2 2 2" xfId="1516"/>
    <cellStyle name="Normal 78 3 2 2 2 2" xfId="2829"/>
    <cellStyle name="Normal 78 3 2 2 2 2 2" xfId="5453"/>
    <cellStyle name="Normal 78 3 2 2 2 3" xfId="4143"/>
    <cellStyle name="Normal 78 3 2 2 3" xfId="2175"/>
    <cellStyle name="Normal 78 3 2 2 3 2" xfId="4799"/>
    <cellStyle name="Normal 78 3 2 2 4" xfId="3489"/>
    <cellStyle name="Normal 78 3 2 3" xfId="1202"/>
    <cellStyle name="Normal 78 3 2 3 2" xfId="2516"/>
    <cellStyle name="Normal 78 3 2 3 2 2" xfId="5140"/>
    <cellStyle name="Normal 78 3 2 3 3" xfId="3830"/>
    <cellStyle name="Normal 78 3 2 4" xfId="1862"/>
    <cellStyle name="Normal 78 3 2 4 2" xfId="4486"/>
    <cellStyle name="Normal 78 3 2 5" xfId="3176"/>
    <cellStyle name="Normal 78 3 3" xfId="719"/>
    <cellStyle name="Normal 78 3 3 2" xfId="1379"/>
    <cellStyle name="Normal 78 3 3 2 2" xfId="2692"/>
    <cellStyle name="Normal 78 3 3 2 2 2" xfId="5316"/>
    <cellStyle name="Normal 78 3 3 2 3" xfId="4006"/>
    <cellStyle name="Normal 78 3 3 3" xfId="2038"/>
    <cellStyle name="Normal 78 3 3 3 2" xfId="4662"/>
    <cellStyle name="Normal 78 3 3 4" xfId="3352"/>
    <cellStyle name="Normal 78 3 4" xfId="1064"/>
    <cellStyle name="Normal 78 3 4 2" xfId="2379"/>
    <cellStyle name="Normal 78 3 4 2 2" xfId="5003"/>
    <cellStyle name="Normal 78 3 4 3" xfId="3693"/>
    <cellStyle name="Normal 78 3 5" xfId="1724"/>
    <cellStyle name="Normal 78 3 5 2" xfId="4349"/>
    <cellStyle name="Normal 78 3 6" xfId="3038"/>
    <cellStyle name="Normal 78 4" xfId="301"/>
    <cellStyle name="Normal 78 4 2" xfId="531"/>
    <cellStyle name="Normal 78 4 2 2" xfId="859"/>
    <cellStyle name="Normal 78 4 2 2 2" xfId="1517"/>
    <cellStyle name="Normal 78 4 2 2 2 2" xfId="2830"/>
    <cellStyle name="Normal 78 4 2 2 2 2 2" xfId="5454"/>
    <cellStyle name="Normal 78 4 2 2 2 3" xfId="4144"/>
    <cellStyle name="Normal 78 4 2 2 3" xfId="2176"/>
    <cellStyle name="Normal 78 4 2 2 3 2" xfId="4800"/>
    <cellStyle name="Normal 78 4 2 2 4" xfId="3490"/>
    <cellStyle name="Normal 78 4 2 3" xfId="1203"/>
    <cellStyle name="Normal 78 4 2 3 2" xfId="2517"/>
    <cellStyle name="Normal 78 4 2 3 2 2" xfId="5141"/>
    <cellStyle name="Normal 78 4 2 3 3" xfId="3831"/>
    <cellStyle name="Normal 78 4 2 4" xfId="1863"/>
    <cellStyle name="Normal 78 4 2 4 2" xfId="4487"/>
    <cellStyle name="Normal 78 4 2 5" xfId="3177"/>
    <cellStyle name="Normal 78 4 3" xfId="720"/>
    <cellStyle name="Normal 78 4 3 2" xfId="1380"/>
    <cellStyle name="Normal 78 4 3 2 2" xfId="2693"/>
    <cellStyle name="Normal 78 4 3 2 2 2" xfId="5317"/>
    <cellStyle name="Normal 78 4 3 2 3" xfId="4007"/>
    <cellStyle name="Normal 78 4 3 3" xfId="2039"/>
    <cellStyle name="Normal 78 4 3 3 2" xfId="4663"/>
    <cellStyle name="Normal 78 4 3 4" xfId="3353"/>
    <cellStyle name="Normal 78 4 4" xfId="1065"/>
    <cellStyle name="Normal 78 4 4 2" xfId="2380"/>
    <cellStyle name="Normal 78 4 4 2 2" xfId="5004"/>
    <cellStyle name="Normal 78 4 4 3" xfId="3694"/>
    <cellStyle name="Normal 78 4 5" xfId="1725"/>
    <cellStyle name="Normal 78 4 5 2" xfId="4350"/>
    <cellStyle name="Normal 78 4 6" xfId="3039"/>
    <cellStyle name="Normal 78 5" xfId="302"/>
    <cellStyle name="Normal 78 5 2" xfId="532"/>
    <cellStyle name="Normal 78 5 2 2" xfId="860"/>
    <cellStyle name="Normal 78 5 2 2 2" xfId="1518"/>
    <cellStyle name="Normal 78 5 2 2 2 2" xfId="2831"/>
    <cellStyle name="Normal 78 5 2 2 2 2 2" xfId="5455"/>
    <cellStyle name="Normal 78 5 2 2 2 3" xfId="4145"/>
    <cellStyle name="Normal 78 5 2 2 3" xfId="2177"/>
    <cellStyle name="Normal 78 5 2 2 3 2" xfId="4801"/>
    <cellStyle name="Normal 78 5 2 2 4" xfId="3491"/>
    <cellStyle name="Normal 78 5 2 3" xfId="1204"/>
    <cellStyle name="Normal 78 5 2 3 2" xfId="2518"/>
    <cellStyle name="Normal 78 5 2 3 2 2" xfId="5142"/>
    <cellStyle name="Normal 78 5 2 3 3" xfId="3832"/>
    <cellStyle name="Normal 78 5 2 4" xfId="1864"/>
    <cellStyle name="Normal 78 5 2 4 2" xfId="4488"/>
    <cellStyle name="Normal 78 5 2 5" xfId="3178"/>
    <cellStyle name="Normal 78 5 3" xfId="721"/>
    <cellStyle name="Normal 78 5 3 2" xfId="1381"/>
    <cellStyle name="Normal 78 5 3 2 2" xfId="2694"/>
    <cellStyle name="Normal 78 5 3 2 2 2" xfId="5318"/>
    <cellStyle name="Normal 78 5 3 2 3" xfId="4008"/>
    <cellStyle name="Normal 78 5 3 3" xfId="2040"/>
    <cellStyle name="Normal 78 5 3 3 2" xfId="4664"/>
    <cellStyle name="Normal 78 5 3 4" xfId="3354"/>
    <cellStyle name="Normal 78 5 4" xfId="1066"/>
    <cellStyle name="Normal 78 5 4 2" xfId="2381"/>
    <cellStyle name="Normal 78 5 4 2 2" xfId="5005"/>
    <cellStyle name="Normal 78 5 4 3" xfId="3695"/>
    <cellStyle name="Normal 78 5 5" xfId="1726"/>
    <cellStyle name="Normal 78 5 5 2" xfId="4351"/>
    <cellStyle name="Normal 78 5 6" xfId="3040"/>
    <cellStyle name="Normal 78 6" xfId="303"/>
    <cellStyle name="Normal 78 6 2" xfId="533"/>
    <cellStyle name="Normal 78 6 2 2" xfId="861"/>
    <cellStyle name="Normal 78 6 2 2 2" xfId="1519"/>
    <cellStyle name="Normal 78 6 2 2 2 2" xfId="2832"/>
    <cellStyle name="Normal 78 6 2 2 2 2 2" xfId="5456"/>
    <cellStyle name="Normal 78 6 2 2 2 3" xfId="4146"/>
    <cellStyle name="Normal 78 6 2 2 3" xfId="2178"/>
    <cellStyle name="Normal 78 6 2 2 3 2" xfId="4802"/>
    <cellStyle name="Normal 78 6 2 2 4" xfId="3492"/>
    <cellStyle name="Normal 78 6 2 3" xfId="1205"/>
    <cellStyle name="Normal 78 6 2 3 2" xfId="2519"/>
    <cellStyle name="Normal 78 6 2 3 2 2" xfId="5143"/>
    <cellStyle name="Normal 78 6 2 3 3" xfId="3833"/>
    <cellStyle name="Normal 78 6 2 4" xfId="1865"/>
    <cellStyle name="Normal 78 6 2 4 2" xfId="4489"/>
    <cellStyle name="Normal 78 6 2 5" xfId="3179"/>
    <cellStyle name="Normal 78 6 3" xfId="722"/>
    <cellStyle name="Normal 78 6 3 2" xfId="1382"/>
    <cellStyle name="Normal 78 6 3 2 2" xfId="2695"/>
    <cellStyle name="Normal 78 6 3 2 2 2" xfId="5319"/>
    <cellStyle name="Normal 78 6 3 2 3" xfId="4009"/>
    <cellStyle name="Normal 78 6 3 3" xfId="2041"/>
    <cellStyle name="Normal 78 6 3 3 2" xfId="4665"/>
    <cellStyle name="Normal 78 6 3 4" xfId="3355"/>
    <cellStyle name="Normal 78 6 4" xfId="1067"/>
    <cellStyle name="Normal 78 6 4 2" xfId="2382"/>
    <cellStyle name="Normal 78 6 4 2 2" xfId="5006"/>
    <cellStyle name="Normal 78 6 4 3" xfId="3696"/>
    <cellStyle name="Normal 78 6 5" xfId="1727"/>
    <cellStyle name="Normal 78 6 5 2" xfId="4352"/>
    <cellStyle name="Normal 78 6 6" xfId="3041"/>
    <cellStyle name="Normal 78 7" xfId="304"/>
    <cellStyle name="Normal 78 7 2" xfId="534"/>
    <cellStyle name="Normal 78 7 2 2" xfId="862"/>
    <cellStyle name="Normal 78 7 2 2 2" xfId="1520"/>
    <cellStyle name="Normal 78 7 2 2 2 2" xfId="2833"/>
    <cellStyle name="Normal 78 7 2 2 2 2 2" xfId="5457"/>
    <cellStyle name="Normal 78 7 2 2 2 3" xfId="4147"/>
    <cellStyle name="Normal 78 7 2 2 3" xfId="2179"/>
    <cellStyle name="Normal 78 7 2 2 3 2" xfId="4803"/>
    <cellStyle name="Normal 78 7 2 2 4" xfId="3493"/>
    <cellStyle name="Normal 78 7 2 3" xfId="1206"/>
    <cellStyle name="Normal 78 7 2 3 2" xfId="2520"/>
    <cellStyle name="Normal 78 7 2 3 2 2" xfId="5144"/>
    <cellStyle name="Normal 78 7 2 3 3" xfId="3834"/>
    <cellStyle name="Normal 78 7 2 4" xfId="1866"/>
    <cellStyle name="Normal 78 7 2 4 2" xfId="4490"/>
    <cellStyle name="Normal 78 7 2 5" xfId="3180"/>
    <cellStyle name="Normal 78 7 3" xfId="723"/>
    <cellStyle name="Normal 78 7 3 2" xfId="1383"/>
    <cellStyle name="Normal 78 7 3 2 2" xfId="2696"/>
    <cellStyle name="Normal 78 7 3 2 2 2" xfId="5320"/>
    <cellStyle name="Normal 78 7 3 2 3" xfId="4010"/>
    <cellStyle name="Normal 78 7 3 3" xfId="2042"/>
    <cellStyle name="Normal 78 7 3 3 2" xfId="4666"/>
    <cellStyle name="Normal 78 7 3 4" xfId="3356"/>
    <cellStyle name="Normal 78 7 4" xfId="1068"/>
    <cellStyle name="Normal 78 7 4 2" xfId="2383"/>
    <cellStyle name="Normal 78 7 4 2 2" xfId="5007"/>
    <cellStyle name="Normal 78 7 4 3" xfId="3697"/>
    <cellStyle name="Normal 78 7 5" xfId="1728"/>
    <cellStyle name="Normal 78 7 5 2" xfId="4353"/>
    <cellStyle name="Normal 78 7 6" xfId="3042"/>
    <cellStyle name="Normal 78 8" xfId="305"/>
    <cellStyle name="Normal 78 8 2" xfId="535"/>
    <cellStyle name="Normal 78 8 2 2" xfId="863"/>
    <cellStyle name="Normal 78 8 2 2 2" xfId="1521"/>
    <cellStyle name="Normal 78 8 2 2 2 2" xfId="2834"/>
    <cellStyle name="Normal 78 8 2 2 2 2 2" xfId="5458"/>
    <cellStyle name="Normal 78 8 2 2 2 3" xfId="4148"/>
    <cellStyle name="Normal 78 8 2 2 3" xfId="2180"/>
    <cellStyle name="Normal 78 8 2 2 3 2" xfId="4804"/>
    <cellStyle name="Normal 78 8 2 2 4" xfId="3494"/>
    <cellStyle name="Normal 78 8 2 3" xfId="1207"/>
    <cellStyle name="Normal 78 8 2 3 2" xfId="2521"/>
    <cellStyle name="Normal 78 8 2 3 2 2" xfId="5145"/>
    <cellStyle name="Normal 78 8 2 3 3" xfId="3835"/>
    <cellStyle name="Normal 78 8 2 4" xfId="1867"/>
    <cellStyle name="Normal 78 8 2 4 2" xfId="4491"/>
    <cellStyle name="Normal 78 8 2 5" xfId="3181"/>
    <cellStyle name="Normal 78 8 3" xfId="724"/>
    <cellStyle name="Normal 78 8 3 2" xfId="1384"/>
    <cellStyle name="Normal 78 8 3 2 2" xfId="2697"/>
    <cellStyle name="Normal 78 8 3 2 2 2" xfId="5321"/>
    <cellStyle name="Normal 78 8 3 2 3" xfId="4011"/>
    <cellStyle name="Normal 78 8 3 3" xfId="2043"/>
    <cellStyle name="Normal 78 8 3 3 2" xfId="4667"/>
    <cellStyle name="Normal 78 8 3 4" xfId="3357"/>
    <cellStyle name="Normal 78 8 4" xfId="1069"/>
    <cellStyle name="Normal 78 8 4 2" xfId="2384"/>
    <cellStyle name="Normal 78 8 4 2 2" xfId="5008"/>
    <cellStyle name="Normal 78 8 4 3" xfId="3698"/>
    <cellStyle name="Normal 78 8 5" xfId="1729"/>
    <cellStyle name="Normal 78 8 5 2" xfId="4354"/>
    <cellStyle name="Normal 78 8 6" xfId="3043"/>
    <cellStyle name="Normal 79 2" xfId="306"/>
    <cellStyle name="Normal 79 2 2" xfId="536"/>
    <cellStyle name="Normal 79 2 2 2" xfId="864"/>
    <cellStyle name="Normal 79 2 2 2 2" xfId="1522"/>
    <cellStyle name="Normal 79 2 2 2 2 2" xfId="2835"/>
    <cellStyle name="Normal 79 2 2 2 2 2 2" xfId="5459"/>
    <cellStyle name="Normal 79 2 2 2 2 3" xfId="4149"/>
    <cellStyle name="Normal 79 2 2 2 3" xfId="2181"/>
    <cellStyle name="Normal 79 2 2 2 3 2" xfId="4805"/>
    <cellStyle name="Normal 79 2 2 2 4" xfId="3495"/>
    <cellStyle name="Normal 79 2 2 3" xfId="1208"/>
    <cellStyle name="Normal 79 2 2 3 2" xfId="2522"/>
    <cellStyle name="Normal 79 2 2 3 2 2" xfId="5146"/>
    <cellStyle name="Normal 79 2 2 3 3" xfId="3836"/>
    <cellStyle name="Normal 79 2 2 4" xfId="1868"/>
    <cellStyle name="Normal 79 2 2 4 2" xfId="4492"/>
    <cellStyle name="Normal 79 2 2 5" xfId="3182"/>
    <cellStyle name="Normal 79 2 3" xfId="725"/>
    <cellStyle name="Normal 79 2 3 2" xfId="1385"/>
    <cellStyle name="Normal 79 2 3 2 2" xfId="2698"/>
    <cellStyle name="Normal 79 2 3 2 2 2" xfId="5322"/>
    <cellStyle name="Normal 79 2 3 2 3" xfId="4012"/>
    <cellStyle name="Normal 79 2 3 3" xfId="2044"/>
    <cellStyle name="Normal 79 2 3 3 2" xfId="4668"/>
    <cellStyle name="Normal 79 2 3 4" xfId="3358"/>
    <cellStyle name="Normal 79 2 4" xfId="1070"/>
    <cellStyle name="Normal 79 2 4 2" xfId="2385"/>
    <cellStyle name="Normal 79 2 4 2 2" xfId="5009"/>
    <cellStyle name="Normal 79 2 4 3" xfId="3699"/>
    <cellStyle name="Normal 79 2 5" xfId="1730"/>
    <cellStyle name="Normal 79 2 5 2" xfId="4355"/>
    <cellStyle name="Normal 79 2 6" xfId="3044"/>
    <cellStyle name="Normal 79 3" xfId="307"/>
    <cellStyle name="Normal 79 3 2" xfId="537"/>
    <cellStyle name="Normal 79 3 2 2" xfId="865"/>
    <cellStyle name="Normal 79 3 2 2 2" xfId="1523"/>
    <cellStyle name="Normal 79 3 2 2 2 2" xfId="2836"/>
    <cellStyle name="Normal 79 3 2 2 2 2 2" xfId="5460"/>
    <cellStyle name="Normal 79 3 2 2 2 3" xfId="4150"/>
    <cellStyle name="Normal 79 3 2 2 3" xfId="2182"/>
    <cellStyle name="Normal 79 3 2 2 3 2" xfId="4806"/>
    <cellStyle name="Normal 79 3 2 2 4" xfId="3496"/>
    <cellStyle name="Normal 79 3 2 3" xfId="1209"/>
    <cellStyle name="Normal 79 3 2 3 2" xfId="2523"/>
    <cellStyle name="Normal 79 3 2 3 2 2" xfId="5147"/>
    <cellStyle name="Normal 79 3 2 3 3" xfId="3837"/>
    <cellStyle name="Normal 79 3 2 4" xfId="1869"/>
    <cellStyle name="Normal 79 3 2 4 2" xfId="4493"/>
    <cellStyle name="Normal 79 3 2 5" xfId="3183"/>
    <cellStyle name="Normal 79 3 3" xfId="726"/>
    <cellStyle name="Normal 79 3 3 2" xfId="1386"/>
    <cellStyle name="Normal 79 3 3 2 2" xfId="2699"/>
    <cellStyle name="Normal 79 3 3 2 2 2" xfId="5323"/>
    <cellStyle name="Normal 79 3 3 2 3" xfId="4013"/>
    <cellStyle name="Normal 79 3 3 3" xfId="2045"/>
    <cellStyle name="Normal 79 3 3 3 2" xfId="4669"/>
    <cellStyle name="Normal 79 3 3 4" xfId="3359"/>
    <cellStyle name="Normal 79 3 4" xfId="1071"/>
    <cellStyle name="Normal 79 3 4 2" xfId="2386"/>
    <cellStyle name="Normal 79 3 4 2 2" xfId="5010"/>
    <cellStyle name="Normal 79 3 4 3" xfId="3700"/>
    <cellStyle name="Normal 79 3 5" xfId="1731"/>
    <cellStyle name="Normal 79 3 5 2" xfId="4356"/>
    <cellStyle name="Normal 79 3 6" xfId="3045"/>
    <cellStyle name="Normal 79 4" xfId="308"/>
    <cellStyle name="Normal 79 4 2" xfId="538"/>
    <cellStyle name="Normal 79 4 2 2" xfId="866"/>
    <cellStyle name="Normal 79 4 2 2 2" xfId="1524"/>
    <cellStyle name="Normal 79 4 2 2 2 2" xfId="2837"/>
    <cellStyle name="Normal 79 4 2 2 2 2 2" xfId="5461"/>
    <cellStyle name="Normal 79 4 2 2 2 3" xfId="4151"/>
    <cellStyle name="Normal 79 4 2 2 3" xfId="2183"/>
    <cellStyle name="Normal 79 4 2 2 3 2" xfId="4807"/>
    <cellStyle name="Normal 79 4 2 2 4" xfId="3497"/>
    <cellStyle name="Normal 79 4 2 3" xfId="1210"/>
    <cellStyle name="Normal 79 4 2 3 2" xfId="2524"/>
    <cellStyle name="Normal 79 4 2 3 2 2" xfId="5148"/>
    <cellStyle name="Normal 79 4 2 3 3" xfId="3838"/>
    <cellStyle name="Normal 79 4 2 4" xfId="1870"/>
    <cellStyle name="Normal 79 4 2 4 2" xfId="4494"/>
    <cellStyle name="Normal 79 4 2 5" xfId="3184"/>
    <cellStyle name="Normal 79 4 3" xfId="727"/>
    <cellStyle name="Normal 79 4 3 2" xfId="1387"/>
    <cellStyle name="Normal 79 4 3 2 2" xfId="2700"/>
    <cellStyle name="Normal 79 4 3 2 2 2" xfId="5324"/>
    <cellStyle name="Normal 79 4 3 2 3" xfId="4014"/>
    <cellStyle name="Normal 79 4 3 3" xfId="2046"/>
    <cellStyle name="Normal 79 4 3 3 2" xfId="4670"/>
    <cellStyle name="Normal 79 4 3 4" xfId="3360"/>
    <cellStyle name="Normal 79 4 4" xfId="1072"/>
    <cellStyle name="Normal 79 4 4 2" xfId="2387"/>
    <cellStyle name="Normal 79 4 4 2 2" xfId="5011"/>
    <cellStyle name="Normal 79 4 4 3" xfId="3701"/>
    <cellStyle name="Normal 79 4 5" xfId="1732"/>
    <cellStyle name="Normal 79 4 5 2" xfId="4357"/>
    <cellStyle name="Normal 79 4 6" xfId="3046"/>
    <cellStyle name="Normal 79 5" xfId="309"/>
    <cellStyle name="Normal 79 5 2" xfId="539"/>
    <cellStyle name="Normal 79 5 2 2" xfId="867"/>
    <cellStyle name="Normal 79 5 2 2 2" xfId="1525"/>
    <cellStyle name="Normal 79 5 2 2 2 2" xfId="2838"/>
    <cellStyle name="Normal 79 5 2 2 2 2 2" xfId="5462"/>
    <cellStyle name="Normal 79 5 2 2 2 3" xfId="4152"/>
    <cellStyle name="Normal 79 5 2 2 3" xfId="2184"/>
    <cellStyle name="Normal 79 5 2 2 3 2" xfId="4808"/>
    <cellStyle name="Normal 79 5 2 2 4" xfId="3498"/>
    <cellStyle name="Normal 79 5 2 3" xfId="1211"/>
    <cellStyle name="Normal 79 5 2 3 2" xfId="2525"/>
    <cellStyle name="Normal 79 5 2 3 2 2" xfId="5149"/>
    <cellStyle name="Normal 79 5 2 3 3" xfId="3839"/>
    <cellStyle name="Normal 79 5 2 4" xfId="1871"/>
    <cellStyle name="Normal 79 5 2 4 2" xfId="4495"/>
    <cellStyle name="Normal 79 5 2 5" xfId="3185"/>
    <cellStyle name="Normal 79 5 3" xfId="728"/>
    <cellStyle name="Normal 79 5 3 2" xfId="1388"/>
    <cellStyle name="Normal 79 5 3 2 2" xfId="2701"/>
    <cellStyle name="Normal 79 5 3 2 2 2" xfId="5325"/>
    <cellStyle name="Normal 79 5 3 2 3" xfId="4015"/>
    <cellStyle name="Normal 79 5 3 3" xfId="2047"/>
    <cellStyle name="Normal 79 5 3 3 2" xfId="4671"/>
    <cellStyle name="Normal 79 5 3 4" xfId="3361"/>
    <cellStyle name="Normal 79 5 4" xfId="1073"/>
    <cellStyle name="Normal 79 5 4 2" xfId="2388"/>
    <cellStyle name="Normal 79 5 4 2 2" xfId="5012"/>
    <cellStyle name="Normal 79 5 4 3" xfId="3702"/>
    <cellStyle name="Normal 79 5 5" xfId="1733"/>
    <cellStyle name="Normal 79 5 5 2" xfId="4358"/>
    <cellStyle name="Normal 79 5 6" xfId="3047"/>
    <cellStyle name="Normal 79 6" xfId="310"/>
    <cellStyle name="Normal 79 6 2" xfId="540"/>
    <cellStyle name="Normal 79 6 2 2" xfId="868"/>
    <cellStyle name="Normal 79 6 2 2 2" xfId="1526"/>
    <cellStyle name="Normal 79 6 2 2 2 2" xfId="2839"/>
    <cellStyle name="Normal 79 6 2 2 2 2 2" xfId="5463"/>
    <cellStyle name="Normal 79 6 2 2 2 3" xfId="4153"/>
    <cellStyle name="Normal 79 6 2 2 3" xfId="2185"/>
    <cellStyle name="Normal 79 6 2 2 3 2" xfId="4809"/>
    <cellStyle name="Normal 79 6 2 2 4" xfId="3499"/>
    <cellStyle name="Normal 79 6 2 3" xfId="1212"/>
    <cellStyle name="Normal 79 6 2 3 2" xfId="2526"/>
    <cellStyle name="Normal 79 6 2 3 2 2" xfId="5150"/>
    <cellStyle name="Normal 79 6 2 3 3" xfId="3840"/>
    <cellStyle name="Normal 79 6 2 4" xfId="1872"/>
    <cellStyle name="Normal 79 6 2 4 2" xfId="4496"/>
    <cellStyle name="Normal 79 6 2 5" xfId="3186"/>
    <cellStyle name="Normal 79 6 3" xfId="729"/>
    <cellStyle name="Normal 79 6 3 2" xfId="1389"/>
    <cellStyle name="Normal 79 6 3 2 2" xfId="2702"/>
    <cellStyle name="Normal 79 6 3 2 2 2" xfId="5326"/>
    <cellStyle name="Normal 79 6 3 2 3" xfId="4016"/>
    <cellStyle name="Normal 79 6 3 3" xfId="2048"/>
    <cellStyle name="Normal 79 6 3 3 2" xfId="4672"/>
    <cellStyle name="Normal 79 6 3 4" xfId="3362"/>
    <cellStyle name="Normal 79 6 4" xfId="1074"/>
    <cellStyle name="Normal 79 6 4 2" xfId="2389"/>
    <cellStyle name="Normal 79 6 4 2 2" xfId="5013"/>
    <cellStyle name="Normal 79 6 4 3" xfId="3703"/>
    <cellStyle name="Normal 79 6 5" xfId="1734"/>
    <cellStyle name="Normal 79 6 5 2" xfId="4359"/>
    <cellStyle name="Normal 79 6 6" xfId="3048"/>
    <cellStyle name="Normal 79 7" xfId="311"/>
    <cellStyle name="Normal 79 7 2" xfId="541"/>
    <cellStyle name="Normal 79 7 2 2" xfId="869"/>
    <cellStyle name="Normal 79 7 2 2 2" xfId="1527"/>
    <cellStyle name="Normal 79 7 2 2 2 2" xfId="2840"/>
    <cellStyle name="Normal 79 7 2 2 2 2 2" xfId="5464"/>
    <cellStyle name="Normal 79 7 2 2 2 3" xfId="4154"/>
    <cellStyle name="Normal 79 7 2 2 3" xfId="2186"/>
    <cellStyle name="Normal 79 7 2 2 3 2" xfId="4810"/>
    <cellStyle name="Normal 79 7 2 2 4" xfId="3500"/>
    <cellStyle name="Normal 79 7 2 3" xfId="1213"/>
    <cellStyle name="Normal 79 7 2 3 2" xfId="2527"/>
    <cellStyle name="Normal 79 7 2 3 2 2" xfId="5151"/>
    <cellStyle name="Normal 79 7 2 3 3" xfId="3841"/>
    <cellStyle name="Normal 79 7 2 4" xfId="1873"/>
    <cellStyle name="Normal 79 7 2 4 2" xfId="4497"/>
    <cellStyle name="Normal 79 7 2 5" xfId="3187"/>
    <cellStyle name="Normal 79 7 3" xfId="730"/>
    <cellStyle name="Normal 79 7 3 2" xfId="1390"/>
    <cellStyle name="Normal 79 7 3 2 2" xfId="2703"/>
    <cellStyle name="Normal 79 7 3 2 2 2" xfId="5327"/>
    <cellStyle name="Normal 79 7 3 2 3" xfId="4017"/>
    <cellStyle name="Normal 79 7 3 3" xfId="2049"/>
    <cellStyle name="Normal 79 7 3 3 2" xfId="4673"/>
    <cellStyle name="Normal 79 7 3 4" xfId="3363"/>
    <cellStyle name="Normal 79 7 4" xfId="1075"/>
    <cellStyle name="Normal 79 7 4 2" xfId="2390"/>
    <cellStyle name="Normal 79 7 4 2 2" xfId="5014"/>
    <cellStyle name="Normal 79 7 4 3" xfId="3704"/>
    <cellStyle name="Normal 79 7 5" xfId="1735"/>
    <cellStyle name="Normal 79 7 5 2" xfId="4360"/>
    <cellStyle name="Normal 79 7 6" xfId="3049"/>
    <cellStyle name="Normal 79 8" xfId="312"/>
    <cellStyle name="Normal 79 8 2" xfId="542"/>
    <cellStyle name="Normal 79 8 2 2" xfId="870"/>
    <cellStyle name="Normal 79 8 2 2 2" xfId="1528"/>
    <cellStyle name="Normal 79 8 2 2 2 2" xfId="2841"/>
    <cellStyle name="Normal 79 8 2 2 2 2 2" xfId="5465"/>
    <cellStyle name="Normal 79 8 2 2 2 3" xfId="4155"/>
    <cellStyle name="Normal 79 8 2 2 3" xfId="2187"/>
    <cellStyle name="Normal 79 8 2 2 3 2" xfId="4811"/>
    <cellStyle name="Normal 79 8 2 2 4" xfId="3501"/>
    <cellStyle name="Normal 79 8 2 3" xfId="1214"/>
    <cellStyle name="Normal 79 8 2 3 2" xfId="2528"/>
    <cellStyle name="Normal 79 8 2 3 2 2" xfId="5152"/>
    <cellStyle name="Normal 79 8 2 3 3" xfId="3842"/>
    <cellStyle name="Normal 79 8 2 4" xfId="1874"/>
    <cellStyle name="Normal 79 8 2 4 2" xfId="4498"/>
    <cellStyle name="Normal 79 8 2 5" xfId="3188"/>
    <cellStyle name="Normal 79 8 3" xfId="731"/>
    <cellStyle name="Normal 79 8 3 2" xfId="1391"/>
    <cellStyle name="Normal 79 8 3 2 2" xfId="2704"/>
    <cellStyle name="Normal 79 8 3 2 2 2" xfId="5328"/>
    <cellStyle name="Normal 79 8 3 2 3" xfId="4018"/>
    <cellStyle name="Normal 79 8 3 3" xfId="2050"/>
    <cellStyle name="Normal 79 8 3 3 2" xfId="4674"/>
    <cellStyle name="Normal 79 8 3 4" xfId="3364"/>
    <cellStyle name="Normal 79 8 4" xfId="1076"/>
    <cellStyle name="Normal 79 8 4 2" xfId="2391"/>
    <cellStyle name="Normal 79 8 4 2 2" xfId="5015"/>
    <cellStyle name="Normal 79 8 4 3" xfId="3705"/>
    <cellStyle name="Normal 79 8 5" xfId="1736"/>
    <cellStyle name="Normal 79 8 5 2" xfId="4361"/>
    <cellStyle name="Normal 79 8 6" xfId="3050"/>
    <cellStyle name="Normal 8" xfId="981"/>
    <cellStyle name="Normal 8 2" xfId="1638"/>
    <cellStyle name="Normal 8 2 2" xfId="2951"/>
    <cellStyle name="Normal 8 2 2 2" xfId="5575"/>
    <cellStyle name="Normal 8 2 3" xfId="4265"/>
    <cellStyle name="Normal 8 3" xfId="2297"/>
    <cellStyle name="Normal 8 3 2" xfId="4921"/>
    <cellStyle name="Normal 8 4" xfId="3611"/>
    <cellStyle name="Normal 9" xfId="995"/>
    <cellStyle name="Normal 9 2" xfId="2311"/>
    <cellStyle name="Normal 9 2 2" xfId="4935"/>
    <cellStyle name="Normal 9 3" xfId="3625"/>
    <cellStyle name="Note 10" xfId="635"/>
    <cellStyle name="Note 10 2" xfId="953"/>
    <cellStyle name="Note 10 2 2" xfId="1611"/>
    <cellStyle name="Note 10 2 2 2" xfId="2924"/>
    <cellStyle name="Note 10 2 2 2 2" xfId="5548"/>
    <cellStyle name="Note 10 2 2 3" xfId="4238"/>
    <cellStyle name="Note 10 2 3" xfId="2270"/>
    <cellStyle name="Note 10 2 3 2" xfId="4894"/>
    <cellStyle name="Note 10 2 4" xfId="3584"/>
    <cellStyle name="Note 10 3" xfId="1297"/>
    <cellStyle name="Note 10 3 2" xfId="2611"/>
    <cellStyle name="Note 10 3 2 2" xfId="5235"/>
    <cellStyle name="Note 10 3 3" xfId="3925"/>
    <cellStyle name="Note 10 4" xfId="1957"/>
    <cellStyle name="Note 10 4 2" xfId="4581"/>
    <cellStyle name="Note 10 5" xfId="3271"/>
    <cellStyle name="Note 11" xfId="649"/>
    <cellStyle name="Note 11 2" xfId="966"/>
    <cellStyle name="Note 11 2 2" xfId="1624"/>
    <cellStyle name="Note 11 2 2 2" xfId="2937"/>
    <cellStyle name="Note 11 2 2 2 2" xfId="5561"/>
    <cellStyle name="Note 11 2 2 3" xfId="4251"/>
    <cellStyle name="Note 11 2 3" xfId="2283"/>
    <cellStyle name="Note 11 2 3 2" xfId="4907"/>
    <cellStyle name="Note 11 2 4" xfId="3597"/>
    <cellStyle name="Note 11 3" xfId="1311"/>
    <cellStyle name="Note 11 3 2" xfId="2624"/>
    <cellStyle name="Note 11 3 2 2" xfId="5248"/>
    <cellStyle name="Note 11 3 3" xfId="3938"/>
    <cellStyle name="Note 11 4" xfId="1970"/>
    <cellStyle name="Note 11 4 2" xfId="4594"/>
    <cellStyle name="Note 11 5" xfId="3284"/>
    <cellStyle name="Note 12" xfId="982"/>
    <cellStyle name="Note 12 2" xfId="1639"/>
    <cellStyle name="Note 12 2 2" xfId="2952"/>
    <cellStyle name="Note 12 2 2 2" xfId="5576"/>
    <cellStyle name="Note 12 2 3" xfId="4266"/>
    <cellStyle name="Note 12 3" xfId="2298"/>
    <cellStyle name="Note 12 3 2" xfId="4922"/>
    <cellStyle name="Note 12 4" xfId="3612"/>
    <cellStyle name="Note 13" xfId="996"/>
    <cellStyle name="Note 13 2" xfId="2312"/>
    <cellStyle name="Note 13 2 2" xfId="4936"/>
    <cellStyle name="Note 13 3" xfId="3626"/>
    <cellStyle name="Note 14" xfId="1652"/>
    <cellStyle name="Note 14 2" xfId="2965"/>
    <cellStyle name="Note 14 2 2" xfId="5589"/>
    <cellStyle name="Note 14 3" xfId="4279"/>
    <cellStyle name="Note 15" xfId="1667"/>
    <cellStyle name="Note 15 2" xfId="4294"/>
    <cellStyle name="Note 16" xfId="2980"/>
    <cellStyle name="Note 2" xfId="64"/>
    <cellStyle name="Note 2 10" xfId="314"/>
    <cellStyle name="Note 2 10 2" xfId="544"/>
    <cellStyle name="Note 2 10 2 2" xfId="872"/>
    <cellStyle name="Note 2 10 2 2 2" xfId="1530"/>
    <cellStyle name="Note 2 10 2 2 2 2" xfId="2843"/>
    <cellStyle name="Note 2 10 2 2 2 2 2" xfId="5467"/>
    <cellStyle name="Note 2 10 2 2 2 3" xfId="4157"/>
    <cellStyle name="Note 2 10 2 2 3" xfId="2189"/>
    <cellStyle name="Note 2 10 2 2 3 2" xfId="4813"/>
    <cellStyle name="Note 2 10 2 2 4" xfId="3503"/>
    <cellStyle name="Note 2 10 2 3" xfId="1216"/>
    <cellStyle name="Note 2 10 2 3 2" xfId="2530"/>
    <cellStyle name="Note 2 10 2 3 2 2" xfId="5154"/>
    <cellStyle name="Note 2 10 2 3 3" xfId="3844"/>
    <cellStyle name="Note 2 10 2 4" xfId="1876"/>
    <cellStyle name="Note 2 10 2 4 2" xfId="4500"/>
    <cellStyle name="Note 2 10 2 5" xfId="3190"/>
    <cellStyle name="Note 2 10 3" xfId="733"/>
    <cellStyle name="Note 2 10 3 2" xfId="1393"/>
    <cellStyle name="Note 2 10 3 2 2" xfId="2706"/>
    <cellStyle name="Note 2 10 3 2 2 2" xfId="5330"/>
    <cellStyle name="Note 2 10 3 2 3" xfId="4020"/>
    <cellStyle name="Note 2 10 3 3" xfId="2052"/>
    <cellStyle name="Note 2 10 3 3 2" xfId="4676"/>
    <cellStyle name="Note 2 10 3 4" xfId="3366"/>
    <cellStyle name="Note 2 10 4" xfId="1078"/>
    <cellStyle name="Note 2 10 4 2" xfId="2393"/>
    <cellStyle name="Note 2 10 4 2 2" xfId="5017"/>
    <cellStyle name="Note 2 10 4 3" xfId="3707"/>
    <cellStyle name="Note 2 10 5" xfId="1738"/>
    <cellStyle name="Note 2 10 5 2" xfId="4363"/>
    <cellStyle name="Note 2 10 6" xfId="3052"/>
    <cellStyle name="Note 2 11" xfId="315"/>
    <cellStyle name="Note 2 11 2" xfId="545"/>
    <cellStyle name="Note 2 11 2 2" xfId="873"/>
    <cellStyle name="Note 2 11 2 2 2" xfId="1531"/>
    <cellStyle name="Note 2 11 2 2 2 2" xfId="2844"/>
    <cellStyle name="Note 2 11 2 2 2 2 2" xfId="5468"/>
    <cellStyle name="Note 2 11 2 2 2 3" xfId="4158"/>
    <cellStyle name="Note 2 11 2 2 3" xfId="2190"/>
    <cellStyle name="Note 2 11 2 2 3 2" xfId="4814"/>
    <cellStyle name="Note 2 11 2 2 4" xfId="3504"/>
    <cellStyle name="Note 2 11 2 3" xfId="1217"/>
    <cellStyle name="Note 2 11 2 3 2" xfId="2531"/>
    <cellStyle name="Note 2 11 2 3 2 2" xfId="5155"/>
    <cellStyle name="Note 2 11 2 3 3" xfId="3845"/>
    <cellStyle name="Note 2 11 2 4" xfId="1877"/>
    <cellStyle name="Note 2 11 2 4 2" xfId="4501"/>
    <cellStyle name="Note 2 11 2 5" xfId="3191"/>
    <cellStyle name="Note 2 11 3" xfId="734"/>
    <cellStyle name="Note 2 11 3 2" xfId="1394"/>
    <cellStyle name="Note 2 11 3 2 2" xfId="2707"/>
    <cellStyle name="Note 2 11 3 2 2 2" xfId="5331"/>
    <cellStyle name="Note 2 11 3 2 3" xfId="4021"/>
    <cellStyle name="Note 2 11 3 3" xfId="2053"/>
    <cellStyle name="Note 2 11 3 3 2" xfId="4677"/>
    <cellStyle name="Note 2 11 3 4" xfId="3367"/>
    <cellStyle name="Note 2 11 4" xfId="1079"/>
    <cellStyle name="Note 2 11 4 2" xfId="2394"/>
    <cellStyle name="Note 2 11 4 2 2" xfId="5018"/>
    <cellStyle name="Note 2 11 4 3" xfId="3708"/>
    <cellStyle name="Note 2 11 5" xfId="1739"/>
    <cellStyle name="Note 2 11 5 2" xfId="4364"/>
    <cellStyle name="Note 2 11 6" xfId="3053"/>
    <cellStyle name="Note 2 12" xfId="316"/>
    <cellStyle name="Note 2 12 2" xfId="546"/>
    <cellStyle name="Note 2 12 2 2" xfId="874"/>
    <cellStyle name="Note 2 12 2 2 2" xfId="1532"/>
    <cellStyle name="Note 2 12 2 2 2 2" xfId="2845"/>
    <cellStyle name="Note 2 12 2 2 2 2 2" xfId="5469"/>
    <cellStyle name="Note 2 12 2 2 2 3" xfId="4159"/>
    <cellStyle name="Note 2 12 2 2 3" xfId="2191"/>
    <cellStyle name="Note 2 12 2 2 3 2" xfId="4815"/>
    <cellStyle name="Note 2 12 2 2 4" xfId="3505"/>
    <cellStyle name="Note 2 12 2 3" xfId="1218"/>
    <cellStyle name="Note 2 12 2 3 2" xfId="2532"/>
    <cellStyle name="Note 2 12 2 3 2 2" xfId="5156"/>
    <cellStyle name="Note 2 12 2 3 3" xfId="3846"/>
    <cellStyle name="Note 2 12 2 4" xfId="1878"/>
    <cellStyle name="Note 2 12 2 4 2" xfId="4502"/>
    <cellStyle name="Note 2 12 2 5" xfId="3192"/>
    <cellStyle name="Note 2 12 3" xfId="735"/>
    <cellStyle name="Note 2 12 3 2" xfId="1395"/>
    <cellStyle name="Note 2 12 3 2 2" xfId="2708"/>
    <cellStyle name="Note 2 12 3 2 2 2" xfId="5332"/>
    <cellStyle name="Note 2 12 3 2 3" xfId="4022"/>
    <cellStyle name="Note 2 12 3 3" xfId="2054"/>
    <cellStyle name="Note 2 12 3 3 2" xfId="4678"/>
    <cellStyle name="Note 2 12 3 4" xfId="3368"/>
    <cellStyle name="Note 2 12 4" xfId="1080"/>
    <cellStyle name="Note 2 12 4 2" xfId="2395"/>
    <cellStyle name="Note 2 12 4 2 2" xfId="5019"/>
    <cellStyle name="Note 2 12 4 3" xfId="3709"/>
    <cellStyle name="Note 2 12 5" xfId="1740"/>
    <cellStyle name="Note 2 12 5 2" xfId="4365"/>
    <cellStyle name="Note 2 12 6" xfId="3054"/>
    <cellStyle name="Note 2 13" xfId="317"/>
    <cellStyle name="Note 2 13 2" xfId="547"/>
    <cellStyle name="Note 2 13 2 2" xfId="875"/>
    <cellStyle name="Note 2 13 2 2 2" xfId="1533"/>
    <cellStyle name="Note 2 13 2 2 2 2" xfId="2846"/>
    <cellStyle name="Note 2 13 2 2 2 2 2" xfId="5470"/>
    <cellStyle name="Note 2 13 2 2 2 3" xfId="4160"/>
    <cellStyle name="Note 2 13 2 2 3" xfId="2192"/>
    <cellStyle name="Note 2 13 2 2 3 2" xfId="4816"/>
    <cellStyle name="Note 2 13 2 2 4" xfId="3506"/>
    <cellStyle name="Note 2 13 2 3" xfId="1219"/>
    <cellStyle name="Note 2 13 2 3 2" xfId="2533"/>
    <cellStyle name="Note 2 13 2 3 2 2" xfId="5157"/>
    <cellStyle name="Note 2 13 2 3 3" xfId="3847"/>
    <cellStyle name="Note 2 13 2 4" xfId="1879"/>
    <cellStyle name="Note 2 13 2 4 2" xfId="4503"/>
    <cellStyle name="Note 2 13 2 5" xfId="3193"/>
    <cellStyle name="Note 2 13 3" xfId="736"/>
    <cellStyle name="Note 2 13 3 2" xfId="1396"/>
    <cellStyle name="Note 2 13 3 2 2" xfId="2709"/>
    <cellStyle name="Note 2 13 3 2 2 2" xfId="5333"/>
    <cellStyle name="Note 2 13 3 2 3" xfId="4023"/>
    <cellStyle name="Note 2 13 3 3" xfId="2055"/>
    <cellStyle name="Note 2 13 3 3 2" xfId="4679"/>
    <cellStyle name="Note 2 13 3 4" xfId="3369"/>
    <cellStyle name="Note 2 13 4" xfId="1081"/>
    <cellStyle name="Note 2 13 4 2" xfId="2396"/>
    <cellStyle name="Note 2 13 4 2 2" xfId="5020"/>
    <cellStyle name="Note 2 13 4 3" xfId="3710"/>
    <cellStyle name="Note 2 13 5" xfId="1741"/>
    <cellStyle name="Note 2 13 5 2" xfId="4366"/>
    <cellStyle name="Note 2 13 6" xfId="3055"/>
    <cellStyle name="Note 2 14" xfId="318"/>
    <cellStyle name="Note 2 14 2" xfId="548"/>
    <cellStyle name="Note 2 14 2 2" xfId="876"/>
    <cellStyle name="Note 2 14 2 2 2" xfId="1534"/>
    <cellStyle name="Note 2 14 2 2 2 2" xfId="2847"/>
    <cellStyle name="Note 2 14 2 2 2 2 2" xfId="5471"/>
    <cellStyle name="Note 2 14 2 2 2 3" xfId="4161"/>
    <cellStyle name="Note 2 14 2 2 3" xfId="2193"/>
    <cellStyle name="Note 2 14 2 2 3 2" xfId="4817"/>
    <cellStyle name="Note 2 14 2 2 4" xfId="3507"/>
    <cellStyle name="Note 2 14 2 3" xfId="1220"/>
    <cellStyle name="Note 2 14 2 3 2" xfId="2534"/>
    <cellStyle name="Note 2 14 2 3 2 2" xfId="5158"/>
    <cellStyle name="Note 2 14 2 3 3" xfId="3848"/>
    <cellStyle name="Note 2 14 2 4" xfId="1880"/>
    <cellStyle name="Note 2 14 2 4 2" xfId="4504"/>
    <cellStyle name="Note 2 14 2 5" xfId="3194"/>
    <cellStyle name="Note 2 14 3" xfId="737"/>
    <cellStyle name="Note 2 14 3 2" xfId="1397"/>
    <cellStyle name="Note 2 14 3 2 2" xfId="2710"/>
    <cellStyle name="Note 2 14 3 2 2 2" xfId="5334"/>
    <cellStyle name="Note 2 14 3 2 3" xfId="4024"/>
    <cellStyle name="Note 2 14 3 3" xfId="2056"/>
    <cellStyle name="Note 2 14 3 3 2" xfId="4680"/>
    <cellStyle name="Note 2 14 3 4" xfId="3370"/>
    <cellStyle name="Note 2 14 4" xfId="1082"/>
    <cellStyle name="Note 2 14 4 2" xfId="2397"/>
    <cellStyle name="Note 2 14 4 2 2" xfId="5021"/>
    <cellStyle name="Note 2 14 4 3" xfId="3711"/>
    <cellStyle name="Note 2 14 5" xfId="1742"/>
    <cellStyle name="Note 2 14 5 2" xfId="4367"/>
    <cellStyle name="Note 2 14 6" xfId="3056"/>
    <cellStyle name="Note 2 15" xfId="319"/>
    <cellStyle name="Note 2 15 2" xfId="549"/>
    <cellStyle name="Note 2 15 2 2" xfId="877"/>
    <cellStyle name="Note 2 15 2 2 2" xfId="1535"/>
    <cellStyle name="Note 2 15 2 2 2 2" xfId="2848"/>
    <cellStyle name="Note 2 15 2 2 2 2 2" xfId="5472"/>
    <cellStyle name="Note 2 15 2 2 2 3" xfId="4162"/>
    <cellStyle name="Note 2 15 2 2 3" xfId="2194"/>
    <cellStyle name="Note 2 15 2 2 3 2" xfId="4818"/>
    <cellStyle name="Note 2 15 2 2 4" xfId="3508"/>
    <cellStyle name="Note 2 15 2 3" xfId="1221"/>
    <cellStyle name="Note 2 15 2 3 2" xfId="2535"/>
    <cellStyle name="Note 2 15 2 3 2 2" xfId="5159"/>
    <cellStyle name="Note 2 15 2 3 3" xfId="3849"/>
    <cellStyle name="Note 2 15 2 4" xfId="1881"/>
    <cellStyle name="Note 2 15 2 4 2" xfId="4505"/>
    <cellStyle name="Note 2 15 2 5" xfId="3195"/>
    <cellStyle name="Note 2 15 3" xfId="738"/>
    <cellStyle name="Note 2 15 3 2" xfId="1398"/>
    <cellStyle name="Note 2 15 3 2 2" xfId="2711"/>
    <cellStyle name="Note 2 15 3 2 2 2" xfId="5335"/>
    <cellStyle name="Note 2 15 3 2 3" xfId="4025"/>
    <cellStyle name="Note 2 15 3 3" xfId="2057"/>
    <cellStyle name="Note 2 15 3 3 2" xfId="4681"/>
    <cellStyle name="Note 2 15 3 4" xfId="3371"/>
    <cellStyle name="Note 2 15 4" xfId="1083"/>
    <cellStyle name="Note 2 15 4 2" xfId="2398"/>
    <cellStyle name="Note 2 15 4 2 2" xfId="5022"/>
    <cellStyle name="Note 2 15 4 3" xfId="3712"/>
    <cellStyle name="Note 2 15 5" xfId="1743"/>
    <cellStyle name="Note 2 15 5 2" xfId="4368"/>
    <cellStyle name="Note 2 15 6" xfId="3057"/>
    <cellStyle name="Note 2 16" xfId="320"/>
    <cellStyle name="Note 2 16 2" xfId="550"/>
    <cellStyle name="Note 2 16 2 2" xfId="878"/>
    <cellStyle name="Note 2 16 2 2 2" xfId="1536"/>
    <cellStyle name="Note 2 16 2 2 2 2" xfId="2849"/>
    <cellStyle name="Note 2 16 2 2 2 2 2" xfId="5473"/>
    <cellStyle name="Note 2 16 2 2 2 3" xfId="4163"/>
    <cellStyle name="Note 2 16 2 2 3" xfId="2195"/>
    <cellStyle name="Note 2 16 2 2 3 2" xfId="4819"/>
    <cellStyle name="Note 2 16 2 2 4" xfId="3509"/>
    <cellStyle name="Note 2 16 2 3" xfId="1222"/>
    <cellStyle name="Note 2 16 2 3 2" xfId="2536"/>
    <cellStyle name="Note 2 16 2 3 2 2" xfId="5160"/>
    <cellStyle name="Note 2 16 2 3 3" xfId="3850"/>
    <cellStyle name="Note 2 16 2 4" xfId="1882"/>
    <cellStyle name="Note 2 16 2 4 2" xfId="4506"/>
    <cellStyle name="Note 2 16 2 5" xfId="3196"/>
    <cellStyle name="Note 2 16 3" xfId="739"/>
    <cellStyle name="Note 2 16 3 2" xfId="1399"/>
    <cellStyle name="Note 2 16 3 2 2" xfId="2712"/>
    <cellStyle name="Note 2 16 3 2 2 2" xfId="5336"/>
    <cellStyle name="Note 2 16 3 2 3" xfId="4026"/>
    <cellStyle name="Note 2 16 3 3" xfId="2058"/>
    <cellStyle name="Note 2 16 3 3 2" xfId="4682"/>
    <cellStyle name="Note 2 16 3 4" xfId="3372"/>
    <cellStyle name="Note 2 16 4" xfId="1084"/>
    <cellStyle name="Note 2 16 4 2" xfId="2399"/>
    <cellStyle name="Note 2 16 4 2 2" xfId="5023"/>
    <cellStyle name="Note 2 16 4 3" xfId="3713"/>
    <cellStyle name="Note 2 16 5" xfId="1744"/>
    <cellStyle name="Note 2 16 5 2" xfId="4369"/>
    <cellStyle name="Note 2 16 6" xfId="3058"/>
    <cellStyle name="Note 2 17" xfId="543"/>
    <cellStyle name="Note 2 17 2" xfId="871"/>
    <cellStyle name="Note 2 17 2 2" xfId="1529"/>
    <cellStyle name="Note 2 17 2 2 2" xfId="2842"/>
    <cellStyle name="Note 2 17 2 2 2 2" xfId="5466"/>
    <cellStyle name="Note 2 17 2 2 3" xfId="4156"/>
    <cellStyle name="Note 2 17 2 3" xfId="2188"/>
    <cellStyle name="Note 2 17 2 3 2" xfId="4812"/>
    <cellStyle name="Note 2 17 2 4" xfId="3502"/>
    <cellStyle name="Note 2 17 3" xfId="1215"/>
    <cellStyle name="Note 2 17 3 2" xfId="2529"/>
    <cellStyle name="Note 2 17 3 2 2" xfId="5153"/>
    <cellStyle name="Note 2 17 3 3" xfId="3843"/>
    <cellStyle name="Note 2 17 4" xfId="1875"/>
    <cellStyle name="Note 2 17 4 2" xfId="4499"/>
    <cellStyle name="Note 2 17 5" xfId="3189"/>
    <cellStyle name="Note 2 18" xfId="732"/>
    <cellStyle name="Note 2 18 2" xfId="1392"/>
    <cellStyle name="Note 2 18 2 2" xfId="2705"/>
    <cellStyle name="Note 2 18 2 2 2" xfId="5329"/>
    <cellStyle name="Note 2 18 2 3" xfId="4019"/>
    <cellStyle name="Note 2 18 3" xfId="2051"/>
    <cellStyle name="Note 2 18 3 2" xfId="4675"/>
    <cellStyle name="Note 2 18 4" xfId="3365"/>
    <cellStyle name="Note 2 19" xfId="1077"/>
    <cellStyle name="Note 2 19 2" xfId="2392"/>
    <cellStyle name="Note 2 19 2 2" xfId="5016"/>
    <cellStyle name="Note 2 19 3" xfId="3706"/>
    <cellStyle name="Note 2 2" xfId="321"/>
    <cellStyle name="Note 2 2 2" xfId="551"/>
    <cellStyle name="Note 2 2 2 2" xfId="879"/>
    <cellStyle name="Note 2 2 2 2 2" xfId="1537"/>
    <cellStyle name="Note 2 2 2 2 2 2" xfId="2850"/>
    <cellStyle name="Note 2 2 2 2 2 2 2" xfId="5474"/>
    <cellStyle name="Note 2 2 2 2 2 3" xfId="4164"/>
    <cellStyle name="Note 2 2 2 2 3" xfId="2196"/>
    <cellStyle name="Note 2 2 2 2 3 2" xfId="4820"/>
    <cellStyle name="Note 2 2 2 2 4" xfId="3510"/>
    <cellStyle name="Note 2 2 2 3" xfId="1223"/>
    <cellStyle name="Note 2 2 2 3 2" xfId="2537"/>
    <cellStyle name="Note 2 2 2 3 2 2" xfId="5161"/>
    <cellStyle name="Note 2 2 2 3 3" xfId="3851"/>
    <cellStyle name="Note 2 2 2 4" xfId="1883"/>
    <cellStyle name="Note 2 2 2 4 2" xfId="4507"/>
    <cellStyle name="Note 2 2 2 5" xfId="3197"/>
    <cellStyle name="Note 2 2 3" xfId="740"/>
    <cellStyle name="Note 2 2 3 2" xfId="1400"/>
    <cellStyle name="Note 2 2 3 2 2" xfId="2713"/>
    <cellStyle name="Note 2 2 3 2 2 2" xfId="5337"/>
    <cellStyle name="Note 2 2 3 2 3" xfId="4027"/>
    <cellStyle name="Note 2 2 3 3" xfId="2059"/>
    <cellStyle name="Note 2 2 3 3 2" xfId="4683"/>
    <cellStyle name="Note 2 2 3 4" xfId="3373"/>
    <cellStyle name="Note 2 2 4" xfId="1085"/>
    <cellStyle name="Note 2 2 4 2" xfId="2400"/>
    <cellStyle name="Note 2 2 4 2 2" xfId="5024"/>
    <cellStyle name="Note 2 2 4 3" xfId="3714"/>
    <cellStyle name="Note 2 2 5" xfId="1745"/>
    <cellStyle name="Note 2 2 5 2" xfId="4370"/>
    <cellStyle name="Note 2 2 6" xfId="3059"/>
    <cellStyle name="Note 2 20" xfId="1737"/>
    <cellStyle name="Note 2 20 2" xfId="4362"/>
    <cellStyle name="Note 2 21" xfId="3051"/>
    <cellStyle name="Note 2 22" xfId="313"/>
    <cellStyle name="Note 2 3" xfId="322"/>
    <cellStyle name="Note 2 3 2" xfId="552"/>
    <cellStyle name="Note 2 3 2 2" xfId="880"/>
    <cellStyle name="Note 2 3 2 2 2" xfId="1538"/>
    <cellStyle name="Note 2 3 2 2 2 2" xfId="2851"/>
    <cellStyle name="Note 2 3 2 2 2 2 2" xfId="5475"/>
    <cellStyle name="Note 2 3 2 2 2 3" xfId="4165"/>
    <cellStyle name="Note 2 3 2 2 3" xfId="2197"/>
    <cellStyle name="Note 2 3 2 2 3 2" xfId="4821"/>
    <cellStyle name="Note 2 3 2 2 4" xfId="3511"/>
    <cellStyle name="Note 2 3 2 3" xfId="1224"/>
    <cellStyle name="Note 2 3 2 3 2" xfId="2538"/>
    <cellStyle name="Note 2 3 2 3 2 2" xfId="5162"/>
    <cellStyle name="Note 2 3 2 3 3" xfId="3852"/>
    <cellStyle name="Note 2 3 2 4" xfId="1884"/>
    <cellStyle name="Note 2 3 2 4 2" xfId="4508"/>
    <cellStyle name="Note 2 3 2 5" xfId="3198"/>
    <cellStyle name="Note 2 3 3" xfId="741"/>
    <cellStyle name="Note 2 3 3 2" xfId="1401"/>
    <cellStyle name="Note 2 3 3 2 2" xfId="2714"/>
    <cellStyle name="Note 2 3 3 2 2 2" xfId="5338"/>
    <cellStyle name="Note 2 3 3 2 3" xfId="4028"/>
    <cellStyle name="Note 2 3 3 3" xfId="2060"/>
    <cellStyle name="Note 2 3 3 3 2" xfId="4684"/>
    <cellStyle name="Note 2 3 3 4" xfId="3374"/>
    <cellStyle name="Note 2 3 4" xfId="1086"/>
    <cellStyle name="Note 2 3 4 2" xfId="2401"/>
    <cellStyle name="Note 2 3 4 2 2" xfId="5025"/>
    <cellStyle name="Note 2 3 4 3" xfId="3715"/>
    <cellStyle name="Note 2 3 5" xfId="1746"/>
    <cellStyle name="Note 2 3 5 2" xfId="4371"/>
    <cellStyle name="Note 2 3 6" xfId="3060"/>
    <cellStyle name="Note 2 4" xfId="323"/>
    <cellStyle name="Note 2 4 2" xfId="553"/>
    <cellStyle name="Note 2 4 2 2" xfId="881"/>
    <cellStyle name="Note 2 4 2 2 2" xfId="1539"/>
    <cellStyle name="Note 2 4 2 2 2 2" xfId="2852"/>
    <cellStyle name="Note 2 4 2 2 2 2 2" xfId="5476"/>
    <cellStyle name="Note 2 4 2 2 2 3" xfId="4166"/>
    <cellStyle name="Note 2 4 2 2 3" xfId="2198"/>
    <cellStyle name="Note 2 4 2 2 3 2" xfId="4822"/>
    <cellStyle name="Note 2 4 2 2 4" xfId="3512"/>
    <cellStyle name="Note 2 4 2 3" xfId="1225"/>
    <cellStyle name="Note 2 4 2 3 2" xfId="2539"/>
    <cellStyle name="Note 2 4 2 3 2 2" xfId="5163"/>
    <cellStyle name="Note 2 4 2 3 3" xfId="3853"/>
    <cellStyle name="Note 2 4 2 4" xfId="1885"/>
    <cellStyle name="Note 2 4 2 4 2" xfId="4509"/>
    <cellStyle name="Note 2 4 2 5" xfId="3199"/>
    <cellStyle name="Note 2 4 3" xfId="742"/>
    <cellStyle name="Note 2 4 3 2" xfId="1402"/>
    <cellStyle name="Note 2 4 3 2 2" xfId="2715"/>
    <cellStyle name="Note 2 4 3 2 2 2" xfId="5339"/>
    <cellStyle name="Note 2 4 3 2 3" xfId="4029"/>
    <cellStyle name="Note 2 4 3 3" xfId="2061"/>
    <cellStyle name="Note 2 4 3 3 2" xfId="4685"/>
    <cellStyle name="Note 2 4 3 4" xfId="3375"/>
    <cellStyle name="Note 2 4 4" xfId="1087"/>
    <cellStyle name="Note 2 4 4 2" xfId="2402"/>
    <cellStyle name="Note 2 4 4 2 2" xfId="5026"/>
    <cellStyle name="Note 2 4 4 3" xfId="3716"/>
    <cellStyle name="Note 2 4 5" xfId="1747"/>
    <cellStyle name="Note 2 4 5 2" xfId="4372"/>
    <cellStyle name="Note 2 4 6" xfId="3061"/>
    <cellStyle name="Note 2 5" xfId="324"/>
    <cellStyle name="Note 2 5 2" xfId="554"/>
    <cellStyle name="Note 2 5 2 2" xfId="882"/>
    <cellStyle name="Note 2 5 2 2 2" xfId="1540"/>
    <cellStyle name="Note 2 5 2 2 2 2" xfId="2853"/>
    <cellStyle name="Note 2 5 2 2 2 2 2" xfId="5477"/>
    <cellStyle name="Note 2 5 2 2 2 3" xfId="4167"/>
    <cellStyle name="Note 2 5 2 2 3" xfId="2199"/>
    <cellStyle name="Note 2 5 2 2 3 2" xfId="4823"/>
    <cellStyle name="Note 2 5 2 2 4" xfId="3513"/>
    <cellStyle name="Note 2 5 2 3" xfId="1226"/>
    <cellStyle name="Note 2 5 2 3 2" xfId="2540"/>
    <cellStyle name="Note 2 5 2 3 2 2" xfId="5164"/>
    <cellStyle name="Note 2 5 2 3 3" xfId="3854"/>
    <cellStyle name="Note 2 5 2 4" xfId="1886"/>
    <cellStyle name="Note 2 5 2 4 2" xfId="4510"/>
    <cellStyle name="Note 2 5 2 5" xfId="3200"/>
    <cellStyle name="Note 2 5 3" xfId="743"/>
    <cellStyle name="Note 2 5 3 2" xfId="1403"/>
    <cellStyle name="Note 2 5 3 2 2" xfId="2716"/>
    <cellStyle name="Note 2 5 3 2 2 2" xfId="5340"/>
    <cellStyle name="Note 2 5 3 2 3" xfId="4030"/>
    <cellStyle name="Note 2 5 3 3" xfId="2062"/>
    <cellStyle name="Note 2 5 3 3 2" xfId="4686"/>
    <cellStyle name="Note 2 5 3 4" xfId="3376"/>
    <cellStyle name="Note 2 5 4" xfId="1088"/>
    <cellStyle name="Note 2 5 4 2" xfId="2403"/>
    <cellStyle name="Note 2 5 4 2 2" xfId="5027"/>
    <cellStyle name="Note 2 5 4 3" xfId="3717"/>
    <cellStyle name="Note 2 5 5" xfId="1748"/>
    <cellStyle name="Note 2 5 5 2" xfId="4373"/>
    <cellStyle name="Note 2 5 6" xfId="3062"/>
    <cellStyle name="Note 2 6" xfId="325"/>
    <cellStyle name="Note 2 6 2" xfId="555"/>
    <cellStyle name="Note 2 6 2 2" xfId="883"/>
    <cellStyle name="Note 2 6 2 2 2" xfId="1541"/>
    <cellStyle name="Note 2 6 2 2 2 2" xfId="2854"/>
    <cellStyle name="Note 2 6 2 2 2 2 2" xfId="5478"/>
    <cellStyle name="Note 2 6 2 2 2 3" xfId="4168"/>
    <cellStyle name="Note 2 6 2 2 3" xfId="2200"/>
    <cellStyle name="Note 2 6 2 2 3 2" xfId="4824"/>
    <cellStyle name="Note 2 6 2 2 4" xfId="3514"/>
    <cellStyle name="Note 2 6 2 3" xfId="1227"/>
    <cellStyle name="Note 2 6 2 3 2" xfId="2541"/>
    <cellStyle name="Note 2 6 2 3 2 2" xfId="5165"/>
    <cellStyle name="Note 2 6 2 3 3" xfId="3855"/>
    <cellStyle name="Note 2 6 2 4" xfId="1887"/>
    <cellStyle name="Note 2 6 2 4 2" xfId="4511"/>
    <cellStyle name="Note 2 6 2 5" xfId="3201"/>
    <cellStyle name="Note 2 6 3" xfId="744"/>
    <cellStyle name="Note 2 6 3 2" xfId="1404"/>
    <cellStyle name="Note 2 6 3 2 2" xfId="2717"/>
    <cellStyle name="Note 2 6 3 2 2 2" xfId="5341"/>
    <cellStyle name="Note 2 6 3 2 3" xfId="4031"/>
    <cellStyle name="Note 2 6 3 3" xfId="2063"/>
    <cellStyle name="Note 2 6 3 3 2" xfId="4687"/>
    <cellStyle name="Note 2 6 3 4" xfId="3377"/>
    <cellStyle name="Note 2 6 4" xfId="1089"/>
    <cellStyle name="Note 2 6 4 2" xfId="2404"/>
    <cellStyle name="Note 2 6 4 2 2" xfId="5028"/>
    <cellStyle name="Note 2 6 4 3" xfId="3718"/>
    <cellStyle name="Note 2 6 5" xfId="1749"/>
    <cellStyle name="Note 2 6 5 2" xfId="4374"/>
    <cellStyle name="Note 2 6 6" xfId="3063"/>
    <cellStyle name="Note 2 7" xfId="326"/>
    <cellStyle name="Note 2 7 2" xfId="556"/>
    <cellStyle name="Note 2 7 2 2" xfId="884"/>
    <cellStyle name="Note 2 7 2 2 2" xfId="1542"/>
    <cellStyle name="Note 2 7 2 2 2 2" xfId="2855"/>
    <cellStyle name="Note 2 7 2 2 2 2 2" xfId="5479"/>
    <cellStyle name="Note 2 7 2 2 2 3" xfId="4169"/>
    <cellStyle name="Note 2 7 2 2 3" xfId="2201"/>
    <cellStyle name="Note 2 7 2 2 3 2" xfId="4825"/>
    <cellStyle name="Note 2 7 2 2 4" xfId="3515"/>
    <cellStyle name="Note 2 7 2 3" xfId="1228"/>
    <cellStyle name="Note 2 7 2 3 2" xfId="2542"/>
    <cellStyle name="Note 2 7 2 3 2 2" xfId="5166"/>
    <cellStyle name="Note 2 7 2 3 3" xfId="3856"/>
    <cellStyle name="Note 2 7 2 4" xfId="1888"/>
    <cellStyle name="Note 2 7 2 4 2" xfId="4512"/>
    <cellStyle name="Note 2 7 2 5" xfId="3202"/>
    <cellStyle name="Note 2 7 3" xfId="745"/>
    <cellStyle name="Note 2 7 3 2" xfId="1405"/>
    <cellStyle name="Note 2 7 3 2 2" xfId="2718"/>
    <cellStyle name="Note 2 7 3 2 2 2" xfId="5342"/>
    <cellStyle name="Note 2 7 3 2 3" xfId="4032"/>
    <cellStyle name="Note 2 7 3 3" xfId="2064"/>
    <cellStyle name="Note 2 7 3 3 2" xfId="4688"/>
    <cellStyle name="Note 2 7 3 4" xfId="3378"/>
    <cellStyle name="Note 2 7 4" xfId="1090"/>
    <cellStyle name="Note 2 7 4 2" xfId="2405"/>
    <cellStyle name="Note 2 7 4 2 2" xfId="5029"/>
    <cellStyle name="Note 2 7 4 3" xfId="3719"/>
    <cellStyle name="Note 2 7 5" xfId="1750"/>
    <cellStyle name="Note 2 7 5 2" xfId="4375"/>
    <cellStyle name="Note 2 7 6" xfId="3064"/>
    <cellStyle name="Note 2 8" xfId="327"/>
    <cellStyle name="Note 2 8 2" xfId="557"/>
    <cellStyle name="Note 2 8 2 2" xfId="885"/>
    <cellStyle name="Note 2 8 2 2 2" xfId="1543"/>
    <cellStyle name="Note 2 8 2 2 2 2" xfId="2856"/>
    <cellStyle name="Note 2 8 2 2 2 2 2" xfId="5480"/>
    <cellStyle name="Note 2 8 2 2 2 3" xfId="4170"/>
    <cellStyle name="Note 2 8 2 2 3" xfId="2202"/>
    <cellStyle name="Note 2 8 2 2 3 2" xfId="4826"/>
    <cellStyle name="Note 2 8 2 2 4" xfId="3516"/>
    <cellStyle name="Note 2 8 2 3" xfId="1229"/>
    <cellStyle name="Note 2 8 2 3 2" xfId="2543"/>
    <cellStyle name="Note 2 8 2 3 2 2" xfId="5167"/>
    <cellStyle name="Note 2 8 2 3 3" xfId="3857"/>
    <cellStyle name="Note 2 8 2 4" xfId="1889"/>
    <cellStyle name="Note 2 8 2 4 2" xfId="4513"/>
    <cellStyle name="Note 2 8 2 5" xfId="3203"/>
    <cellStyle name="Note 2 8 3" xfId="746"/>
    <cellStyle name="Note 2 8 3 2" xfId="1406"/>
    <cellStyle name="Note 2 8 3 2 2" xfId="2719"/>
    <cellStyle name="Note 2 8 3 2 2 2" xfId="5343"/>
    <cellStyle name="Note 2 8 3 2 3" xfId="4033"/>
    <cellStyle name="Note 2 8 3 3" xfId="2065"/>
    <cellStyle name="Note 2 8 3 3 2" xfId="4689"/>
    <cellStyle name="Note 2 8 3 4" xfId="3379"/>
    <cellStyle name="Note 2 8 4" xfId="1091"/>
    <cellStyle name="Note 2 8 4 2" xfId="2406"/>
    <cellStyle name="Note 2 8 4 2 2" xfId="5030"/>
    <cellStyle name="Note 2 8 4 3" xfId="3720"/>
    <cellStyle name="Note 2 8 5" xfId="1751"/>
    <cellStyle name="Note 2 8 5 2" xfId="4376"/>
    <cellStyle name="Note 2 8 6" xfId="3065"/>
    <cellStyle name="Note 2 9" xfId="328"/>
    <cellStyle name="Note 2 9 2" xfId="558"/>
    <cellStyle name="Note 2 9 2 2" xfId="886"/>
    <cellStyle name="Note 2 9 2 2 2" xfId="1544"/>
    <cellStyle name="Note 2 9 2 2 2 2" xfId="2857"/>
    <cellStyle name="Note 2 9 2 2 2 2 2" xfId="5481"/>
    <cellStyle name="Note 2 9 2 2 2 3" xfId="4171"/>
    <cellStyle name="Note 2 9 2 2 3" xfId="2203"/>
    <cellStyle name="Note 2 9 2 2 3 2" xfId="4827"/>
    <cellStyle name="Note 2 9 2 2 4" xfId="3517"/>
    <cellStyle name="Note 2 9 2 3" xfId="1230"/>
    <cellStyle name="Note 2 9 2 3 2" xfId="2544"/>
    <cellStyle name="Note 2 9 2 3 2 2" xfId="5168"/>
    <cellStyle name="Note 2 9 2 3 3" xfId="3858"/>
    <cellStyle name="Note 2 9 2 4" xfId="1890"/>
    <cellStyle name="Note 2 9 2 4 2" xfId="4514"/>
    <cellStyle name="Note 2 9 2 5" xfId="3204"/>
    <cellStyle name="Note 2 9 3" xfId="747"/>
    <cellStyle name="Note 2 9 3 2" xfId="1407"/>
    <cellStyle name="Note 2 9 3 2 2" xfId="2720"/>
    <cellStyle name="Note 2 9 3 2 2 2" xfId="5344"/>
    <cellStyle name="Note 2 9 3 2 3" xfId="4034"/>
    <cellStyle name="Note 2 9 3 3" xfId="2066"/>
    <cellStyle name="Note 2 9 3 3 2" xfId="4690"/>
    <cellStyle name="Note 2 9 3 4" xfId="3380"/>
    <cellStyle name="Note 2 9 4" xfId="1092"/>
    <cellStyle name="Note 2 9 4 2" xfId="2407"/>
    <cellStyle name="Note 2 9 4 2 2" xfId="5031"/>
    <cellStyle name="Note 2 9 4 3" xfId="3721"/>
    <cellStyle name="Note 2 9 5" xfId="1752"/>
    <cellStyle name="Note 2 9 5 2" xfId="4377"/>
    <cellStyle name="Note 2 9 6" xfId="3066"/>
    <cellStyle name="Note 3" xfId="329"/>
    <cellStyle name="Note 3 10" xfId="330"/>
    <cellStyle name="Note 3 10 2" xfId="560"/>
    <cellStyle name="Note 3 10 2 2" xfId="888"/>
    <cellStyle name="Note 3 10 2 2 2" xfId="1546"/>
    <cellStyle name="Note 3 10 2 2 2 2" xfId="2859"/>
    <cellStyle name="Note 3 10 2 2 2 2 2" xfId="5483"/>
    <cellStyle name="Note 3 10 2 2 2 3" xfId="4173"/>
    <cellStyle name="Note 3 10 2 2 3" xfId="2205"/>
    <cellStyle name="Note 3 10 2 2 3 2" xfId="4829"/>
    <cellStyle name="Note 3 10 2 2 4" xfId="3519"/>
    <cellStyle name="Note 3 10 2 3" xfId="1232"/>
    <cellStyle name="Note 3 10 2 3 2" xfId="2546"/>
    <cellStyle name="Note 3 10 2 3 2 2" xfId="5170"/>
    <cellStyle name="Note 3 10 2 3 3" xfId="3860"/>
    <cellStyle name="Note 3 10 2 4" xfId="1892"/>
    <cellStyle name="Note 3 10 2 4 2" xfId="4516"/>
    <cellStyle name="Note 3 10 2 5" xfId="3206"/>
    <cellStyle name="Note 3 10 3" xfId="749"/>
    <cellStyle name="Note 3 10 3 2" xfId="1409"/>
    <cellStyle name="Note 3 10 3 2 2" xfId="2722"/>
    <cellStyle name="Note 3 10 3 2 2 2" xfId="5346"/>
    <cellStyle name="Note 3 10 3 2 3" xfId="4036"/>
    <cellStyle name="Note 3 10 3 3" xfId="2068"/>
    <cellStyle name="Note 3 10 3 3 2" xfId="4692"/>
    <cellStyle name="Note 3 10 3 4" xfId="3382"/>
    <cellStyle name="Note 3 10 4" xfId="1094"/>
    <cellStyle name="Note 3 10 4 2" xfId="2409"/>
    <cellStyle name="Note 3 10 4 2 2" xfId="5033"/>
    <cellStyle name="Note 3 10 4 3" xfId="3723"/>
    <cellStyle name="Note 3 10 5" xfId="1754"/>
    <cellStyle name="Note 3 10 5 2" xfId="4379"/>
    <cellStyle name="Note 3 10 6" xfId="3068"/>
    <cellStyle name="Note 3 11" xfId="331"/>
    <cellStyle name="Note 3 11 2" xfId="561"/>
    <cellStyle name="Note 3 11 2 2" xfId="889"/>
    <cellStyle name="Note 3 11 2 2 2" xfId="1547"/>
    <cellStyle name="Note 3 11 2 2 2 2" xfId="2860"/>
    <cellStyle name="Note 3 11 2 2 2 2 2" xfId="5484"/>
    <cellStyle name="Note 3 11 2 2 2 3" xfId="4174"/>
    <cellStyle name="Note 3 11 2 2 3" xfId="2206"/>
    <cellStyle name="Note 3 11 2 2 3 2" xfId="4830"/>
    <cellStyle name="Note 3 11 2 2 4" xfId="3520"/>
    <cellStyle name="Note 3 11 2 3" xfId="1233"/>
    <cellStyle name="Note 3 11 2 3 2" xfId="2547"/>
    <cellStyle name="Note 3 11 2 3 2 2" xfId="5171"/>
    <cellStyle name="Note 3 11 2 3 3" xfId="3861"/>
    <cellStyle name="Note 3 11 2 4" xfId="1893"/>
    <cellStyle name="Note 3 11 2 4 2" xfId="4517"/>
    <cellStyle name="Note 3 11 2 5" xfId="3207"/>
    <cellStyle name="Note 3 11 3" xfId="750"/>
    <cellStyle name="Note 3 11 3 2" xfId="1410"/>
    <cellStyle name="Note 3 11 3 2 2" xfId="2723"/>
    <cellStyle name="Note 3 11 3 2 2 2" xfId="5347"/>
    <cellStyle name="Note 3 11 3 2 3" xfId="4037"/>
    <cellStyle name="Note 3 11 3 3" xfId="2069"/>
    <cellStyle name="Note 3 11 3 3 2" xfId="4693"/>
    <cellStyle name="Note 3 11 3 4" xfId="3383"/>
    <cellStyle name="Note 3 11 4" xfId="1095"/>
    <cellStyle name="Note 3 11 4 2" xfId="2410"/>
    <cellStyle name="Note 3 11 4 2 2" xfId="5034"/>
    <cellStyle name="Note 3 11 4 3" xfId="3724"/>
    <cellStyle name="Note 3 11 5" xfId="1755"/>
    <cellStyle name="Note 3 11 5 2" xfId="4380"/>
    <cellStyle name="Note 3 11 6" xfId="3069"/>
    <cellStyle name="Note 3 12" xfId="332"/>
    <cellStyle name="Note 3 12 2" xfId="562"/>
    <cellStyle name="Note 3 12 2 2" xfId="890"/>
    <cellStyle name="Note 3 12 2 2 2" xfId="1548"/>
    <cellStyle name="Note 3 12 2 2 2 2" xfId="2861"/>
    <cellStyle name="Note 3 12 2 2 2 2 2" xfId="5485"/>
    <cellStyle name="Note 3 12 2 2 2 3" xfId="4175"/>
    <cellStyle name="Note 3 12 2 2 3" xfId="2207"/>
    <cellStyle name="Note 3 12 2 2 3 2" xfId="4831"/>
    <cellStyle name="Note 3 12 2 2 4" xfId="3521"/>
    <cellStyle name="Note 3 12 2 3" xfId="1234"/>
    <cellStyle name="Note 3 12 2 3 2" xfId="2548"/>
    <cellStyle name="Note 3 12 2 3 2 2" xfId="5172"/>
    <cellStyle name="Note 3 12 2 3 3" xfId="3862"/>
    <cellStyle name="Note 3 12 2 4" xfId="1894"/>
    <cellStyle name="Note 3 12 2 4 2" xfId="4518"/>
    <cellStyle name="Note 3 12 2 5" xfId="3208"/>
    <cellStyle name="Note 3 12 3" xfId="751"/>
    <cellStyle name="Note 3 12 3 2" xfId="1411"/>
    <cellStyle name="Note 3 12 3 2 2" xfId="2724"/>
    <cellStyle name="Note 3 12 3 2 2 2" xfId="5348"/>
    <cellStyle name="Note 3 12 3 2 3" xfId="4038"/>
    <cellStyle name="Note 3 12 3 3" xfId="2070"/>
    <cellStyle name="Note 3 12 3 3 2" xfId="4694"/>
    <cellStyle name="Note 3 12 3 4" xfId="3384"/>
    <cellStyle name="Note 3 12 4" xfId="1096"/>
    <cellStyle name="Note 3 12 4 2" xfId="2411"/>
    <cellStyle name="Note 3 12 4 2 2" xfId="5035"/>
    <cellStyle name="Note 3 12 4 3" xfId="3725"/>
    <cellStyle name="Note 3 12 5" xfId="1756"/>
    <cellStyle name="Note 3 12 5 2" xfId="4381"/>
    <cellStyle name="Note 3 12 6" xfId="3070"/>
    <cellStyle name="Note 3 13" xfId="333"/>
    <cellStyle name="Note 3 13 2" xfId="563"/>
    <cellStyle name="Note 3 13 2 2" xfId="891"/>
    <cellStyle name="Note 3 13 2 2 2" xfId="1549"/>
    <cellStyle name="Note 3 13 2 2 2 2" xfId="2862"/>
    <cellStyle name="Note 3 13 2 2 2 2 2" xfId="5486"/>
    <cellStyle name="Note 3 13 2 2 2 3" xfId="4176"/>
    <cellStyle name="Note 3 13 2 2 3" xfId="2208"/>
    <cellStyle name="Note 3 13 2 2 3 2" xfId="4832"/>
    <cellStyle name="Note 3 13 2 2 4" xfId="3522"/>
    <cellStyle name="Note 3 13 2 3" xfId="1235"/>
    <cellStyle name="Note 3 13 2 3 2" xfId="2549"/>
    <cellStyle name="Note 3 13 2 3 2 2" xfId="5173"/>
    <cellStyle name="Note 3 13 2 3 3" xfId="3863"/>
    <cellStyle name="Note 3 13 2 4" xfId="1895"/>
    <cellStyle name="Note 3 13 2 4 2" xfId="4519"/>
    <cellStyle name="Note 3 13 2 5" xfId="3209"/>
    <cellStyle name="Note 3 13 3" xfId="752"/>
    <cellStyle name="Note 3 13 3 2" xfId="1412"/>
    <cellStyle name="Note 3 13 3 2 2" xfId="2725"/>
    <cellStyle name="Note 3 13 3 2 2 2" xfId="5349"/>
    <cellStyle name="Note 3 13 3 2 3" xfId="4039"/>
    <cellStyle name="Note 3 13 3 3" xfId="2071"/>
    <cellStyle name="Note 3 13 3 3 2" xfId="4695"/>
    <cellStyle name="Note 3 13 3 4" xfId="3385"/>
    <cellStyle name="Note 3 13 4" xfId="1097"/>
    <cellStyle name="Note 3 13 4 2" xfId="2412"/>
    <cellStyle name="Note 3 13 4 2 2" xfId="5036"/>
    <cellStyle name="Note 3 13 4 3" xfId="3726"/>
    <cellStyle name="Note 3 13 5" xfId="1757"/>
    <cellStyle name="Note 3 13 5 2" xfId="4382"/>
    <cellStyle name="Note 3 13 6" xfId="3071"/>
    <cellStyle name="Note 3 14" xfId="334"/>
    <cellStyle name="Note 3 14 2" xfId="564"/>
    <cellStyle name="Note 3 14 2 2" xfId="892"/>
    <cellStyle name="Note 3 14 2 2 2" xfId="1550"/>
    <cellStyle name="Note 3 14 2 2 2 2" xfId="2863"/>
    <cellStyle name="Note 3 14 2 2 2 2 2" xfId="5487"/>
    <cellStyle name="Note 3 14 2 2 2 3" xfId="4177"/>
    <cellStyle name="Note 3 14 2 2 3" xfId="2209"/>
    <cellStyle name="Note 3 14 2 2 3 2" xfId="4833"/>
    <cellStyle name="Note 3 14 2 2 4" xfId="3523"/>
    <cellStyle name="Note 3 14 2 3" xfId="1236"/>
    <cellStyle name="Note 3 14 2 3 2" xfId="2550"/>
    <cellStyle name="Note 3 14 2 3 2 2" xfId="5174"/>
    <cellStyle name="Note 3 14 2 3 3" xfId="3864"/>
    <cellStyle name="Note 3 14 2 4" xfId="1896"/>
    <cellStyle name="Note 3 14 2 4 2" xfId="4520"/>
    <cellStyle name="Note 3 14 2 5" xfId="3210"/>
    <cellStyle name="Note 3 14 3" xfId="753"/>
    <cellStyle name="Note 3 14 3 2" xfId="1413"/>
    <cellStyle name="Note 3 14 3 2 2" xfId="2726"/>
    <cellStyle name="Note 3 14 3 2 2 2" xfId="5350"/>
    <cellStyle name="Note 3 14 3 2 3" xfId="4040"/>
    <cellStyle name="Note 3 14 3 3" xfId="2072"/>
    <cellStyle name="Note 3 14 3 3 2" xfId="4696"/>
    <cellStyle name="Note 3 14 3 4" xfId="3386"/>
    <cellStyle name="Note 3 14 4" xfId="1098"/>
    <cellStyle name="Note 3 14 4 2" xfId="2413"/>
    <cellStyle name="Note 3 14 4 2 2" xfId="5037"/>
    <cellStyle name="Note 3 14 4 3" xfId="3727"/>
    <cellStyle name="Note 3 14 5" xfId="1758"/>
    <cellStyle name="Note 3 14 5 2" xfId="4383"/>
    <cellStyle name="Note 3 14 6" xfId="3072"/>
    <cellStyle name="Note 3 15" xfId="335"/>
    <cellStyle name="Note 3 15 2" xfId="565"/>
    <cellStyle name="Note 3 15 2 2" xfId="893"/>
    <cellStyle name="Note 3 15 2 2 2" xfId="1551"/>
    <cellStyle name="Note 3 15 2 2 2 2" xfId="2864"/>
    <cellStyle name="Note 3 15 2 2 2 2 2" xfId="5488"/>
    <cellStyle name="Note 3 15 2 2 2 3" xfId="4178"/>
    <cellStyle name="Note 3 15 2 2 3" xfId="2210"/>
    <cellStyle name="Note 3 15 2 2 3 2" xfId="4834"/>
    <cellStyle name="Note 3 15 2 2 4" xfId="3524"/>
    <cellStyle name="Note 3 15 2 3" xfId="1237"/>
    <cellStyle name="Note 3 15 2 3 2" xfId="2551"/>
    <cellStyle name="Note 3 15 2 3 2 2" xfId="5175"/>
    <cellStyle name="Note 3 15 2 3 3" xfId="3865"/>
    <cellStyle name="Note 3 15 2 4" xfId="1897"/>
    <cellStyle name="Note 3 15 2 4 2" xfId="4521"/>
    <cellStyle name="Note 3 15 2 5" xfId="3211"/>
    <cellStyle name="Note 3 15 3" xfId="754"/>
    <cellStyle name="Note 3 15 3 2" xfId="1414"/>
    <cellStyle name="Note 3 15 3 2 2" xfId="2727"/>
    <cellStyle name="Note 3 15 3 2 2 2" xfId="5351"/>
    <cellStyle name="Note 3 15 3 2 3" xfId="4041"/>
    <cellStyle name="Note 3 15 3 3" xfId="2073"/>
    <cellStyle name="Note 3 15 3 3 2" xfId="4697"/>
    <cellStyle name="Note 3 15 3 4" xfId="3387"/>
    <cellStyle name="Note 3 15 4" xfId="1099"/>
    <cellStyle name="Note 3 15 4 2" xfId="2414"/>
    <cellStyle name="Note 3 15 4 2 2" xfId="5038"/>
    <cellStyle name="Note 3 15 4 3" xfId="3728"/>
    <cellStyle name="Note 3 15 5" xfId="1759"/>
    <cellStyle name="Note 3 15 5 2" xfId="4384"/>
    <cellStyle name="Note 3 15 6" xfId="3073"/>
    <cellStyle name="Note 3 16" xfId="336"/>
    <cellStyle name="Note 3 16 2" xfId="566"/>
    <cellStyle name="Note 3 16 2 2" xfId="894"/>
    <cellStyle name="Note 3 16 2 2 2" xfId="1552"/>
    <cellStyle name="Note 3 16 2 2 2 2" xfId="2865"/>
    <cellStyle name="Note 3 16 2 2 2 2 2" xfId="5489"/>
    <cellStyle name="Note 3 16 2 2 2 3" xfId="4179"/>
    <cellStyle name="Note 3 16 2 2 3" xfId="2211"/>
    <cellStyle name="Note 3 16 2 2 3 2" xfId="4835"/>
    <cellStyle name="Note 3 16 2 2 4" xfId="3525"/>
    <cellStyle name="Note 3 16 2 3" xfId="1238"/>
    <cellStyle name="Note 3 16 2 3 2" xfId="2552"/>
    <cellStyle name="Note 3 16 2 3 2 2" xfId="5176"/>
    <cellStyle name="Note 3 16 2 3 3" xfId="3866"/>
    <cellStyle name="Note 3 16 2 4" xfId="1898"/>
    <cellStyle name="Note 3 16 2 4 2" xfId="4522"/>
    <cellStyle name="Note 3 16 2 5" xfId="3212"/>
    <cellStyle name="Note 3 16 3" xfId="755"/>
    <cellStyle name="Note 3 16 3 2" xfId="1415"/>
    <cellStyle name="Note 3 16 3 2 2" xfId="2728"/>
    <cellStyle name="Note 3 16 3 2 2 2" xfId="5352"/>
    <cellStyle name="Note 3 16 3 2 3" xfId="4042"/>
    <cellStyle name="Note 3 16 3 3" xfId="2074"/>
    <cellStyle name="Note 3 16 3 3 2" xfId="4698"/>
    <cellStyle name="Note 3 16 3 4" xfId="3388"/>
    <cellStyle name="Note 3 16 4" xfId="1100"/>
    <cellStyle name="Note 3 16 4 2" xfId="2415"/>
    <cellStyle name="Note 3 16 4 2 2" xfId="5039"/>
    <cellStyle name="Note 3 16 4 3" xfId="3729"/>
    <cellStyle name="Note 3 16 5" xfId="1760"/>
    <cellStyle name="Note 3 16 5 2" xfId="4385"/>
    <cellStyle name="Note 3 16 6" xfId="3074"/>
    <cellStyle name="Note 3 17" xfId="559"/>
    <cellStyle name="Note 3 17 2" xfId="887"/>
    <cellStyle name="Note 3 17 2 2" xfId="1545"/>
    <cellStyle name="Note 3 17 2 2 2" xfId="2858"/>
    <cellStyle name="Note 3 17 2 2 2 2" xfId="5482"/>
    <cellStyle name="Note 3 17 2 2 3" xfId="4172"/>
    <cellStyle name="Note 3 17 2 3" xfId="2204"/>
    <cellStyle name="Note 3 17 2 3 2" xfId="4828"/>
    <cellStyle name="Note 3 17 2 4" xfId="3518"/>
    <cellStyle name="Note 3 17 3" xfId="1231"/>
    <cellStyle name="Note 3 17 3 2" xfId="2545"/>
    <cellStyle name="Note 3 17 3 2 2" xfId="5169"/>
    <cellStyle name="Note 3 17 3 3" xfId="3859"/>
    <cellStyle name="Note 3 17 4" xfId="1891"/>
    <cellStyle name="Note 3 17 4 2" xfId="4515"/>
    <cellStyle name="Note 3 17 5" xfId="3205"/>
    <cellStyle name="Note 3 18" xfId="748"/>
    <cellStyle name="Note 3 18 2" xfId="1408"/>
    <cellStyle name="Note 3 18 2 2" xfId="2721"/>
    <cellStyle name="Note 3 18 2 2 2" xfId="5345"/>
    <cellStyle name="Note 3 18 2 3" xfId="4035"/>
    <cellStyle name="Note 3 18 3" xfId="2067"/>
    <cellStyle name="Note 3 18 3 2" xfId="4691"/>
    <cellStyle name="Note 3 18 4" xfId="3381"/>
    <cellStyle name="Note 3 19" xfId="1093"/>
    <cellStyle name="Note 3 19 2" xfId="2408"/>
    <cellStyle name="Note 3 19 2 2" xfId="5032"/>
    <cellStyle name="Note 3 19 3" xfId="3722"/>
    <cellStyle name="Note 3 2" xfId="337"/>
    <cellStyle name="Note 3 2 2" xfId="567"/>
    <cellStyle name="Note 3 2 2 2" xfId="895"/>
    <cellStyle name="Note 3 2 2 2 2" xfId="1553"/>
    <cellStyle name="Note 3 2 2 2 2 2" xfId="2866"/>
    <cellStyle name="Note 3 2 2 2 2 2 2" xfId="5490"/>
    <cellStyle name="Note 3 2 2 2 2 3" xfId="4180"/>
    <cellStyle name="Note 3 2 2 2 3" xfId="2212"/>
    <cellStyle name="Note 3 2 2 2 3 2" xfId="4836"/>
    <cellStyle name="Note 3 2 2 2 4" xfId="3526"/>
    <cellStyle name="Note 3 2 2 3" xfId="1239"/>
    <cellStyle name="Note 3 2 2 3 2" xfId="2553"/>
    <cellStyle name="Note 3 2 2 3 2 2" xfId="5177"/>
    <cellStyle name="Note 3 2 2 3 3" xfId="3867"/>
    <cellStyle name="Note 3 2 2 4" xfId="1899"/>
    <cellStyle name="Note 3 2 2 4 2" xfId="4523"/>
    <cellStyle name="Note 3 2 2 5" xfId="3213"/>
    <cellStyle name="Note 3 2 3" xfId="756"/>
    <cellStyle name="Note 3 2 3 2" xfId="1416"/>
    <cellStyle name="Note 3 2 3 2 2" xfId="2729"/>
    <cellStyle name="Note 3 2 3 2 2 2" xfId="5353"/>
    <cellStyle name="Note 3 2 3 2 3" xfId="4043"/>
    <cellStyle name="Note 3 2 3 3" xfId="2075"/>
    <cellStyle name="Note 3 2 3 3 2" xfId="4699"/>
    <cellStyle name="Note 3 2 3 4" xfId="3389"/>
    <cellStyle name="Note 3 2 4" xfId="1101"/>
    <cellStyle name="Note 3 2 4 2" xfId="2416"/>
    <cellStyle name="Note 3 2 4 2 2" xfId="5040"/>
    <cellStyle name="Note 3 2 4 3" xfId="3730"/>
    <cellStyle name="Note 3 2 5" xfId="1761"/>
    <cellStyle name="Note 3 2 5 2" xfId="4386"/>
    <cellStyle name="Note 3 2 6" xfId="3075"/>
    <cellStyle name="Note 3 20" xfId="1753"/>
    <cellStyle name="Note 3 20 2" xfId="4378"/>
    <cellStyle name="Note 3 21" xfId="3067"/>
    <cellStyle name="Note 3 3" xfId="338"/>
    <cellStyle name="Note 3 3 2" xfId="568"/>
    <cellStyle name="Note 3 3 2 2" xfId="896"/>
    <cellStyle name="Note 3 3 2 2 2" xfId="1554"/>
    <cellStyle name="Note 3 3 2 2 2 2" xfId="2867"/>
    <cellStyle name="Note 3 3 2 2 2 2 2" xfId="5491"/>
    <cellStyle name="Note 3 3 2 2 2 3" xfId="4181"/>
    <cellStyle name="Note 3 3 2 2 3" xfId="2213"/>
    <cellStyle name="Note 3 3 2 2 3 2" xfId="4837"/>
    <cellStyle name="Note 3 3 2 2 4" xfId="3527"/>
    <cellStyle name="Note 3 3 2 3" xfId="1240"/>
    <cellStyle name="Note 3 3 2 3 2" xfId="2554"/>
    <cellStyle name="Note 3 3 2 3 2 2" xfId="5178"/>
    <cellStyle name="Note 3 3 2 3 3" xfId="3868"/>
    <cellStyle name="Note 3 3 2 4" xfId="1900"/>
    <cellStyle name="Note 3 3 2 4 2" xfId="4524"/>
    <cellStyle name="Note 3 3 2 5" xfId="3214"/>
    <cellStyle name="Note 3 3 3" xfId="757"/>
    <cellStyle name="Note 3 3 3 2" xfId="1417"/>
    <cellStyle name="Note 3 3 3 2 2" xfId="2730"/>
    <cellStyle name="Note 3 3 3 2 2 2" xfId="5354"/>
    <cellStyle name="Note 3 3 3 2 3" xfId="4044"/>
    <cellStyle name="Note 3 3 3 3" xfId="2076"/>
    <cellStyle name="Note 3 3 3 3 2" xfId="4700"/>
    <cellStyle name="Note 3 3 3 4" xfId="3390"/>
    <cellStyle name="Note 3 3 4" xfId="1102"/>
    <cellStyle name="Note 3 3 4 2" xfId="2417"/>
    <cellStyle name="Note 3 3 4 2 2" xfId="5041"/>
    <cellStyle name="Note 3 3 4 3" xfId="3731"/>
    <cellStyle name="Note 3 3 5" xfId="1762"/>
    <cellStyle name="Note 3 3 5 2" xfId="4387"/>
    <cellStyle name="Note 3 3 6" xfId="3076"/>
    <cellStyle name="Note 3 4" xfId="339"/>
    <cellStyle name="Note 3 4 2" xfId="569"/>
    <cellStyle name="Note 3 4 2 2" xfId="897"/>
    <cellStyle name="Note 3 4 2 2 2" xfId="1555"/>
    <cellStyle name="Note 3 4 2 2 2 2" xfId="2868"/>
    <cellStyle name="Note 3 4 2 2 2 2 2" xfId="5492"/>
    <cellStyle name="Note 3 4 2 2 2 3" xfId="4182"/>
    <cellStyle name="Note 3 4 2 2 3" xfId="2214"/>
    <cellStyle name="Note 3 4 2 2 3 2" xfId="4838"/>
    <cellStyle name="Note 3 4 2 2 4" xfId="3528"/>
    <cellStyle name="Note 3 4 2 3" xfId="1241"/>
    <cellStyle name="Note 3 4 2 3 2" xfId="2555"/>
    <cellStyle name="Note 3 4 2 3 2 2" xfId="5179"/>
    <cellStyle name="Note 3 4 2 3 3" xfId="3869"/>
    <cellStyle name="Note 3 4 2 4" xfId="1901"/>
    <cellStyle name="Note 3 4 2 4 2" xfId="4525"/>
    <cellStyle name="Note 3 4 2 5" xfId="3215"/>
    <cellStyle name="Note 3 4 3" xfId="758"/>
    <cellStyle name="Note 3 4 3 2" xfId="1418"/>
    <cellStyle name="Note 3 4 3 2 2" xfId="2731"/>
    <cellStyle name="Note 3 4 3 2 2 2" xfId="5355"/>
    <cellStyle name="Note 3 4 3 2 3" xfId="4045"/>
    <cellStyle name="Note 3 4 3 3" xfId="2077"/>
    <cellStyle name="Note 3 4 3 3 2" xfId="4701"/>
    <cellStyle name="Note 3 4 3 4" xfId="3391"/>
    <cellStyle name="Note 3 4 4" xfId="1103"/>
    <cellStyle name="Note 3 4 4 2" xfId="2418"/>
    <cellStyle name="Note 3 4 4 2 2" xfId="5042"/>
    <cellStyle name="Note 3 4 4 3" xfId="3732"/>
    <cellStyle name="Note 3 4 5" xfId="1763"/>
    <cellStyle name="Note 3 4 5 2" xfId="4388"/>
    <cellStyle name="Note 3 4 6" xfId="3077"/>
    <cellStyle name="Note 3 5" xfId="340"/>
    <cellStyle name="Note 3 5 2" xfId="570"/>
    <cellStyle name="Note 3 5 2 2" xfId="898"/>
    <cellStyle name="Note 3 5 2 2 2" xfId="1556"/>
    <cellStyle name="Note 3 5 2 2 2 2" xfId="2869"/>
    <cellStyle name="Note 3 5 2 2 2 2 2" xfId="5493"/>
    <cellStyle name="Note 3 5 2 2 2 3" xfId="4183"/>
    <cellStyle name="Note 3 5 2 2 3" xfId="2215"/>
    <cellStyle name="Note 3 5 2 2 3 2" xfId="4839"/>
    <cellStyle name="Note 3 5 2 2 4" xfId="3529"/>
    <cellStyle name="Note 3 5 2 3" xfId="1242"/>
    <cellStyle name="Note 3 5 2 3 2" xfId="2556"/>
    <cellStyle name="Note 3 5 2 3 2 2" xfId="5180"/>
    <cellStyle name="Note 3 5 2 3 3" xfId="3870"/>
    <cellStyle name="Note 3 5 2 4" xfId="1902"/>
    <cellStyle name="Note 3 5 2 4 2" xfId="4526"/>
    <cellStyle name="Note 3 5 2 5" xfId="3216"/>
    <cellStyle name="Note 3 5 3" xfId="759"/>
    <cellStyle name="Note 3 5 3 2" xfId="1419"/>
    <cellStyle name="Note 3 5 3 2 2" xfId="2732"/>
    <cellStyle name="Note 3 5 3 2 2 2" xfId="5356"/>
    <cellStyle name="Note 3 5 3 2 3" xfId="4046"/>
    <cellStyle name="Note 3 5 3 3" xfId="2078"/>
    <cellStyle name="Note 3 5 3 3 2" xfId="4702"/>
    <cellStyle name="Note 3 5 3 4" xfId="3392"/>
    <cellStyle name="Note 3 5 4" xfId="1104"/>
    <cellStyle name="Note 3 5 4 2" xfId="2419"/>
    <cellStyle name="Note 3 5 4 2 2" xfId="5043"/>
    <cellStyle name="Note 3 5 4 3" xfId="3733"/>
    <cellStyle name="Note 3 5 5" xfId="1764"/>
    <cellStyle name="Note 3 5 5 2" xfId="4389"/>
    <cellStyle name="Note 3 5 6" xfId="3078"/>
    <cellStyle name="Note 3 6" xfId="341"/>
    <cellStyle name="Note 3 6 2" xfId="571"/>
    <cellStyle name="Note 3 6 2 2" xfId="899"/>
    <cellStyle name="Note 3 6 2 2 2" xfId="1557"/>
    <cellStyle name="Note 3 6 2 2 2 2" xfId="2870"/>
    <cellStyle name="Note 3 6 2 2 2 2 2" xfId="5494"/>
    <cellStyle name="Note 3 6 2 2 2 3" xfId="4184"/>
    <cellStyle name="Note 3 6 2 2 3" xfId="2216"/>
    <cellStyle name="Note 3 6 2 2 3 2" xfId="4840"/>
    <cellStyle name="Note 3 6 2 2 4" xfId="3530"/>
    <cellStyle name="Note 3 6 2 3" xfId="1243"/>
    <cellStyle name="Note 3 6 2 3 2" xfId="2557"/>
    <cellStyle name="Note 3 6 2 3 2 2" xfId="5181"/>
    <cellStyle name="Note 3 6 2 3 3" xfId="3871"/>
    <cellStyle name="Note 3 6 2 4" xfId="1903"/>
    <cellStyle name="Note 3 6 2 4 2" xfId="4527"/>
    <cellStyle name="Note 3 6 2 5" xfId="3217"/>
    <cellStyle name="Note 3 6 3" xfId="760"/>
    <cellStyle name="Note 3 6 3 2" xfId="1420"/>
    <cellStyle name="Note 3 6 3 2 2" xfId="2733"/>
    <cellStyle name="Note 3 6 3 2 2 2" xfId="5357"/>
    <cellStyle name="Note 3 6 3 2 3" xfId="4047"/>
    <cellStyle name="Note 3 6 3 3" xfId="2079"/>
    <cellStyle name="Note 3 6 3 3 2" xfId="4703"/>
    <cellStyle name="Note 3 6 3 4" xfId="3393"/>
    <cellStyle name="Note 3 6 4" xfId="1105"/>
    <cellStyle name="Note 3 6 4 2" xfId="2420"/>
    <cellStyle name="Note 3 6 4 2 2" xfId="5044"/>
    <cellStyle name="Note 3 6 4 3" xfId="3734"/>
    <cellStyle name="Note 3 6 5" xfId="1765"/>
    <cellStyle name="Note 3 6 5 2" xfId="4390"/>
    <cellStyle name="Note 3 6 6" xfId="3079"/>
    <cellStyle name="Note 3 7" xfId="342"/>
    <cellStyle name="Note 3 7 2" xfId="572"/>
    <cellStyle name="Note 3 7 2 2" xfId="900"/>
    <cellStyle name="Note 3 7 2 2 2" xfId="1558"/>
    <cellStyle name="Note 3 7 2 2 2 2" xfId="2871"/>
    <cellStyle name="Note 3 7 2 2 2 2 2" xfId="5495"/>
    <cellStyle name="Note 3 7 2 2 2 3" xfId="4185"/>
    <cellStyle name="Note 3 7 2 2 3" xfId="2217"/>
    <cellStyle name="Note 3 7 2 2 3 2" xfId="4841"/>
    <cellStyle name="Note 3 7 2 2 4" xfId="3531"/>
    <cellStyle name="Note 3 7 2 3" xfId="1244"/>
    <cellStyle name="Note 3 7 2 3 2" xfId="2558"/>
    <cellStyle name="Note 3 7 2 3 2 2" xfId="5182"/>
    <cellStyle name="Note 3 7 2 3 3" xfId="3872"/>
    <cellStyle name="Note 3 7 2 4" xfId="1904"/>
    <cellStyle name="Note 3 7 2 4 2" xfId="4528"/>
    <cellStyle name="Note 3 7 2 5" xfId="3218"/>
    <cellStyle name="Note 3 7 3" xfId="761"/>
    <cellStyle name="Note 3 7 3 2" xfId="1421"/>
    <cellStyle name="Note 3 7 3 2 2" xfId="2734"/>
    <cellStyle name="Note 3 7 3 2 2 2" xfId="5358"/>
    <cellStyle name="Note 3 7 3 2 3" xfId="4048"/>
    <cellStyle name="Note 3 7 3 3" xfId="2080"/>
    <cellStyle name="Note 3 7 3 3 2" xfId="4704"/>
    <cellStyle name="Note 3 7 3 4" xfId="3394"/>
    <cellStyle name="Note 3 7 4" xfId="1106"/>
    <cellStyle name="Note 3 7 4 2" xfId="2421"/>
    <cellStyle name="Note 3 7 4 2 2" xfId="5045"/>
    <cellStyle name="Note 3 7 4 3" xfId="3735"/>
    <cellStyle name="Note 3 7 5" xfId="1766"/>
    <cellStyle name="Note 3 7 5 2" xfId="4391"/>
    <cellStyle name="Note 3 7 6" xfId="3080"/>
    <cellStyle name="Note 3 8" xfId="343"/>
    <cellStyle name="Note 3 8 2" xfId="573"/>
    <cellStyle name="Note 3 8 2 2" xfId="901"/>
    <cellStyle name="Note 3 8 2 2 2" xfId="1559"/>
    <cellStyle name="Note 3 8 2 2 2 2" xfId="2872"/>
    <cellStyle name="Note 3 8 2 2 2 2 2" xfId="5496"/>
    <cellStyle name="Note 3 8 2 2 2 3" xfId="4186"/>
    <cellStyle name="Note 3 8 2 2 3" xfId="2218"/>
    <cellStyle name="Note 3 8 2 2 3 2" xfId="4842"/>
    <cellStyle name="Note 3 8 2 2 4" xfId="3532"/>
    <cellStyle name="Note 3 8 2 3" xfId="1245"/>
    <cellStyle name="Note 3 8 2 3 2" xfId="2559"/>
    <cellStyle name="Note 3 8 2 3 2 2" xfId="5183"/>
    <cellStyle name="Note 3 8 2 3 3" xfId="3873"/>
    <cellStyle name="Note 3 8 2 4" xfId="1905"/>
    <cellStyle name="Note 3 8 2 4 2" xfId="4529"/>
    <cellStyle name="Note 3 8 2 5" xfId="3219"/>
    <cellStyle name="Note 3 8 3" xfId="762"/>
    <cellStyle name="Note 3 8 3 2" xfId="1422"/>
    <cellStyle name="Note 3 8 3 2 2" xfId="2735"/>
    <cellStyle name="Note 3 8 3 2 2 2" xfId="5359"/>
    <cellStyle name="Note 3 8 3 2 3" xfId="4049"/>
    <cellStyle name="Note 3 8 3 3" xfId="2081"/>
    <cellStyle name="Note 3 8 3 3 2" xfId="4705"/>
    <cellStyle name="Note 3 8 3 4" xfId="3395"/>
    <cellStyle name="Note 3 8 4" xfId="1107"/>
    <cellStyle name="Note 3 8 4 2" xfId="2422"/>
    <cellStyle name="Note 3 8 4 2 2" xfId="5046"/>
    <cellStyle name="Note 3 8 4 3" xfId="3736"/>
    <cellStyle name="Note 3 8 5" xfId="1767"/>
    <cellStyle name="Note 3 8 5 2" xfId="4392"/>
    <cellStyle name="Note 3 8 6" xfId="3081"/>
    <cellStyle name="Note 3 9" xfId="344"/>
    <cellStyle name="Note 3 9 2" xfId="574"/>
    <cellStyle name="Note 3 9 2 2" xfId="902"/>
    <cellStyle name="Note 3 9 2 2 2" xfId="1560"/>
    <cellStyle name="Note 3 9 2 2 2 2" xfId="2873"/>
    <cellStyle name="Note 3 9 2 2 2 2 2" xfId="5497"/>
    <cellStyle name="Note 3 9 2 2 2 3" xfId="4187"/>
    <cellStyle name="Note 3 9 2 2 3" xfId="2219"/>
    <cellStyle name="Note 3 9 2 2 3 2" xfId="4843"/>
    <cellStyle name="Note 3 9 2 2 4" xfId="3533"/>
    <cellStyle name="Note 3 9 2 3" xfId="1246"/>
    <cellStyle name="Note 3 9 2 3 2" xfId="2560"/>
    <cellStyle name="Note 3 9 2 3 2 2" xfId="5184"/>
    <cellStyle name="Note 3 9 2 3 3" xfId="3874"/>
    <cellStyle name="Note 3 9 2 4" xfId="1906"/>
    <cellStyle name="Note 3 9 2 4 2" xfId="4530"/>
    <cellStyle name="Note 3 9 2 5" xfId="3220"/>
    <cellStyle name="Note 3 9 3" xfId="763"/>
    <cellStyle name="Note 3 9 3 2" xfId="1423"/>
    <cellStyle name="Note 3 9 3 2 2" xfId="2736"/>
    <cellStyle name="Note 3 9 3 2 2 2" xfId="5360"/>
    <cellStyle name="Note 3 9 3 2 3" xfId="4050"/>
    <cellStyle name="Note 3 9 3 3" xfId="2082"/>
    <cellStyle name="Note 3 9 3 3 2" xfId="4706"/>
    <cellStyle name="Note 3 9 3 4" xfId="3396"/>
    <cellStyle name="Note 3 9 4" xfId="1108"/>
    <cellStyle name="Note 3 9 4 2" xfId="2423"/>
    <cellStyle name="Note 3 9 4 2 2" xfId="5047"/>
    <cellStyle name="Note 3 9 4 3" xfId="3737"/>
    <cellStyle name="Note 3 9 5" xfId="1768"/>
    <cellStyle name="Note 3 9 5 2" xfId="4393"/>
    <cellStyle name="Note 3 9 6" xfId="3082"/>
    <cellStyle name="Note 4" xfId="345"/>
    <cellStyle name="Note 4 10" xfId="346"/>
    <cellStyle name="Note 4 10 2" xfId="576"/>
    <cellStyle name="Note 4 10 2 2" xfId="904"/>
    <cellStyle name="Note 4 10 2 2 2" xfId="1562"/>
    <cellStyle name="Note 4 10 2 2 2 2" xfId="2875"/>
    <cellStyle name="Note 4 10 2 2 2 2 2" xfId="5499"/>
    <cellStyle name="Note 4 10 2 2 2 3" xfId="4189"/>
    <cellStyle name="Note 4 10 2 2 3" xfId="2221"/>
    <cellStyle name="Note 4 10 2 2 3 2" xfId="4845"/>
    <cellStyle name="Note 4 10 2 2 4" xfId="3535"/>
    <cellStyle name="Note 4 10 2 3" xfId="1248"/>
    <cellStyle name="Note 4 10 2 3 2" xfId="2562"/>
    <cellStyle name="Note 4 10 2 3 2 2" xfId="5186"/>
    <cellStyle name="Note 4 10 2 3 3" xfId="3876"/>
    <cellStyle name="Note 4 10 2 4" xfId="1908"/>
    <cellStyle name="Note 4 10 2 4 2" xfId="4532"/>
    <cellStyle name="Note 4 10 2 5" xfId="3222"/>
    <cellStyle name="Note 4 10 3" xfId="765"/>
    <cellStyle name="Note 4 10 3 2" xfId="1425"/>
    <cellStyle name="Note 4 10 3 2 2" xfId="2738"/>
    <cellStyle name="Note 4 10 3 2 2 2" xfId="5362"/>
    <cellStyle name="Note 4 10 3 2 3" xfId="4052"/>
    <cellStyle name="Note 4 10 3 3" xfId="2084"/>
    <cellStyle name="Note 4 10 3 3 2" xfId="4708"/>
    <cellStyle name="Note 4 10 3 4" xfId="3398"/>
    <cellStyle name="Note 4 10 4" xfId="1110"/>
    <cellStyle name="Note 4 10 4 2" xfId="2425"/>
    <cellStyle name="Note 4 10 4 2 2" xfId="5049"/>
    <cellStyle name="Note 4 10 4 3" xfId="3739"/>
    <cellStyle name="Note 4 10 5" xfId="1770"/>
    <cellStyle name="Note 4 10 5 2" xfId="4395"/>
    <cellStyle name="Note 4 10 6" xfId="3084"/>
    <cellStyle name="Note 4 11" xfId="347"/>
    <cellStyle name="Note 4 11 2" xfId="577"/>
    <cellStyle name="Note 4 11 2 2" xfId="905"/>
    <cellStyle name="Note 4 11 2 2 2" xfId="1563"/>
    <cellStyle name="Note 4 11 2 2 2 2" xfId="2876"/>
    <cellStyle name="Note 4 11 2 2 2 2 2" xfId="5500"/>
    <cellStyle name="Note 4 11 2 2 2 3" xfId="4190"/>
    <cellStyle name="Note 4 11 2 2 3" xfId="2222"/>
    <cellStyle name="Note 4 11 2 2 3 2" xfId="4846"/>
    <cellStyle name="Note 4 11 2 2 4" xfId="3536"/>
    <cellStyle name="Note 4 11 2 3" xfId="1249"/>
    <cellStyle name="Note 4 11 2 3 2" xfId="2563"/>
    <cellStyle name="Note 4 11 2 3 2 2" xfId="5187"/>
    <cellStyle name="Note 4 11 2 3 3" xfId="3877"/>
    <cellStyle name="Note 4 11 2 4" xfId="1909"/>
    <cellStyle name="Note 4 11 2 4 2" xfId="4533"/>
    <cellStyle name="Note 4 11 2 5" xfId="3223"/>
    <cellStyle name="Note 4 11 3" xfId="766"/>
    <cellStyle name="Note 4 11 3 2" xfId="1426"/>
    <cellStyle name="Note 4 11 3 2 2" xfId="2739"/>
    <cellStyle name="Note 4 11 3 2 2 2" xfId="5363"/>
    <cellStyle name="Note 4 11 3 2 3" xfId="4053"/>
    <cellStyle name="Note 4 11 3 3" xfId="2085"/>
    <cellStyle name="Note 4 11 3 3 2" xfId="4709"/>
    <cellStyle name="Note 4 11 3 4" xfId="3399"/>
    <cellStyle name="Note 4 11 4" xfId="1111"/>
    <cellStyle name="Note 4 11 4 2" xfId="2426"/>
    <cellStyle name="Note 4 11 4 2 2" xfId="5050"/>
    <cellStyle name="Note 4 11 4 3" xfId="3740"/>
    <cellStyle name="Note 4 11 5" xfId="1771"/>
    <cellStyle name="Note 4 11 5 2" xfId="4396"/>
    <cellStyle name="Note 4 11 6" xfId="3085"/>
    <cellStyle name="Note 4 12" xfId="348"/>
    <cellStyle name="Note 4 12 2" xfId="578"/>
    <cellStyle name="Note 4 12 2 2" xfId="906"/>
    <cellStyle name="Note 4 12 2 2 2" xfId="1564"/>
    <cellStyle name="Note 4 12 2 2 2 2" xfId="2877"/>
    <cellStyle name="Note 4 12 2 2 2 2 2" xfId="5501"/>
    <cellStyle name="Note 4 12 2 2 2 3" xfId="4191"/>
    <cellStyle name="Note 4 12 2 2 3" xfId="2223"/>
    <cellStyle name="Note 4 12 2 2 3 2" xfId="4847"/>
    <cellStyle name="Note 4 12 2 2 4" xfId="3537"/>
    <cellStyle name="Note 4 12 2 3" xfId="1250"/>
    <cellStyle name="Note 4 12 2 3 2" xfId="2564"/>
    <cellStyle name="Note 4 12 2 3 2 2" xfId="5188"/>
    <cellStyle name="Note 4 12 2 3 3" xfId="3878"/>
    <cellStyle name="Note 4 12 2 4" xfId="1910"/>
    <cellStyle name="Note 4 12 2 4 2" xfId="4534"/>
    <cellStyle name="Note 4 12 2 5" xfId="3224"/>
    <cellStyle name="Note 4 12 3" xfId="767"/>
    <cellStyle name="Note 4 12 3 2" xfId="1427"/>
    <cellStyle name="Note 4 12 3 2 2" xfId="2740"/>
    <cellStyle name="Note 4 12 3 2 2 2" xfId="5364"/>
    <cellStyle name="Note 4 12 3 2 3" xfId="4054"/>
    <cellStyle name="Note 4 12 3 3" xfId="2086"/>
    <cellStyle name="Note 4 12 3 3 2" xfId="4710"/>
    <cellStyle name="Note 4 12 3 4" xfId="3400"/>
    <cellStyle name="Note 4 12 4" xfId="1112"/>
    <cellStyle name="Note 4 12 4 2" xfId="2427"/>
    <cellStyle name="Note 4 12 4 2 2" xfId="5051"/>
    <cellStyle name="Note 4 12 4 3" xfId="3741"/>
    <cellStyle name="Note 4 12 5" xfId="1772"/>
    <cellStyle name="Note 4 12 5 2" xfId="4397"/>
    <cellStyle name="Note 4 12 6" xfId="3086"/>
    <cellStyle name="Note 4 13" xfId="575"/>
    <cellStyle name="Note 4 13 2" xfId="903"/>
    <cellStyle name="Note 4 13 2 2" xfId="1561"/>
    <cellStyle name="Note 4 13 2 2 2" xfId="2874"/>
    <cellStyle name="Note 4 13 2 2 2 2" xfId="5498"/>
    <cellStyle name="Note 4 13 2 2 3" xfId="4188"/>
    <cellStyle name="Note 4 13 2 3" xfId="2220"/>
    <cellStyle name="Note 4 13 2 3 2" xfId="4844"/>
    <cellStyle name="Note 4 13 2 4" xfId="3534"/>
    <cellStyle name="Note 4 13 3" xfId="1247"/>
    <cellStyle name="Note 4 13 3 2" xfId="2561"/>
    <cellStyle name="Note 4 13 3 2 2" xfId="5185"/>
    <cellStyle name="Note 4 13 3 3" xfId="3875"/>
    <cellStyle name="Note 4 13 4" xfId="1907"/>
    <cellStyle name="Note 4 13 4 2" xfId="4531"/>
    <cellStyle name="Note 4 13 5" xfId="3221"/>
    <cellStyle name="Note 4 14" xfId="764"/>
    <cellStyle name="Note 4 14 2" xfId="1424"/>
    <cellStyle name="Note 4 14 2 2" xfId="2737"/>
    <cellStyle name="Note 4 14 2 2 2" xfId="5361"/>
    <cellStyle name="Note 4 14 2 3" xfId="4051"/>
    <cellStyle name="Note 4 14 3" xfId="2083"/>
    <cellStyle name="Note 4 14 3 2" xfId="4707"/>
    <cellStyle name="Note 4 14 4" xfId="3397"/>
    <cellStyle name="Note 4 15" xfId="1109"/>
    <cellStyle name="Note 4 15 2" xfId="2424"/>
    <cellStyle name="Note 4 15 2 2" xfId="5048"/>
    <cellStyle name="Note 4 15 3" xfId="3738"/>
    <cellStyle name="Note 4 16" xfId="1769"/>
    <cellStyle name="Note 4 16 2" xfId="4394"/>
    <cellStyle name="Note 4 17" xfId="3083"/>
    <cellStyle name="Note 4 2" xfId="349"/>
    <cellStyle name="Note 4 2 2" xfId="579"/>
    <cellStyle name="Note 4 2 2 2" xfId="907"/>
    <cellStyle name="Note 4 2 2 2 2" xfId="1565"/>
    <cellStyle name="Note 4 2 2 2 2 2" xfId="2878"/>
    <cellStyle name="Note 4 2 2 2 2 2 2" xfId="5502"/>
    <cellStyle name="Note 4 2 2 2 2 3" xfId="4192"/>
    <cellStyle name="Note 4 2 2 2 3" xfId="2224"/>
    <cellStyle name="Note 4 2 2 2 3 2" xfId="4848"/>
    <cellStyle name="Note 4 2 2 2 4" xfId="3538"/>
    <cellStyle name="Note 4 2 2 3" xfId="1251"/>
    <cellStyle name="Note 4 2 2 3 2" xfId="2565"/>
    <cellStyle name="Note 4 2 2 3 2 2" xfId="5189"/>
    <cellStyle name="Note 4 2 2 3 3" xfId="3879"/>
    <cellStyle name="Note 4 2 2 4" xfId="1911"/>
    <cellStyle name="Note 4 2 2 4 2" xfId="4535"/>
    <cellStyle name="Note 4 2 2 5" xfId="3225"/>
    <cellStyle name="Note 4 2 3" xfId="768"/>
    <cellStyle name="Note 4 2 3 2" xfId="1428"/>
    <cellStyle name="Note 4 2 3 2 2" xfId="2741"/>
    <cellStyle name="Note 4 2 3 2 2 2" xfId="5365"/>
    <cellStyle name="Note 4 2 3 2 3" xfId="4055"/>
    <cellStyle name="Note 4 2 3 3" xfId="2087"/>
    <cellStyle name="Note 4 2 3 3 2" xfId="4711"/>
    <cellStyle name="Note 4 2 3 4" xfId="3401"/>
    <cellStyle name="Note 4 2 4" xfId="1113"/>
    <cellStyle name="Note 4 2 4 2" xfId="2428"/>
    <cellStyle name="Note 4 2 4 2 2" xfId="5052"/>
    <cellStyle name="Note 4 2 4 3" xfId="3742"/>
    <cellStyle name="Note 4 2 5" xfId="1773"/>
    <cellStyle name="Note 4 2 5 2" xfId="4398"/>
    <cellStyle name="Note 4 2 6" xfId="3087"/>
    <cellStyle name="Note 4 3" xfId="350"/>
    <cellStyle name="Note 4 3 2" xfId="580"/>
    <cellStyle name="Note 4 3 2 2" xfId="908"/>
    <cellStyle name="Note 4 3 2 2 2" xfId="1566"/>
    <cellStyle name="Note 4 3 2 2 2 2" xfId="2879"/>
    <cellStyle name="Note 4 3 2 2 2 2 2" xfId="5503"/>
    <cellStyle name="Note 4 3 2 2 2 3" xfId="4193"/>
    <cellStyle name="Note 4 3 2 2 3" xfId="2225"/>
    <cellStyle name="Note 4 3 2 2 3 2" xfId="4849"/>
    <cellStyle name="Note 4 3 2 2 4" xfId="3539"/>
    <cellStyle name="Note 4 3 2 3" xfId="1252"/>
    <cellStyle name="Note 4 3 2 3 2" xfId="2566"/>
    <cellStyle name="Note 4 3 2 3 2 2" xfId="5190"/>
    <cellStyle name="Note 4 3 2 3 3" xfId="3880"/>
    <cellStyle name="Note 4 3 2 4" xfId="1912"/>
    <cellStyle name="Note 4 3 2 4 2" xfId="4536"/>
    <cellStyle name="Note 4 3 2 5" xfId="3226"/>
    <cellStyle name="Note 4 3 3" xfId="769"/>
    <cellStyle name="Note 4 3 3 2" xfId="1429"/>
    <cellStyle name="Note 4 3 3 2 2" xfId="2742"/>
    <cellStyle name="Note 4 3 3 2 2 2" xfId="5366"/>
    <cellStyle name="Note 4 3 3 2 3" xfId="4056"/>
    <cellStyle name="Note 4 3 3 3" xfId="2088"/>
    <cellStyle name="Note 4 3 3 3 2" xfId="4712"/>
    <cellStyle name="Note 4 3 3 4" xfId="3402"/>
    <cellStyle name="Note 4 3 4" xfId="1114"/>
    <cellStyle name="Note 4 3 4 2" xfId="2429"/>
    <cellStyle name="Note 4 3 4 2 2" xfId="5053"/>
    <cellStyle name="Note 4 3 4 3" xfId="3743"/>
    <cellStyle name="Note 4 3 5" xfId="1774"/>
    <cellStyle name="Note 4 3 5 2" xfId="4399"/>
    <cellStyle name="Note 4 3 6" xfId="3088"/>
    <cellStyle name="Note 4 4" xfId="351"/>
    <cellStyle name="Note 4 4 2" xfId="581"/>
    <cellStyle name="Note 4 4 2 2" xfId="909"/>
    <cellStyle name="Note 4 4 2 2 2" xfId="1567"/>
    <cellStyle name="Note 4 4 2 2 2 2" xfId="2880"/>
    <cellStyle name="Note 4 4 2 2 2 2 2" xfId="5504"/>
    <cellStyle name="Note 4 4 2 2 2 3" xfId="4194"/>
    <cellStyle name="Note 4 4 2 2 3" xfId="2226"/>
    <cellStyle name="Note 4 4 2 2 3 2" xfId="4850"/>
    <cellStyle name="Note 4 4 2 2 4" xfId="3540"/>
    <cellStyle name="Note 4 4 2 3" xfId="1253"/>
    <cellStyle name="Note 4 4 2 3 2" xfId="2567"/>
    <cellStyle name="Note 4 4 2 3 2 2" xfId="5191"/>
    <cellStyle name="Note 4 4 2 3 3" xfId="3881"/>
    <cellStyle name="Note 4 4 2 4" xfId="1913"/>
    <cellStyle name="Note 4 4 2 4 2" xfId="4537"/>
    <cellStyle name="Note 4 4 2 5" xfId="3227"/>
    <cellStyle name="Note 4 4 3" xfId="770"/>
    <cellStyle name="Note 4 4 3 2" xfId="1430"/>
    <cellStyle name="Note 4 4 3 2 2" xfId="2743"/>
    <cellStyle name="Note 4 4 3 2 2 2" xfId="5367"/>
    <cellStyle name="Note 4 4 3 2 3" xfId="4057"/>
    <cellStyle name="Note 4 4 3 3" xfId="2089"/>
    <cellStyle name="Note 4 4 3 3 2" xfId="4713"/>
    <cellStyle name="Note 4 4 3 4" xfId="3403"/>
    <cellStyle name="Note 4 4 4" xfId="1115"/>
    <cellStyle name="Note 4 4 4 2" xfId="2430"/>
    <cellStyle name="Note 4 4 4 2 2" xfId="5054"/>
    <cellStyle name="Note 4 4 4 3" xfId="3744"/>
    <cellStyle name="Note 4 4 5" xfId="1775"/>
    <cellStyle name="Note 4 4 5 2" xfId="4400"/>
    <cellStyle name="Note 4 4 6" xfId="3089"/>
    <cellStyle name="Note 4 5" xfId="352"/>
    <cellStyle name="Note 4 5 2" xfId="582"/>
    <cellStyle name="Note 4 5 2 2" xfId="910"/>
    <cellStyle name="Note 4 5 2 2 2" xfId="1568"/>
    <cellStyle name="Note 4 5 2 2 2 2" xfId="2881"/>
    <cellStyle name="Note 4 5 2 2 2 2 2" xfId="5505"/>
    <cellStyle name="Note 4 5 2 2 2 3" xfId="4195"/>
    <cellStyle name="Note 4 5 2 2 3" xfId="2227"/>
    <cellStyle name="Note 4 5 2 2 3 2" xfId="4851"/>
    <cellStyle name="Note 4 5 2 2 4" xfId="3541"/>
    <cellStyle name="Note 4 5 2 3" xfId="1254"/>
    <cellStyle name="Note 4 5 2 3 2" xfId="2568"/>
    <cellStyle name="Note 4 5 2 3 2 2" xfId="5192"/>
    <cellStyle name="Note 4 5 2 3 3" xfId="3882"/>
    <cellStyle name="Note 4 5 2 4" xfId="1914"/>
    <cellStyle name="Note 4 5 2 4 2" xfId="4538"/>
    <cellStyle name="Note 4 5 2 5" xfId="3228"/>
    <cellStyle name="Note 4 5 3" xfId="771"/>
    <cellStyle name="Note 4 5 3 2" xfId="1431"/>
    <cellStyle name="Note 4 5 3 2 2" xfId="2744"/>
    <cellStyle name="Note 4 5 3 2 2 2" xfId="5368"/>
    <cellStyle name="Note 4 5 3 2 3" xfId="4058"/>
    <cellStyle name="Note 4 5 3 3" xfId="2090"/>
    <cellStyle name="Note 4 5 3 3 2" xfId="4714"/>
    <cellStyle name="Note 4 5 3 4" xfId="3404"/>
    <cellStyle name="Note 4 5 4" xfId="1116"/>
    <cellStyle name="Note 4 5 4 2" xfId="2431"/>
    <cellStyle name="Note 4 5 4 2 2" xfId="5055"/>
    <cellStyle name="Note 4 5 4 3" xfId="3745"/>
    <cellStyle name="Note 4 5 5" xfId="1776"/>
    <cellStyle name="Note 4 5 5 2" xfId="4401"/>
    <cellStyle name="Note 4 5 6" xfId="3090"/>
    <cellStyle name="Note 4 6" xfId="353"/>
    <cellStyle name="Note 4 6 2" xfId="583"/>
    <cellStyle name="Note 4 6 2 2" xfId="911"/>
    <cellStyle name="Note 4 6 2 2 2" xfId="1569"/>
    <cellStyle name="Note 4 6 2 2 2 2" xfId="2882"/>
    <cellStyle name="Note 4 6 2 2 2 2 2" xfId="5506"/>
    <cellStyle name="Note 4 6 2 2 2 3" xfId="4196"/>
    <cellStyle name="Note 4 6 2 2 3" xfId="2228"/>
    <cellStyle name="Note 4 6 2 2 3 2" xfId="4852"/>
    <cellStyle name="Note 4 6 2 2 4" xfId="3542"/>
    <cellStyle name="Note 4 6 2 3" xfId="1255"/>
    <cellStyle name="Note 4 6 2 3 2" xfId="2569"/>
    <cellStyle name="Note 4 6 2 3 2 2" xfId="5193"/>
    <cellStyle name="Note 4 6 2 3 3" xfId="3883"/>
    <cellStyle name="Note 4 6 2 4" xfId="1915"/>
    <cellStyle name="Note 4 6 2 4 2" xfId="4539"/>
    <cellStyle name="Note 4 6 2 5" xfId="3229"/>
    <cellStyle name="Note 4 6 3" xfId="772"/>
    <cellStyle name="Note 4 6 3 2" xfId="1432"/>
    <cellStyle name="Note 4 6 3 2 2" xfId="2745"/>
    <cellStyle name="Note 4 6 3 2 2 2" xfId="5369"/>
    <cellStyle name="Note 4 6 3 2 3" xfId="4059"/>
    <cellStyle name="Note 4 6 3 3" xfId="2091"/>
    <cellStyle name="Note 4 6 3 3 2" xfId="4715"/>
    <cellStyle name="Note 4 6 3 4" xfId="3405"/>
    <cellStyle name="Note 4 6 4" xfId="1117"/>
    <cellStyle name="Note 4 6 4 2" xfId="2432"/>
    <cellStyle name="Note 4 6 4 2 2" xfId="5056"/>
    <cellStyle name="Note 4 6 4 3" xfId="3746"/>
    <cellStyle name="Note 4 6 5" xfId="1777"/>
    <cellStyle name="Note 4 6 5 2" xfId="4402"/>
    <cellStyle name="Note 4 6 6" xfId="3091"/>
    <cellStyle name="Note 4 7" xfId="354"/>
    <cellStyle name="Note 4 7 2" xfId="584"/>
    <cellStyle name="Note 4 7 2 2" xfId="912"/>
    <cellStyle name="Note 4 7 2 2 2" xfId="1570"/>
    <cellStyle name="Note 4 7 2 2 2 2" xfId="2883"/>
    <cellStyle name="Note 4 7 2 2 2 2 2" xfId="5507"/>
    <cellStyle name="Note 4 7 2 2 2 3" xfId="4197"/>
    <cellStyle name="Note 4 7 2 2 3" xfId="2229"/>
    <cellStyle name="Note 4 7 2 2 3 2" xfId="4853"/>
    <cellStyle name="Note 4 7 2 2 4" xfId="3543"/>
    <cellStyle name="Note 4 7 2 3" xfId="1256"/>
    <cellStyle name="Note 4 7 2 3 2" xfId="2570"/>
    <cellStyle name="Note 4 7 2 3 2 2" xfId="5194"/>
    <cellStyle name="Note 4 7 2 3 3" xfId="3884"/>
    <cellStyle name="Note 4 7 2 4" xfId="1916"/>
    <cellStyle name="Note 4 7 2 4 2" xfId="4540"/>
    <cellStyle name="Note 4 7 2 5" xfId="3230"/>
    <cellStyle name="Note 4 7 3" xfId="773"/>
    <cellStyle name="Note 4 7 3 2" xfId="1433"/>
    <cellStyle name="Note 4 7 3 2 2" xfId="2746"/>
    <cellStyle name="Note 4 7 3 2 2 2" xfId="5370"/>
    <cellStyle name="Note 4 7 3 2 3" xfId="4060"/>
    <cellStyle name="Note 4 7 3 3" xfId="2092"/>
    <cellStyle name="Note 4 7 3 3 2" xfId="4716"/>
    <cellStyle name="Note 4 7 3 4" xfId="3406"/>
    <cellStyle name="Note 4 7 4" xfId="1118"/>
    <cellStyle name="Note 4 7 4 2" xfId="2433"/>
    <cellStyle name="Note 4 7 4 2 2" xfId="5057"/>
    <cellStyle name="Note 4 7 4 3" xfId="3747"/>
    <cellStyle name="Note 4 7 5" xfId="1778"/>
    <cellStyle name="Note 4 7 5 2" xfId="4403"/>
    <cellStyle name="Note 4 7 6" xfId="3092"/>
    <cellStyle name="Note 4 8" xfId="355"/>
    <cellStyle name="Note 4 8 2" xfId="585"/>
    <cellStyle name="Note 4 8 2 2" xfId="913"/>
    <cellStyle name="Note 4 8 2 2 2" xfId="1571"/>
    <cellStyle name="Note 4 8 2 2 2 2" xfId="2884"/>
    <cellStyle name="Note 4 8 2 2 2 2 2" xfId="5508"/>
    <cellStyle name="Note 4 8 2 2 2 3" xfId="4198"/>
    <cellStyle name="Note 4 8 2 2 3" xfId="2230"/>
    <cellStyle name="Note 4 8 2 2 3 2" xfId="4854"/>
    <cellStyle name="Note 4 8 2 2 4" xfId="3544"/>
    <cellStyle name="Note 4 8 2 3" xfId="1257"/>
    <cellStyle name="Note 4 8 2 3 2" xfId="2571"/>
    <cellStyle name="Note 4 8 2 3 2 2" xfId="5195"/>
    <cellStyle name="Note 4 8 2 3 3" xfId="3885"/>
    <cellStyle name="Note 4 8 2 4" xfId="1917"/>
    <cellStyle name="Note 4 8 2 4 2" xfId="4541"/>
    <cellStyle name="Note 4 8 2 5" xfId="3231"/>
    <cellStyle name="Note 4 8 3" xfId="774"/>
    <cellStyle name="Note 4 8 3 2" xfId="1434"/>
    <cellStyle name="Note 4 8 3 2 2" xfId="2747"/>
    <cellStyle name="Note 4 8 3 2 2 2" xfId="5371"/>
    <cellStyle name="Note 4 8 3 2 3" xfId="4061"/>
    <cellStyle name="Note 4 8 3 3" xfId="2093"/>
    <cellStyle name="Note 4 8 3 3 2" xfId="4717"/>
    <cellStyle name="Note 4 8 3 4" xfId="3407"/>
    <cellStyle name="Note 4 8 4" xfId="1119"/>
    <cellStyle name="Note 4 8 4 2" xfId="2434"/>
    <cellStyle name="Note 4 8 4 2 2" xfId="5058"/>
    <cellStyle name="Note 4 8 4 3" xfId="3748"/>
    <cellStyle name="Note 4 8 5" xfId="1779"/>
    <cellStyle name="Note 4 8 5 2" xfId="4404"/>
    <cellStyle name="Note 4 8 6" xfId="3093"/>
    <cellStyle name="Note 4 9" xfId="356"/>
    <cellStyle name="Note 4 9 2" xfId="586"/>
    <cellStyle name="Note 4 9 2 2" xfId="914"/>
    <cellStyle name="Note 4 9 2 2 2" xfId="1572"/>
    <cellStyle name="Note 4 9 2 2 2 2" xfId="2885"/>
    <cellStyle name="Note 4 9 2 2 2 2 2" xfId="5509"/>
    <cellStyle name="Note 4 9 2 2 2 3" xfId="4199"/>
    <cellStyle name="Note 4 9 2 2 3" xfId="2231"/>
    <cellStyle name="Note 4 9 2 2 3 2" xfId="4855"/>
    <cellStyle name="Note 4 9 2 2 4" xfId="3545"/>
    <cellStyle name="Note 4 9 2 3" xfId="1258"/>
    <cellStyle name="Note 4 9 2 3 2" xfId="2572"/>
    <cellStyle name="Note 4 9 2 3 2 2" xfId="5196"/>
    <cellStyle name="Note 4 9 2 3 3" xfId="3886"/>
    <cellStyle name="Note 4 9 2 4" xfId="1918"/>
    <cellStyle name="Note 4 9 2 4 2" xfId="4542"/>
    <cellStyle name="Note 4 9 2 5" xfId="3232"/>
    <cellStyle name="Note 4 9 3" xfId="775"/>
    <cellStyle name="Note 4 9 3 2" xfId="1435"/>
    <cellStyle name="Note 4 9 3 2 2" xfId="2748"/>
    <cellStyle name="Note 4 9 3 2 2 2" xfId="5372"/>
    <cellStyle name="Note 4 9 3 2 3" xfId="4062"/>
    <cellStyle name="Note 4 9 3 3" xfId="2094"/>
    <cellStyle name="Note 4 9 3 3 2" xfId="4718"/>
    <cellStyle name="Note 4 9 3 4" xfId="3408"/>
    <cellStyle name="Note 4 9 4" xfId="1120"/>
    <cellStyle name="Note 4 9 4 2" xfId="2435"/>
    <cellStyle name="Note 4 9 4 2 2" xfId="5059"/>
    <cellStyle name="Note 4 9 4 3" xfId="3749"/>
    <cellStyle name="Note 4 9 5" xfId="1780"/>
    <cellStyle name="Note 4 9 5 2" xfId="4405"/>
    <cellStyle name="Note 4 9 6" xfId="3094"/>
    <cellStyle name="Note 5" xfId="357"/>
    <cellStyle name="Note 5 10" xfId="776"/>
    <cellStyle name="Note 5 10 2" xfId="1436"/>
    <cellStyle name="Note 5 10 2 2" xfId="2749"/>
    <cellStyle name="Note 5 10 2 2 2" xfId="5373"/>
    <cellStyle name="Note 5 10 2 3" xfId="4063"/>
    <cellStyle name="Note 5 10 3" xfId="2095"/>
    <cellStyle name="Note 5 10 3 2" xfId="4719"/>
    <cellStyle name="Note 5 10 4" xfId="3409"/>
    <cellStyle name="Note 5 11" xfId="1121"/>
    <cellStyle name="Note 5 11 2" xfId="2436"/>
    <cellStyle name="Note 5 11 2 2" xfId="5060"/>
    <cellStyle name="Note 5 11 3" xfId="3750"/>
    <cellStyle name="Note 5 12" xfId="1781"/>
    <cellStyle name="Note 5 12 2" xfId="4406"/>
    <cellStyle name="Note 5 13" xfId="3095"/>
    <cellStyle name="Note 5 2" xfId="358"/>
    <cellStyle name="Note 5 2 2" xfId="588"/>
    <cellStyle name="Note 5 2 2 2" xfId="916"/>
    <cellStyle name="Note 5 2 2 2 2" xfId="1574"/>
    <cellStyle name="Note 5 2 2 2 2 2" xfId="2887"/>
    <cellStyle name="Note 5 2 2 2 2 2 2" xfId="5511"/>
    <cellStyle name="Note 5 2 2 2 2 3" xfId="4201"/>
    <cellStyle name="Note 5 2 2 2 3" xfId="2233"/>
    <cellStyle name="Note 5 2 2 2 3 2" xfId="4857"/>
    <cellStyle name="Note 5 2 2 2 4" xfId="3547"/>
    <cellStyle name="Note 5 2 2 3" xfId="1260"/>
    <cellStyle name="Note 5 2 2 3 2" xfId="2574"/>
    <cellStyle name="Note 5 2 2 3 2 2" xfId="5198"/>
    <cellStyle name="Note 5 2 2 3 3" xfId="3888"/>
    <cellStyle name="Note 5 2 2 4" xfId="1920"/>
    <cellStyle name="Note 5 2 2 4 2" xfId="4544"/>
    <cellStyle name="Note 5 2 2 5" xfId="3234"/>
    <cellStyle name="Note 5 2 3" xfId="777"/>
    <cellStyle name="Note 5 2 3 2" xfId="1437"/>
    <cellStyle name="Note 5 2 3 2 2" xfId="2750"/>
    <cellStyle name="Note 5 2 3 2 2 2" xfId="5374"/>
    <cellStyle name="Note 5 2 3 2 3" xfId="4064"/>
    <cellStyle name="Note 5 2 3 3" xfId="2096"/>
    <cellStyle name="Note 5 2 3 3 2" xfId="4720"/>
    <cellStyle name="Note 5 2 3 4" xfId="3410"/>
    <cellStyle name="Note 5 2 4" xfId="1122"/>
    <cellStyle name="Note 5 2 4 2" xfId="2437"/>
    <cellStyle name="Note 5 2 4 2 2" xfId="5061"/>
    <cellStyle name="Note 5 2 4 3" xfId="3751"/>
    <cellStyle name="Note 5 2 5" xfId="1782"/>
    <cellStyle name="Note 5 2 5 2" xfId="4407"/>
    <cellStyle name="Note 5 2 6" xfId="3096"/>
    <cellStyle name="Note 5 3" xfId="359"/>
    <cellStyle name="Note 5 3 2" xfId="589"/>
    <cellStyle name="Note 5 3 2 2" xfId="917"/>
    <cellStyle name="Note 5 3 2 2 2" xfId="1575"/>
    <cellStyle name="Note 5 3 2 2 2 2" xfId="2888"/>
    <cellStyle name="Note 5 3 2 2 2 2 2" xfId="5512"/>
    <cellStyle name="Note 5 3 2 2 2 3" xfId="4202"/>
    <cellStyle name="Note 5 3 2 2 3" xfId="2234"/>
    <cellStyle name="Note 5 3 2 2 3 2" xfId="4858"/>
    <cellStyle name="Note 5 3 2 2 4" xfId="3548"/>
    <cellStyle name="Note 5 3 2 3" xfId="1261"/>
    <cellStyle name="Note 5 3 2 3 2" xfId="2575"/>
    <cellStyle name="Note 5 3 2 3 2 2" xfId="5199"/>
    <cellStyle name="Note 5 3 2 3 3" xfId="3889"/>
    <cellStyle name="Note 5 3 2 4" xfId="1921"/>
    <cellStyle name="Note 5 3 2 4 2" xfId="4545"/>
    <cellStyle name="Note 5 3 2 5" xfId="3235"/>
    <cellStyle name="Note 5 3 3" xfId="778"/>
    <cellStyle name="Note 5 3 3 2" xfId="1438"/>
    <cellStyle name="Note 5 3 3 2 2" xfId="2751"/>
    <cellStyle name="Note 5 3 3 2 2 2" xfId="5375"/>
    <cellStyle name="Note 5 3 3 2 3" xfId="4065"/>
    <cellStyle name="Note 5 3 3 3" xfId="2097"/>
    <cellStyle name="Note 5 3 3 3 2" xfId="4721"/>
    <cellStyle name="Note 5 3 3 4" xfId="3411"/>
    <cellStyle name="Note 5 3 4" xfId="1123"/>
    <cellStyle name="Note 5 3 4 2" xfId="2438"/>
    <cellStyle name="Note 5 3 4 2 2" xfId="5062"/>
    <cellStyle name="Note 5 3 4 3" xfId="3752"/>
    <cellStyle name="Note 5 3 5" xfId="1783"/>
    <cellStyle name="Note 5 3 5 2" xfId="4408"/>
    <cellStyle name="Note 5 3 6" xfId="3097"/>
    <cellStyle name="Note 5 4" xfId="360"/>
    <cellStyle name="Note 5 4 2" xfId="590"/>
    <cellStyle name="Note 5 4 2 2" xfId="918"/>
    <cellStyle name="Note 5 4 2 2 2" xfId="1576"/>
    <cellStyle name="Note 5 4 2 2 2 2" xfId="2889"/>
    <cellStyle name="Note 5 4 2 2 2 2 2" xfId="5513"/>
    <cellStyle name="Note 5 4 2 2 2 3" xfId="4203"/>
    <cellStyle name="Note 5 4 2 2 3" xfId="2235"/>
    <cellStyle name="Note 5 4 2 2 3 2" xfId="4859"/>
    <cellStyle name="Note 5 4 2 2 4" xfId="3549"/>
    <cellStyle name="Note 5 4 2 3" xfId="1262"/>
    <cellStyle name="Note 5 4 2 3 2" xfId="2576"/>
    <cellStyle name="Note 5 4 2 3 2 2" xfId="5200"/>
    <cellStyle name="Note 5 4 2 3 3" xfId="3890"/>
    <cellStyle name="Note 5 4 2 4" xfId="1922"/>
    <cellStyle name="Note 5 4 2 4 2" xfId="4546"/>
    <cellStyle name="Note 5 4 2 5" xfId="3236"/>
    <cellStyle name="Note 5 4 3" xfId="779"/>
    <cellStyle name="Note 5 4 3 2" xfId="1439"/>
    <cellStyle name="Note 5 4 3 2 2" xfId="2752"/>
    <cellStyle name="Note 5 4 3 2 2 2" xfId="5376"/>
    <cellStyle name="Note 5 4 3 2 3" xfId="4066"/>
    <cellStyle name="Note 5 4 3 3" xfId="2098"/>
    <cellStyle name="Note 5 4 3 3 2" xfId="4722"/>
    <cellStyle name="Note 5 4 3 4" xfId="3412"/>
    <cellStyle name="Note 5 4 4" xfId="1124"/>
    <cellStyle name="Note 5 4 4 2" xfId="2439"/>
    <cellStyle name="Note 5 4 4 2 2" xfId="5063"/>
    <cellStyle name="Note 5 4 4 3" xfId="3753"/>
    <cellStyle name="Note 5 4 5" xfId="1784"/>
    <cellStyle name="Note 5 4 5 2" xfId="4409"/>
    <cellStyle name="Note 5 4 6" xfId="3098"/>
    <cellStyle name="Note 5 5" xfId="361"/>
    <cellStyle name="Note 5 5 2" xfId="591"/>
    <cellStyle name="Note 5 5 2 2" xfId="919"/>
    <cellStyle name="Note 5 5 2 2 2" xfId="1577"/>
    <cellStyle name="Note 5 5 2 2 2 2" xfId="2890"/>
    <cellStyle name="Note 5 5 2 2 2 2 2" xfId="5514"/>
    <cellStyle name="Note 5 5 2 2 2 3" xfId="4204"/>
    <cellStyle name="Note 5 5 2 2 3" xfId="2236"/>
    <cellStyle name="Note 5 5 2 2 3 2" xfId="4860"/>
    <cellStyle name="Note 5 5 2 2 4" xfId="3550"/>
    <cellStyle name="Note 5 5 2 3" xfId="1263"/>
    <cellStyle name="Note 5 5 2 3 2" xfId="2577"/>
    <cellStyle name="Note 5 5 2 3 2 2" xfId="5201"/>
    <cellStyle name="Note 5 5 2 3 3" xfId="3891"/>
    <cellStyle name="Note 5 5 2 4" xfId="1923"/>
    <cellStyle name="Note 5 5 2 4 2" xfId="4547"/>
    <cellStyle name="Note 5 5 2 5" xfId="3237"/>
    <cellStyle name="Note 5 5 3" xfId="780"/>
    <cellStyle name="Note 5 5 3 2" xfId="1440"/>
    <cellStyle name="Note 5 5 3 2 2" xfId="2753"/>
    <cellStyle name="Note 5 5 3 2 2 2" xfId="5377"/>
    <cellStyle name="Note 5 5 3 2 3" xfId="4067"/>
    <cellStyle name="Note 5 5 3 3" xfId="2099"/>
    <cellStyle name="Note 5 5 3 3 2" xfId="4723"/>
    <cellStyle name="Note 5 5 3 4" xfId="3413"/>
    <cellStyle name="Note 5 5 4" xfId="1125"/>
    <cellStyle name="Note 5 5 4 2" xfId="2440"/>
    <cellStyle name="Note 5 5 4 2 2" xfId="5064"/>
    <cellStyle name="Note 5 5 4 3" xfId="3754"/>
    <cellStyle name="Note 5 5 5" xfId="1785"/>
    <cellStyle name="Note 5 5 5 2" xfId="4410"/>
    <cellStyle name="Note 5 5 6" xfId="3099"/>
    <cellStyle name="Note 5 6" xfId="362"/>
    <cellStyle name="Note 5 6 2" xfId="592"/>
    <cellStyle name="Note 5 6 2 2" xfId="920"/>
    <cellStyle name="Note 5 6 2 2 2" xfId="1578"/>
    <cellStyle name="Note 5 6 2 2 2 2" xfId="2891"/>
    <cellStyle name="Note 5 6 2 2 2 2 2" xfId="5515"/>
    <cellStyle name="Note 5 6 2 2 2 3" xfId="4205"/>
    <cellStyle name="Note 5 6 2 2 3" xfId="2237"/>
    <cellStyle name="Note 5 6 2 2 3 2" xfId="4861"/>
    <cellStyle name="Note 5 6 2 2 4" xfId="3551"/>
    <cellStyle name="Note 5 6 2 3" xfId="1264"/>
    <cellStyle name="Note 5 6 2 3 2" xfId="2578"/>
    <cellStyle name="Note 5 6 2 3 2 2" xfId="5202"/>
    <cellStyle name="Note 5 6 2 3 3" xfId="3892"/>
    <cellStyle name="Note 5 6 2 4" xfId="1924"/>
    <cellStyle name="Note 5 6 2 4 2" xfId="4548"/>
    <cellStyle name="Note 5 6 2 5" xfId="3238"/>
    <cellStyle name="Note 5 6 3" xfId="781"/>
    <cellStyle name="Note 5 6 3 2" xfId="1441"/>
    <cellStyle name="Note 5 6 3 2 2" xfId="2754"/>
    <cellStyle name="Note 5 6 3 2 2 2" xfId="5378"/>
    <cellStyle name="Note 5 6 3 2 3" xfId="4068"/>
    <cellStyle name="Note 5 6 3 3" xfId="2100"/>
    <cellStyle name="Note 5 6 3 3 2" xfId="4724"/>
    <cellStyle name="Note 5 6 3 4" xfId="3414"/>
    <cellStyle name="Note 5 6 4" xfId="1126"/>
    <cellStyle name="Note 5 6 4 2" xfId="2441"/>
    <cellStyle name="Note 5 6 4 2 2" xfId="5065"/>
    <cellStyle name="Note 5 6 4 3" xfId="3755"/>
    <cellStyle name="Note 5 6 5" xfId="1786"/>
    <cellStyle name="Note 5 6 5 2" xfId="4411"/>
    <cellStyle name="Note 5 6 6" xfId="3100"/>
    <cellStyle name="Note 5 7" xfId="363"/>
    <cellStyle name="Note 5 7 2" xfId="593"/>
    <cellStyle name="Note 5 7 2 2" xfId="921"/>
    <cellStyle name="Note 5 7 2 2 2" xfId="1579"/>
    <cellStyle name="Note 5 7 2 2 2 2" xfId="2892"/>
    <cellStyle name="Note 5 7 2 2 2 2 2" xfId="5516"/>
    <cellStyle name="Note 5 7 2 2 2 3" xfId="4206"/>
    <cellStyle name="Note 5 7 2 2 3" xfId="2238"/>
    <cellStyle name="Note 5 7 2 2 3 2" xfId="4862"/>
    <cellStyle name="Note 5 7 2 2 4" xfId="3552"/>
    <cellStyle name="Note 5 7 2 3" xfId="1265"/>
    <cellStyle name="Note 5 7 2 3 2" xfId="2579"/>
    <cellStyle name="Note 5 7 2 3 2 2" xfId="5203"/>
    <cellStyle name="Note 5 7 2 3 3" xfId="3893"/>
    <cellStyle name="Note 5 7 2 4" xfId="1925"/>
    <cellStyle name="Note 5 7 2 4 2" xfId="4549"/>
    <cellStyle name="Note 5 7 2 5" xfId="3239"/>
    <cellStyle name="Note 5 7 3" xfId="782"/>
    <cellStyle name="Note 5 7 3 2" xfId="1442"/>
    <cellStyle name="Note 5 7 3 2 2" xfId="2755"/>
    <cellStyle name="Note 5 7 3 2 2 2" xfId="5379"/>
    <cellStyle name="Note 5 7 3 2 3" xfId="4069"/>
    <cellStyle name="Note 5 7 3 3" xfId="2101"/>
    <cellStyle name="Note 5 7 3 3 2" xfId="4725"/>
    <cellStyle name="Note 5 7 3 4" xfId="3415"/>
    <cellStyle name="Note 5 7 4" xfId="1127"/>
    <cellStyle name="Note 5 7 4 2" xfId="2442"/>
    <cellStyle name="Note 5 7 4 2 2" xfId="5066"/>
    <cellStyle name="Note 5 7 4 3" xfId="3756"/>
    <cellStyle name="Note 5 7 5" xfId="1787"/>
    <cellStyle name="Note 5 7 5 2" xfId="4412"/>
    <cellStyle name="Note 5 7 6" xfId="3101"/>
    <cellStyle name="Note 5 8" xfId="364"/>
    <cellStyle name="Note 5 8 2" xfId="594"/>
    <cellStyle name="Note 5 8 2 2" xfId="922"/>
    <cellStyle name="Note 5 8 2 2 2" xfId="1580"/>
    <cellStyle name="Note 5 8 2 2 2 2" xfId="2893"/>
    <cellStyle name="Note 5 8 2 2 2 2 2" xfId="5517"/>
    <cellStyle name="Note 5 8 2 2 2 3" xfId="4207"/>
    <cellStyle name="Note 5 8 2 2 3" xfId="2239"/>
    <cellStyle name="Note 5 8 2 2 3 2" xfId="4863"/>
    <cellStyle name="Note 5 8 2 2 4" xfId="3553"/>
    <cellStyle name="Note 5 8 2 3" xfId="1266"/>
    <cellStyle name="Note 5 8 2 3 2" xfId="2580"/>
    <cellStyle name="Note 5 8 2 3 2 2" xfId="5204"/>
    <cellStyle name="Note 5 8 2 3 3" xfId="3894"/>
    <cellStyle name="Note 5 8 2 4" xfId="1926"/>
    <cellStyle name="Note 5 8 2 4 2" xfId="4550"/>
    <cellStyle name="Note 5 8 2 5" xfId="3240"/>
    <cellStyle name="Note 5 8 3" xfId="783"/>
    <cellStyle name="Note 5 8 3 2" xfId="1443"/>
    <cellStyle name="Note 5 8 3 2 2" xfId="2756"/>
    <cellStyle name="Note 5 8 3 2 2 2" xfId="5380"/>
    <cellStyle name="Note 5 8 3 2 3" xfId="4070"/>
    <cellStyle name="Note 5 8 3 3" xfId="2102"/>
    <cellStyle name="Note 5 8 3 3 2" xfId="4726"/>
    <cellStyle name="Note 5 8 3 4" xfId="3416"/>
    <cellStyle name="Note 5 8 4" xfId="1128"/>
    <cellStyle name="Note 5 8 4 2" xfId="2443"/>
    <cellStyle name="Note 5 8 4 2 2" xfId="5067"/>
    <cellStyle name="Note 5 8 4 3" xfId="3757"/>
    <cellStyle name="Note 5 8 5" xfId="1788"/>
    <cellStyle name="Note 5 8 5 2" xfId="4413"/>
    <cellStyle name="Note 5 8 6" xfId="3102"/>
    <cellStyle name="Note 5 9" xfId="587"/>
    <cellStyle name="Note 5 9 2" xfId="915"/>
    <cellStyle name="Note 5 9 2 2" xfId="1573"/>
    <cellStyle name="Note 5 9 2 2 2" xfId="2886"/>
    <cellStyle name="Note 5 9 2 2 2 2" xfId="5510"/>
    <cellStyle name="Note 5 9 2 2 3" xfId="4200"/>
    <cellStyle name="Note 5 9 2 3" xfId="2232"/>
    <cellStyle name="Note 5 9 2 3 2" xfId="4856"/>
    <cellStyle name="Note 5 9 2 4" xfId="3546"/>
    <cellStyle name="Note 5 9 3" xfId="1259"/>
    <cellStyle name="Note 5 9 3 2" xfId="2573"/>
    <cellStyle name="Note 5 9 3 2 2" xfId="5197"/>
    <cellStyle name="Note 5 9 3 3" xfId="3887"/>
    <cellStyle name="Note 5 9 4" xfId="1919"/>
    <cellStyle name="Note 5 9 4 2" xfId="4543"/>
    <cellStyle name="Note 5 9 5" xfId="3233"/>
    <cellStyle name="Note 6" xfId="365"/>
    <cellStyle name="Note 6 10" xfId="784"/>
    <cellStyle name="Note 6 10 2" xfId="1444"/>
    <cellStyle name="Note 6 10 2 2" xfId="2757"/>
    <cellStyle name="Note 6 10 2 2 2" xfId="5381"/>
    <cellStyle name="Note 6 10 2 3" xfId="4071"/>
    <cellStyle name="Note 6 10 3" xfId="2103"/>
    <cellStyle name="Note 6 10 3 2" xfId="4727"/>
    <cellStyle name="Note 6 10 4" xfId="3417"/>
    <cellStyle name="Note 6 11" xfId="1129"/>
    <cellStyle name="Note 6 11 2" xfId="2444"/>
    <cellStyle name="Note 6 11 2 2" xfId="5068"/>
    <cellStyle name="Note 6 11 3" xfId="3758"/>
    <cellStyle name="Note 6 12" xfId="1789"/>
    <cellStyle name="Note 6 12 2" xfId="4414"/>
    <cellStyle name="Note 6 13" xfId="3103"/>
    <cellStyle name="Note 6 2" xfId="366"/>
    <cellStyle name="Note 6 2 2" xfId="596"/>
    <cellStyle name="Note 6 2 2 2" xfId="924"/>
    <cellStyle name="Note 6 2 2 2 2" xfId="1582"/>
    <cellStyle name="Note 6 2 2 2 2 2" xfId="2895"/>
    <cellStyle name="Note 6 2 2 2 2 2 2" xfId="5519"/>
    <cellStyle name="Note 6 2 2 2 2 3" xfId="4209"/>
    <cellStyle name="Note 6 2 2 2 3" xfId="2241"/>
    <cellStyle name="Note 6 2 2 2 3 2" xfId="4865"/>
    <cellStyle name="Note 6 2 2 2 4" xfId="3555"/>
    <cellStyle name="Note 6 2 2 3" xfId="1268"/>
    <cellStyle name="Note 6 2 2 3 2" xfId="2582"/>
    <cellStyle name="Note 6 2 2 3 2 2" xfId="5206"/>
    <cellStyle name="Note 6 2 2 3 3" xfId="3896"/>
    <cellStyle name="Note 6 2 2 4" xfId="1928"/>
    <cellStyle name="Note 6 2 2 4 2" xfId="4552"/>
    <cellStyle name="Note 6 2 2 5" xfId="3242"/>
    <cellStyle name="Note 6 2 3" xfId="785"/>
    <cellStyle name="Note 6 2 3 2" xfId="1445"/>
    <cellStyle name="Note 6 2 3 2 2" xfId="2758"/>
    <cellStyle name="Note 6 2 3 2 2 2" xfId="5382"/>
    <cellStyle name="Note 6 2 3 2 3" xfId="4072"/>
    <cellStyle name="Note 6 2 3 3" xfId="2104"/>
    <cellStyle name="Note 6 2 3 3 2" xfId="4728"/>
    <cellStyle name="Note 6 2 3 4" xfId="3418"/>
    <cellStyle name="Note 6 2 4" xfId="1130"/>
    <cellStyle name="Note 6 2 4 2" xfId="2445"/>
    <cellStyle name="Note 6 2 4 2 2" xfId="5069"/>
    <cellStyle name="Note 6 2 4 3" xfId="3759"/>
    <cellStyle name="Note 6 2 5" xfId="1790"/>
    <cellStyle name="Note 6 2 5 2" xfId="4415"/>
    <cellStyle name="Note 6 2 6" xfId="3104"/>
    <cellStyle name="Note 6 3" xfId="367"/>
    <cellStyle name="Note 6 3 2" xfId="597"/>
    <cellStyle name="Note 6 3 2 2" xfId="925"/>
    <cellStyle name="Note 6 3 2 2 2" xfId="1583"/>
    <cellStyle name="Note 6 3 2 2 2 2" xfId="2896"/>
    <cellStyle name="Note 6 3 2 2 2 2 2" xfId="5520"/>
    <cellStyle name="Note 6 3 2 2 2 3" xfId="4210"/>
    <cellStyle name="Note 6 3 2 2 3" xfId="2242"/>
    <cellStyle name="Note 6 3 2 2 3 2" xfId="4866"/>
    <cellStyle name="Note 6 3 2 2 4" xfId="3556"/>
    <cellStyle name="Note 6 3 2 3" xfId="1269"/>
    <cellStyle name="Note 6 3 2 3 2" xfId="2583"/>
    <cellStyle name="Note 6 3 2 3 2 2" xfId="5207"/>
    <cellStyle name="Note 6 3 2 3 3" xfId="3897"/>
    <cellStyle name="Note 6 3 2 4" xfId="1929"/>
    <cellStyle name="Note 6 3 2 4 2" xfId="4553"/>
    <cellStyle name="Note 6 3 2 5" xfId="3243"/>
    <cellStyle name="Note 6 3 3" xfId="786"/>
    <cellStyle name="Note 6 3 3 2" xfId="1446"/>
    <cellStyle name="Note 6 3 3 2 2" xfId="2759"/>
    <cellStyle name="Note 6 3 3 2 2 2" xfId="5383"/>
    <cellStyle name="Note 6 3 3 2 3" xfId="4073"/>
    <cellStyle name="Note 6 3 3 3" xfId="2105"/>
    <cellStyle name="Note 6 3 3 3 2" xfId="4729"/>
    <cellStyle name="Note 6 3 3 4" xfId="3419"/>
    <cellStyle name="Note 6 3 4" xfId="1131"/>
    <cellStyle name="Note 6 3 4 2" xfId="2446"/>
    <cellStyle name="Note 6 3 4 2 2" xfId="5070"/>
    <cellStyle name="Note 6 3 4 3" xfId="3760"/>
    <cellStyle name="Note 6 3 5" xfId="1791"/>
    <cellStyle name="Note 6 3 5 2" xfId="4416"/>
    <cellStyle name="Note 6 3 6" xfId="3105"/>
    <cellStyle name="Note 6 4" xfId="368"/>
    <cellStyle name="Note 6 4 2" xfId="598"/>
    <cellStyle name="Note 6 4 2 2" xfId="926"/>
    <cellStyle name="Note 6 4 2 2 2" xfId="1584"/>
    <cellStyle name="Note 6 4 2 2 2 2" xfId="2897"/>
    <cellStyle name="Note 6 4 2 2 2 2 2" xfId="5521"/>
    <cellStyle name="Note 6 4 2 2 2 3" xfId="4211"/>
    <cellStyle name="Note 6 4 2 2 3" xfId="2243"/>
    <cellStyle name="Note 6 4 2 2 3 2" xfId="4867"/>
    <cellStyle name="Note 6 4 2 2 4" xfId="3557"/>
    <cellStyle name="Note 6 4 2 3" xfId="1270"/>
    <cellStyle name="Note 6 4 2 3 2" xfId="2584"/>
    <cellStyle name="Note 6 4 2 3 2 2" xfId="5208"/>
    <cellStyle name="Note 6 4 2 3 3" xfId="3898"/>
    <cellStyle name="Note 6 4 2 4" xfId="1930"/>
    <cellStyle name="Note 6 4 2 4 2" xfId="4554"/>
    <cellStyle name="Note 6 4 2 5" xfId="3244"/>
    <cellStyle name="Note 6 4 3" xfId="787"/>
    <cellStyle name="Note 6 4 3 2" xfId="1447"/>
    <cellStyle name="Note 6 4 3 2 2" xfId="2760"/>
    <cellStyle name="Note 6 4 3 2 2 2" xfId="5384"/>
    <cellStyle name="Note 6 4 3 2 3" xfId="4074"/>
    <cellStyle name="Note 6 4 3 3" xfId="2106"/>
    <cellStyle name="Note 6 4 3 3 2" xfId="4730"/>
    <cellStyle name="Note 6 4 3 4" xfId="3420"/>
    <cellStyle name="Note 6 4 4" xfId="1132"/>
    <cellStyle name="Note 6 4 4 2" xfId="2447"/>
    <cellStyle name="Note 6 4 4 2 2" xfId="5071"/>
    <cellStyle name="Note 6 4 4 3" xfId="3761"/>
    <cellStyle name="Note 6 4 5" xfId="1792"/>
    <cellStyle name="Note 6 4 5 2" xfId="4417"/>
    <cellStyle name="Note 6 4 6" xfId="3106"/>
    <cellStyle name="Note 6 5" xfId="369"/>
    <cellStyle name="Note 6 5 2" xfId="599"/>
    <cellStyle name="Note 6 5 2 2" xfId="927"/>
    <cellStyle name="Note 6 5 2 2 2" xfId="1585"/>
    <cellStyle name="Note 6 5 2 2 2 2" xfId="2898"/>
    <cellStyle name="Note 6 5 2 2 2 2 2" xfId="5522"/>
    <cellStyle name="Note 6 5 2 2 2 3" xfId="4212"/>
    <cellStyle name="Note 6 5 2 2 3" xfId="2244"/>
    <cellStyle name="Note 6 5 2 2 3 2" xfId="4868"/>
    <cellStyle name="Note 6 5 2 2 4" xfId="3558"/>
    <cellStyle name="Note 6 5 2 3" xfId="1271"/>
    <cellStyle name="Note 6 5 2 3 2" xfId="2585"/>
    <cellStyle name="Note 6 5 2 3 2 2" xfId="5209"/>
    <cellStyle name="Note 6 5 2 3 3" xfId="3899"/>
    <cellStyle name="Note 6 5 2 4" xfId="1931"/>
    <cellStyle name="Note 6 5 2 4 2" xfId="4555"/>
    <cellStyle name="Note 6 5 2 5" xfId="3245"/>
    <cellStyle name="Note 6 5 3" xfId="788"/>
    <cellStyle name="Note 6 5 3 2" xfId="1448"/>
    <cellStyle name="Note 6 5 3 2 2" xfId="2761"/>
    <cellStyle name="Note 6 5 3 2 2 2" xfId="5385"/>
    <cellStyle name="Note 6 5 3 2 3" xfId="4075"/>
    <cellStyle name="Note 6 5 3 3" xfId="2107"/>
    <cellStyle name="Note 6 5 3 3 2" xfId="4731"/>
    <cellStyle name="Note 6 5 3 4" xfId="3421"/>
    <cellStyle name="Note 6 5 4" xfId="1133"/>
    <cellStyle name="Note 6 5 4 2" xfId="2448"/>
    <cellStyle name="Note 6 5 4 2 2" xfId="5072"/>
    <cellStyle name="Note 6 5 4 3" xfId="3762"/>
    <cellStyle name="Note 6 5 5" xfId="1793"/>
    <cellStyle name="Note 6 5 5 2" xfId="4418"/>
    <cellStyle name="Note 6 5 6" xfId="3107"/>
    <cellStyle name="Note 6 6" xfId="370"/>
    <cellStyle name="Note 6 6 2" xfId="600"/>
    <cellStyle name="Note 6 6 2 2" xfId="928"/>
    <cellStyle name="Note 6 6 2 2 2" xfId="1586"/>
    <cellStyle name="Note 6 6 2 2 2 2" xfId="2899"/>
    <cellStyle name="Note 6 6 2 2 2 2 2" xfId="5523"/>
    <cellStyle name="Note 6 6 2 2 2 3" xfId="4213"/>
    <cellStyle name="Note 6 6 2 2 3" xfId="2245"/>
    <cellStyle name="Note 6 6 2 2 3 2" xfId="4869"/>
    <cellStyle name="Note 6 6 2 2 4" xfId="3559"/>
    <cellStyle name="Note 6 6 2 3" xfId="1272"/>
    <cellStyle name="Note 6 6 2 3 2" xfId="2586"/>
    <cellStyle name="Note 6 6 2 3 2 2" xfId="5210"/>
    <cellStyle name="Note 6 6 2 3 3" xfId="3900"/>
    <cellStyle name="Note 6 6 2 4" xfId="1932"/>
    <cellStyle name="Note 6 6 2 4 2" xfId="4556"/>
    <cellStyle name="Note 6 6 2 5" xfId="3246"/>
    <cellStyle name="Note 6 6 3" xfId="789"/>
    <cellStyle name="Note 6 6 3 2" xfId="1449"/>
    <cellStyle name="Note 6 6 3 2 2" xfId="2762"/>
    <cellStyle name="Note 6 6 3 2 2 2" xfId="5386"/>
    <cellStyle name="Note 6 6 3 2 3" xfId="4076"/>
    <cellStyle name="Note 6 6 3 3" xfId="2108"/>
    <cellStyle name="Note 6 6 3 3 2" xfId="4732"/>
    <cellStyle name="Note 6 6 3 4" xfId="3422"/>
    <cellStyle name="Note 6 6 4" xfId="1134"/>
    <cellStyle name="Note 6 6 4 2" xfId="2449"/>
    <cellStyle name="Note 6 6 4 2 2" xfId="5073"/>
    <cellStyle name="Note 6 6 4 3" xfId="3763"/>
    <cellStyle name="Note 6 6 5" xfId="1794"/>
    <cellStyle name="Note 6 6 5 2" xfId="4419"/>
    <cellStyle name="Note 6 6 6" xfId="3108"/>
    <cellStyle name="Note 6 7" xfId="371"/>
    <cellStyle name="Note 6 7 2" xfId="601"/>
    <cellStyle name="Note 6 7 2 2" xfId="929"/>
    <cellStyle name="Note 6 7 2 2 2" xfId="1587"/>
    <cellStyle name="Note 6 7 2 2 2 2" xfId="2900"/>
    <cellStyle name="Note 6 7 2 2 2 2 2" xfId="5524"/>
    <cellStyle name="Note 6 7 2 2 2 3" xfId="4214"/>
    <cellStyle name="Note 6 7 2 2 3" xfId="2246"/>
    <cellStyle name="Note 6 7 2 2 3 2" xfId="4870"/>
    <cellStyle name="Note 6 7 2 2 4" xfId="3560"/>
    <cellStyle name="Note 6 7 2 3" xfId="1273"/>
    <cellStyle name="Note 6 7 2 3 2" xfId="2587"/>
    <cellStyle name="Note 6 7 2 3 2 2" xfId="5211"/>
    <cellStyle name="Note 6 7 2 3 3" xfId="3901"/>
    <cellStyle name="Note 6 7 2 4" xfId="1933"/>
    <cellStyle name="Note 6 7 2 4 2" xfId="4557"/>
    <cellStyle name="Note 6 7 2 5" xfId="3247"/>
    <cellStyle name="Note 6 7 3" xfId="790"/>
    <cellStyle name="Note 6 7 3 2" xfId="1450"/>
    <cellStyle name="Note 6 7 3 2 2" xfId="2763"/>
    <cellStyle name="Note 6 7 3 2 2 2" xfId="5387"/>
    <cellStyle name="Note 6 7 3 2 3" xfId="4077"/>
    <cellStyle name="Note 6 7 3 3" xfId="2109"/>
    <cellStyle name="Note 6 7 3 3 2" xfId="4733"/>
    <cellStyle name="Note 6 7 3 4" xfId="3423"/>
    <cellStyle name="Note 6 7 4" xfId="1135"/>
    <cellStyle name="Note 6 7 4 2" xfId="2450"/>
    <cellStyle name="Note 6 7 4 2 2" xfId="5074"/>
    <cellStyle name="Note 6 7 4 3" xfId="3764"/>
    <cellStyle name="Note 6 7 5" xfId="1795"/>
    <cellStyle name="Note 6 7 5 2" xfId="4420"/>
    <cellStyle name="Note 6 7 6" xfId="3109"/>
    <cellStyle name="Note 6 8" xfId="372"/>
    <cellStyle name="Note 6 8 2" xfId="602"/>
    <cellStyle name="Note 6 8 2 2" xfId="930"/>
    <cellStyle name="Note 6 8 2 2 2" xfId="1588"/>
    <cellStyle name="Note 6 8 2 2 2 2" xfId="2901"/>
    <cellStyle name="Note 6 8 2 2 2 2 2" xfId="5525"/>
    <cellStyle name="Note 6 8 2 2 2 3" xfId="4215"/>
    <cellStyle name="Note 6 8 2 2 3" xfId="2247"/>
    <cellStyle name="Note 6 8 2 2 3 2" xfId="4871"/>
    <cellStyle name="Note 6 8 2 2 4" xfId="3561"/>
    <cellStyle name="Note 6 8 2 3" xfId="1274"/>
    <cellStyle name="Note 6 8 2 3 2" xfId="2588"/>
    <cellStyle name="Note 6 8 2 3 2 2" xfId="5212"/>
    <cellStyle name="Note 6 8 2 3 3" xfId="3902"/>
    <cellStyle name="Note 6 8 2 4" xfId="1934"/>
    <cellStyle name="Note 6 8 2 4 2" xfId="4558"/>
    <cellStyle name="Note 6 8 2 5" xfId="3248"/>
    <cellStyle name="Note 6 8 3" xfId="791"/>
    <cellStyle name="Note 6 8 3 2" xfId="1451"/>
    <cellStyle name="Note 6 8 3 2 2" xfId="2764"/>
    <cellStyle name="Note 6 8 3 2 2 2" xfId="5388"/>
    <cellStyle name="Note 6 8 3 2 3" xfId="4078"/>
    <cellStyle name="Note 6 8 3 3" xfId="2110"/>
    <cellStyle name="Note 6 8 3 3 2" xfId="4734"/>
    <cellStyle name="Note 6 8 3 4" xfId="3424"/>
    <cellStyle name="Note 6 8 4" xfId="1136"/>
    <cellStyle name="Note 6 8 4 2" xfId="2451"/>
    <cellStyle name="Note 6 8 4 2 2" xfId="5075"/>
    <cellStyle name="Note 6 8 4 3" xfId="3765"/>
    <cellStyle name="Note 6 8 5" xfId="1796"/>
    <cellStyle name="Note 6 8 5 2" xfId="4421"/>
    <cellStyle name="Note 6 8 6" xfId="3110"/>
    <cellStyle name="Note 6 9" xfId="595"/>
    <cellStyle name="Note 6 9 2" xfId="923"/>
    <cellStyle name="Note 6 9 2 2" xfId="1581"/>
    <cellStyle name="Note 6 9 2 2 2" xfId="2894"/>
    <cellStyle name="Note 6 9 2 2 2 2" xfId="5518"/>
    <cellStyle name="Note 6 9 2 2 3" xfId="4208"/>
    <cellStyle name="Note 6 9 2 3" xfId="2240"/>
    <cellStyle name="Note 6 9 2 3 2" xfId="4864"/>
    <cellStyle name="Note 6 9 2 4" xfId="3554"/>
    <cellStyle name="Note 6 9 3" xfId="1267"/>
    <cellStyle name="Note 6 9 3 2" xfId="2581"/>
    <cellStyle name="Note 6 9 3 2 2" xfId="5205"/>
    <cellStyle name="Note 6 9 3 3" xfId="3895"/>
    <cellStyle name="Note 6 9 4" xfId="1927"/>
    <cellStyle name="Note 6 9 4 2" xfId="4551"/>
    <cellStyle name="Note 6 9 5" xfId="3241"/>
    <cellStyle name="Note 7" xfId="373"/>
    <cellStyle name="Note 7 10" xfId="792"/>
    <cellStyle name="Note 7 10 2" xfId="1452"/>
    <cellStyle name="Note 7 10 2 2" xfId="2765"/>
    <cellStyle name="Note 7 10 2 2 2" xfId="5389"/>
    <cellStyle name="Note 7 10 2 3" xfId="4079"/>
    <cellStyle name="Note 7 10 3" xfId="2111"/>
    <cellStyle name="Note 7 10 3 2" xfId="4735"/>
    <cellStyle name="Note 7 10 4" xfId="3425"/>
    <cellStyle name="Note 7 11" xfId="1137"/>
    <cellStyle name="Note 7 11 2" xfId="2452"/>
    <cellStyle name="Note 7 11 2 2" xfId="5076"/>
    <cellStyle name="Note 7 11 3" xfId="3766"/>
    <cellStyle name="Note 7 12" xfId="1797"/>
    <cellStyle name="Note 7 12 2" xfId="4422"/>
    <cellStyle name="Note 7 13" xfId="3111"/>
    <cellStyle name="Note 7 2" xfId="374"/>
    <cellStyle name="Note 7 2 2" xfId="604"/>
    <cellStyle name="Note 7 2 2 2" xfId="932"/>
    <cellStyle name="Note 7 2 2 2 2" xfId="1590"/>
    <cellStyle name="Note 7 2 2 2 2 2" xfId="2903"/>
    <cellStyle name="Note 7 2 2 2 2 2 2" xfId="5527"/>
    <cellStyle name="Note 7 2 2 2 2 3" xfId="4217"/>
    <cellStyle name="Note 7 2 2 2 3" xfId="2249"/>
    <cellStyle name="Note 7 2 2 2 3 2" xfId="4873"/>
    <cellStyle name="Note 7 2 2 2 4" xfId="3563"/>
    <cellStyle name="Note 7 2 2 3" xfId="1276"/>
    <cellStyle name="Note 7 2 2 3 2" xfId="2590"/>
    <cellStyle name="Note 7 2 2 3 2 2" xfId="5214"/>
    <cellStyle name="Note 7 2 2 3 3" xfId="3904"/>
    <cellStyle name="Note 7 2 2 4" xfId="1936"/>
    <cellStyle name="Note 7 2 2 4 2" xfId="4560"/>
    <cellStyle name="Note 7 2 2 5" xfId="3250"/>
    <cellStyle name="Note 7 2 3" xfId="793"/>
    <cellStyle name="Note 7 2 3 2" xfId="1453"/>
    <cellStyle name="Note 7 2 3 2 2" xfId="2766"/>
    <cellStyle name="Note 7 2 3 2 2 2" xfId="5390"/>
    <cellStyle name="Note 7 2 3 2 3" xfId="4080"/>
    <cellStyle name="Note 7 2 3 3" xfId="2112"/>
    <cellStyle name="Note 7 2 3 3 2" xfId="4736"/>
    <cellStyle name="Note 7 2 3 4" xfId="3426"/>
    <cellStyle name="Note 7 2 4" xfId="1138"/>
    <cellStyle name="Note 7 2 4 2" xfId="2453"/>
    <cellStyle name="Note 7 2 4 2 2" xfId="5077"/>
    <cellStyle name="Note 7 2 4 3" xfId="3767"/>
    <cellStyle name="Note 7 2 5" xfId="1798"/>
    <cellStyle name="Note 7 2 5 2" xfId="4423"/>
    <cellStyle name="Note 7 2 6" xfId="3112"/>
    <cellStyle name="Note 7 3" xfId="375"/>
    <cellStyle name="Note 7 3 2" xfId="605"/>
    <cellStyle name="Note 7 3 2 2" xfId="933"/>
    <cellStyle name="Note 7 3 2 2 2" xfId="1591"/>
    <cellStyle name="Note 7 3 2 2 2 2" xfId="2904"/>
    <cellStyle name="Note 7 3 2 2 2 2 2" xfId="5528"/>
    <cellStyle name="Note 7 3 2 2 2 3" xfId="4218"/>
    <cellStyle name="Note 7 3 2 2 3" xfId="2250"/>
    <cellStyle name="Note 7 3 2 2 3 2" xfId="4874"/>
    <cellStyle name="Note 7 3 2 2 4" xfId="3564"/>
    <cellStyle name="Note 7 3 2 3" xfId="1277"/>
    <cellStyle name="Note 7 3 2 3 2" xfId="2591"/>
    <cellStyle name="Note 7 3 2 3 2 2" xfId="5215"/>
    <cellStyle name="Note 7 3 2 3 3" xfId="3905"/>
    <cellStyle name="Note 7 3 2 4" xfId="1937"/>
    <cellStyle name="Note 7 3 2 4 2" xfId="4561"/>
    <cellStyle name="Note 7 3 2 5" xfId="3251"/>
    <cellStyle name="Note 7 3 3" xfId="794"/>
    <cellStyle name="Note 7 3 3 2" xfId="1454"/>
    <cellStyle name="Note 7 3 3 2 2" xfId="2767"/>
    <cellStyle name="Note 7 3 3 2 2 2" xfId="5391"/>
    <cellStyle name="Note 7 3 3 2 3" xfId="4081"/>
    <cellStyle name="Note 7 3 3 3" xfId="2113"/>
    <cellStyle name="Note 7 3 3 3 2" xfId="4737"/>
    <cellStyle name="Note 7 3 3 4" xfId="3427"/>
    <cellStyle name="Note 7 3 4" xfId="1139"/>
    <cellStyle name="Note 7 3 4 2" xfId="2454"/>
    <cellStyle name="Note 7 3 4 2 2" xfId="5078"/>
    <cellStyle name="Note 7 3 4 3" xfId="3768"/>
    <cellStyle name="Note 7 3 5" xfId="1799"/>
    <cellStyle name="Note 7 3 5 2" xfId="4424"/>
    <cellStyle name="Note 7 3 6" xfId="3113"/>
    <cellStyle name="Note 7 4" xfId="376"/>
    <cellStyle name="Note 7 4 2" xfId="606"/>
    <cellStyle name="Note 7 4 2 2" xfId="934"/>
    <cellStyle name="Note 7 4 2 2 2" xfId="1592"/>
    <cellStyle name="Note 7 4 2 2 2 2" xfId="2905"/>
    <cellStyle name="Note 7 4 2 2 2 2 2" xfId="5529"/>
    <cellStyle name="Note 7 4 2 2 2 3" xfId="4219"/>
    <cellStyle name="Note 7 4 2 2 3" xfId="2251"/>
    <cellStyle name="Note 7 4 2 2 3 2" xfId="4875"/>
    <cellStyle name="Note 7 4 2 2 4" xfId="3565"/>
    <cellStyle name="Note 7 4 2 3" xfId="1278"/>
    <cellStyle name="Note 7 4 2 3 2" xfId="2592"/>
    <cellStyle name="Note 7 4 2 3 2 2" xfId="5216"/>
    <cellStyle name="Note 7 4 2 3 3" xfId="3906"/>
    <cellStyle name="Note 7 4 2 4" xfId="1938"/>
    <cellStyle name="Note 7 4 2 4 2" xfId="4562"/>
    <cellStyle name="Note 7 4 2 5" xfId="3252"/>
    <cellStyle name="Note 7 4 3" xfId="795"/>
    <cellStyle name="Note 7 4 3 2" xfId="1455"/>
    <cellStyle name="Note 7 4 3 2 2" xfId="2768"/>
    <cellStyle name="Note 7 4 3 2 2 2" xfId="5392"/>
    <cellStyle name="Note 7 4 3 2 3" xfId="4082"/>
    <cellStyle name="Note 7 4 3 3" xfId="2114"/>
    <cellStyle name="Note 7 4 3 3 2" xfId="4738"/>
    <cellStyle name="Note 7 4 3 4" xfId="3428"/>
    <cellStyle name="Note 7 4 4" xfId="1140"/>
    <cellStyle name="Note 7 4 4 2" xfId="2455"/>
    <cellStyle name="Note 7 4 4 2 2" xfId="5079"/>
    <cellStyle name="Note 7 4 4 3" xfId="3769"/>
    <cellStyle name="Note 7 4 5" xfId="1800"/>
    <cellStyle name="Note 7 4 5 2" xfId="4425"/>
    <cellStyle name="Note 7 4 6" xfId="3114"/>
    <cellStyle name="Note 7 5" xfId="377"/>
    <cellStyle name="Note 7 5 2" xfId="607"/>
    <cellStyle name="Note 7 5 2 2" xfId="935"/>
    <cellStyle name="Note 7 5 2 2 2" xfId="1593"/>
    <cellStyle name="Note 7 5 2 2 2 2" xfId="2906"/>
    <cellStyle name="Note 7 5 2 2 2 2 2" xfId="5530"/>
    <cellStyle name="Note 7 5 2 2 2 3" xfId="4220"/>
    <cellStyle name="Note 7 5 2 2 3" xfId="2252"/>
    <cellStyle name="Note 7 5 2 2 3 2" xfId="4876"/>
    <cellStyle name="Note 7 5 2 2 4" xfId="3566"/>
    <cellStyle name="Note 7 5 2 3" xfId="1279"/>
    <cellStyle name="Note 7 5 2 3 2" xfId="2593"/>
    <cellStyle name="Note 7 5 2 3 2 2" xfId="5217"/>
    <cellStyle name="Note 7 5 2 3 3" xfId="3907"/>
    <cellStyle name="Note 7 5 2 4" xfId="1939"/>
    <cellStyle name="Note 7 5 2 4 2" xfId="4563"/>
    <cellStyle name="Note 7 5 2 5" xfId="3253"/>
    <cellStyle name="Note 7 5 3" xfId="796"/>
    <cellStyle name="Note 7 5 3 2" xfId="1456"/>
    <cellStyle name="Note 7 5 3 2 2" xfId="2769"/>
    <cellStyle name="Note 7 5 3 2 2 2" xfId="5393"/>
    <cellStyle name="Note 7 5 3 2 3" xfId="4083"/>
    <cellStyle name="Note 7 5 3 3" xfId="2115"/>
    <cellStyle name="Note 7 5 3 3 2" xfId="4739"/>
    <cellStyle name="Note 7 5 3 4" xfId="3429"/>
    <cellStyle name="Note 7 5 4" xfId="1141"/>
    <cellStyle name="Note 7 5 4 2" xfId="2456"/>
    <cellStyle name="Note 7 5 4 2 2" xfId="5080"/>
    <cellStyle name="Note 7 5 4 3" xfId="3770"/>
    <cellStyle name="Note 7 5 5" xfId="1801"/>
    <cellStyle name="Note 7 5 5 2" xfId="4426"/>
    <cellStyle name="Note 7 5 6" xfId="3115"/>
    <cellStyle name="Note 7 6" xfId="378"/>
    <cellStyle name="Note 7 6 2" xfId="608"/>
    <cellStyle name="Note 7 6 2 2" xfId="936"/>
    <cellStyle name="Note 7 6 2 2 2" xfId="1594"/>
    <cellStyle name="Note 7 6 2 2 2 2" xfId="2907"/>
    <cellStyle name="Note 7 6 2 2 2 2 2" xfId="5531"/>
    <cellStyle name="Note 7 6 2 2 2 3" xfId="4221"/>
    <cellStyle name="Note 7 6 2 2 3" xfId="2253"/>
    <cellStyle name="Note 7 6 2 2 3 2" xfId="4877"/>
    <cellStyle name="Note 7 6 2 2 4" xfId="3567"/>
    <cellStyle name="Note 7 6 2 3" xfId="1280"/>
    <cellStyle name="Note 7 6 2 3 2" xfId="2594"/>
    <cellStyle name="Note 7 6 2 3 2 2" xfId="5218"/>
    <cellStyle name="Note 7 6 2 3 3" xfId="3908"/>
    <cellStyle name="Note 7 6 2 4" xfId="1940"/>
    <cellStyle name="Note 7 6 2 4 2" xfId="4564"/>
    <cellStyle name="Note 7 6 2 5" xfId="3254"/>
    <cellStyle name="Note 7 6 3" xfId="797"/>
    <cellStyle name="Note 7 6 3 2" xfId="1457"/>
    <cellStyle name="Note 7 6 3 2 2" xfId="2770"/>
    <cellStyle name="Note 7 6 3 2 2 2" xfId="5394"/>
    <cellStyle name="Note 7 6 3 2 3" xfId="4084"/>
    <cellStyle name="Note 7 6 3 3" xfId="2116"/>
    <cellStyle name="Note 7 6 3 3 2" xfId="4740"/>
    <cellStyle name="Note 7 6 3 4" xfId="3430"/>
    <cellStyle name="Note 7 6 4" xfId="1142"/>
    <cellStyle name="Note 7 6 4 2" xfId="2457"/>
    <cellStyle name="Note 7 6 4 2 2" xfId="5081"/>
    <cellStyle name="Note 7 6 4 3" xfId="3771"/>
    <cellStyle name="Note 7 6 5" xfId="1802"/>
    <cellStyle name="Note 7 6 5 2" xfId="4427"/>
    <cellStyle name="Note 7 6 6" xfId="3116"/>
    <cellStyle name="Note 7 7" xfId="379"/>
    <cellStyle name="Note 7 7 2" xfId="609"/>
    <cellStyle name="Note 7 7 2 2" xfId="937"/>
    <cellStyle name="Note 7 7 2 2 2" xfId="1595"/>
    <cellStyle name="Note 7 7 2 2 2 2" xfId="2908"/>
    <cellStyle name="Note 7 7 2 2 2 2 2" xfId="5532"/>
    <cellStyle name="Note 7 7 2 2 2 3" xfId="4222"/>
    <cellStyle name="Note 7 7 2 2 3" xfId="2254"/>
    <cellStyle name="Note 7 7 2 2 3 2" xfId="4878"/>
    <cellStyle name="Note 7 7 2 2 4" xfId="3568"/>
    <cellStyle name="Note 7 7 2 3" xfId="1281"/>
    <cellStyle name="Note 7 7 2 3 2" xfId="2595"/>
    <cellStyle name="Note 7 7 2 3 2 2" xfId="5219"/>
    <cellStyle name="Note 7 7 2 3 3" xfId="3909"/>
    <cellStyle name="Note 7 7 2 4" xfId="1941"/>
    <cellStyle name="Note 7 7 2 4 2" xfId="4565"/>
    <cellStyle name="Note 7 7 2 5" xfId="3255"/>
    <cellStyle name="Note 7 7 3" xfId="798"/>
    <cellStyle name="Note 7 7 3 2" xfId="1458"/>
    <cellStyle name="Note 7 7 3 2 2" xfId="2771"/>
    <cellStyle name="Note 7 7 3 2 2 2" xfId="5395"/>
    <cellStyle name="Note 7 7 3 2 3" xfId="4085"/>
    <cellStyle name="Note 7 7 3 3" xfId="2117"/>
    <cellStyle name="Note 7 7 3 3 2" xfId="4741"/>
    <cellStyle name="Note 7 7 3 4" xfId="3431"/>
    <cellStyle name="Note 7 7 4" xfId="1143"/>
    <cellStyle name="Note 7 7 4 2" xfId="2458"/>
    <cellStyle name="Note 7 7 4 2 2" xfId="5082"/>
    <cellStyle name="Note 7 7 4 3" xfId="3772"/>
    <cellStyle name="Note 7 7 5" xfId="1803"/>
    <cellStyle name="Note 7 7 5 2" xfId="4428"/>
    <cellStyle name="Note 7 7 6" xfId="3117"/>
    <cellStyle name="Note 7 8" xfId="380"/>
    <cellStyle name="Note 7 8 2" xfId="610"/>
    <cellStyle name="Note 7 8 2 2" xfId="938"/>
    <cellStyle name="Note 7 8 2 2 2" xfId="1596"/>
    <cellStyle name="Note 7 8 2 2 2 2" xfId="2909"/>
    <cellStyle name="Note 7 8 2 2 2 2 2" xfId="5533"/>
    <cellStyle name="Note 7 8 2 2 2 3" xfId="4223"/>
    <cellStyle name="Note 7 8 2 2 3" xfId="2255"/>
    <cellStyle name="Note 7 8 2 2 3 2" xfId="4879"/>
    <cellStyle name="Note 7 8 2 2 4" xfId="3569"/>
    <cellStyle name="Note 7 8 2 3" xfId="1282"/>
    <cellStyle name="Note 7 8 2 3 2" xfId="2596"/>
    <cellStyle name="Note 7 8 2 3 2 2" xfId="5220"/>
    <cellStyle name="Note 7 8 2 3 3" xfId="3910"/>
    <cellStyle name="Note 7 8 2 4" xfId="1942"/>
    <cellStyle name="Note 7 8 2 4 2" xfId="4566"/>
    <cellStyle name="Note 7 8 2 5" xfId="3256"/>
    <cellStyle name="Note 7 8 3" xfId="799"/>
    <cellStyle name="Note 7 8 3 2" xfId="1459"/>
    <cellStyle name="Note 7 8 3 2 2" xfId="2772"/>
    <cellStyle name="Note 7 8 3 2 2 2" xfId="5396"/>
    <cellStyle name="Note 7 8 3 2 3" xfId="4086"/>
    <cellStyle name="Note 7 8 3 3" xfId="2118"/>
    <cellStyle name="Note 7 8 3 3 2" xfId="4742"/>
    <cellStyle name="Note 7 8 3 4" xfId="3432"/>
    <cellStyle name="Note 7 8 4" xfId="1144"/>
    <cellStyle name="Note 7 8 4 2" xfId="2459"/>
    <cellStyle name="Note 7 8 4 2 2" xfId="5083"/>
    <cellStyle name="Note 7 8 4 3" xfId="3773"/>
    <cellStyle name="Note 7 8 5" xfId="1804"/>
    <cellStyle name="Note 7 8 5 2" xfId="4429"/>
    <cellStyle name="Note 7 8 6" xfId="3118"/>
    <cellStyle name="Note 7 9" xfId="603"/>
    <cellStyle name="Note 7 9 2" xfId="931"/>
    <cellStyle name="Note 7 9 2 2" xfId="1589"/>
    <cellStyle name="Note 7 9 2 2 2" xfId="2902"/>
    <cellStyle name="Note 7 9 2 2 2 2" xfId="5526"/>
    <cellStyle name="Note 7 9 2 2 3" xfId="4216"/>
    <cellStyle name="Note 7 9 2 3" xfId="2248"/>
    <cellStyle name="Note 7 9 2 3 2" xfId="4872"/>
    <cellStyle name="Note 7 9 2 4" xfId="3562"/>
    <cellStyle name="Note 7 9 3" xfId="1275"/>
    <cellStyle name="Note 7 9 3 2" xfId="2589"/>
    <cellStyle name="Note 7 9 3 2 2" xfId="5213"/>
    <cellStyle name="Note 7 9 3 3" xfId="3903"/>
    <cellStyle name="Note 7 9 4" xfId="1935"/>
    <cellStyle name="Note 7 9 4 2" xfId="4559"/>
    <cellStyle name="Note 7 9 5" xfId="3249"/>
    <cellStyle name="Note 8" xfId="381"/>
    <cellStyle name="Note 8 2" xfId="611"/>
    <cellStyle name="Note 8 2 2" xfId="939"/>
    <cellStyle name="Note 8 2 2 2" xfId="1597"/>
    <cellStyle name="Note 8 2 2 2 2" xfId="2910"/>
    <cellStyle name="Note 8 2 2 2 2 2" xfId="5534"/>
    <cellStyle name="Note 8 2 2 2 3" xfId="4224"/>
    <cellStyle name="Note 8 2 2 3" xfId="2256"/>
    <cellStyle name="Note 8 2 2 3 2" xfId="4880"/>
    <cellStyle name="Note 8 2 2 4" xfId="3570"/>
    <cellStyle name="Note 8 2 3" xfId="1283"/>
    <cellStyle name="Note 8 2 3 2" xfId="2597"/>
    <cellStyle name="Note 8 2 3 2 2" xfId="5221"/>
    <cellStyle name="Note 8 2 3 3" xfId="3911"/>
    <cellStyle name="Note 8 2 4" xfId="1943"/>
    <cellStyle name="Note 8 2 4 2" xfId="4567"/>
    <cellStyle name="Note 8 2 5" xfId="3257"/>
    <cellStyle name="Note 8 3" xfId="800"/>
    <cellStyle name="Note 8 3 2" xfId="1460"/>
    <cellStyle name="Note 8 3 2 2" xfId="2773"/>
    <cellStyle name="Note 8 3 2 2 2" xfId="5397"/>
    <cellStyle name="Note 8 3 2 3" xfId="4087"/>
    <cellStyle name="Note 8 3 3" xfId="2119"/>
    <cellStyle name="Note 8 3 3 2" xfId="4743"/>
    <cellStyle name="Note 8 3 4" xfId="3433"/>
    <cellStyle name="Note 8 4" xfId="1145"/>
    <cellStyle name="Note 8 4 2" xfId="2460"/>
    <cellStyle name="Note 8 4 2 2" xfId="5084"/>
    <cellStyle name="Note 8 4 3" xfId="3774"/>
    <cellStyle name="Note 8 5" xfId="1805"/>
    <cellStyle name="Note 8 5 2" xfId="4430"/>
    <cellStyle name="Note 8 6" xfId="3119"/>
    <cellStyle name="Note 9" xfId="622"/>
    <cellStyle name="Note 9 2" xfId="940"/>
    <cellStyle name="Note 9 2 2" xfId="1598"/>
    <cellStyle name="Note 9 2 2 2" xfId="2911"/>
    <cellStyle name="Note 9 2 2 2 2" xfId="5535"/>
    <cellStyle name="Note 9 2 2 3" xfId="4225"/>
    <cellStyle name="Note 9 2 3" xfId="2257"/>
    <cellStyle name="Note 9 2 3 2" xfId="4881"/>
    <cellStyle name="Note 9 2 4" xfId="3571"/>
    <cellStyle name="Note 9 3" xfId="1284"/>
    <cellStyle name="Note 9 3 2" xfId="2598"/>
    <cellStyle name="Note 9 3 2 2" xfId="5222"/>
    <cellStyle name="Note 9 3 3" xfId="3912"/>
    <cellStyle name="Note 9 4" xfId="1944"/>
    <cellStyle name="Note 9 4 2" xfId="4568"/>
    <cellStyle name="Note 9 5" xfId="3258"/>
    <cellStyle name="Output" xfId="117" builtinId="21" customBuiltin="1"/>
    <cellStyle name="Output 2" xfId="65"/>
    <cellStyle name="Output 2 2" xfId="382"/>
    <cellStyle name="Percent 2" xfId="612"/>
    <cellStyle name="Percent 3" xfId="801"/>
    <cellStyle name="Percent 4" xfId="1146"/>
    <cellStyle name="Percent 5" xfId="1806"/>
    <cellStyle name="Percent 6" xfId="3120"/>
    <cellStyle name="Percent 7" xfId="383"/>
    <cellStyle name="Project Delayed/Postponed" xfId="384"/>
    <cellStyle name="SAPBEXaggData" xfId="66"/>
    <cellStyle name="SAPBEXaggDataEmph" xfId="67"/>
    <cellStyle name="SAPBEXaggItem" xfId="68"/>
    <cellStyle name="SAPBEXaggItemX" xfId="69"/>
    <cellStyle name="SAPBEXchaText" xfId="70"/>
    <cellStyle name="SAPBEXexcBad7" xfId="71"/>
    <cellStyle name="SAPBEXexcBad8" xfId="72"/>
    <cellStyle name="SAPBEXexcBad9" xfId="73"/>
    <cellStyle name="SAPBEXexcCritical4" xfId="74"/>
    <cellStyle name="SAPBEXexcCritical5" xfId="75"/>
    <cellStyle name="SAPBEXexcCritical6" xfId="76"/>
    <cellStyle name="SAPBEXexcGood1" xfId="77"/>
    <cellStyle name="SAPBEXexcGood2" xfId="78"/>
    <cellStyle name="SAPBEXexcGood3" xfId="79"/>
    <cellStyle name="SAPBEXfilterDrill" xfId="80"/>
    <cellStyle name="SAPBEXfilterItem" xfId="81"/>
    <cellStyle name="SAPBEXfilterText" xfId="82"/>
    <cellStyle name="SAPBEXformats" xfId="83"/>
    <cellStyle name="SAPBEXheaderItem" xfId="84"/>
    <cellStyle name="SAPBEXheaderText" xfId="85"/>
    <cellStyle name="SAPBEXHLevel0" xfId="86"/>
    <cellStyle name="SAPBEXHLevel0 2" xfId="613"/>
    <cellStyle name="SAPBEXHLevel0X" xfId="87"/>
    <cellStyle name="SAPBEXHLevel0X 2" xfId="614"/>
    <cellStyle name="SAPBEXHLevel1" xfId="88"/>
    <cellStyle name="SAPBEXHLevel1 2" xfId="615"/>
    <cellStyle name="SAPBEXHLevel1X" xfId="89"/>
    <cellStyle name="SAPBEXHLevel1X 2" xfId="616"/>
    <cellStyle name="SAPBEXHLevel2" xfId="90"/>
    <cellStyle name="SAPBEXHLevel2 2" xfId="617"/>
    <cellStyle name="SAPBEXHLevel2X" xfId="91"/>
    <cellStyle name="SAPBEXHLevel2X 2" xfId="618"/>
    <cellStyle name="SAPBEXHLevel3" xfId="92"/>
    <cellStyle name="SAPBEXHLevel3 2" xfId="619"/>
    <cellStyle name="SAPBEXHLevel3X" xfId="93"/>
    <cellStyle name="SAPBEXHLevel3X 2" xfId="620"/>
    <cellStyle name="SAPBEXinputData" xfId="94"/>
    <cellStyle name="SAPBEXinputData 2" xfId="621"/>
    <cellStyle name="SAPBEXresData" xfId="95"/>
    <cellStyle name="SAPBEXresDataEmph" xfId="96"/>
    <cellStyle name="SAPBEXresItem" xfId="97"/>
    <cellStyle name="SAPBEXresItemX" xfId="98"/>
    <cellStyle name="SAPBEXstdData" xfId="99"/>
    <cellStyle name="SAPBEXstdDataEmph" xfId="100"/>
    <cellStyle name="SAPBEXstdItem" xfId="101"/>
    <cellStyle name="SAPBEXstdItemX" xfId="102"/>
    <cellStyle name="SAPBEXtitle" xfId="103"/>
    <cellStyle name="SAPBEXundefined" xfId="104"/>
    <cellStyle name="Sheet Title" xfId="105"/>
    <cellStyle name="Title" xfId="109" builtinId="15" customBuiltin="1"/>
    <cellStyle name="Title 2" xfId="106"/>
    <cellStyle name="Total" xfId="123" builtinId="25" customBuiltin="1"/>
    <cellStyle name="Total 2" xfId="107"/>
    <cellStyle name="Total 2 2" xfId="385"/>
    <cellStyle name="Warning Text" xfId="121" builtinId="11" customBuiltin="1"/>
    <cellStyle name="Warning Text 2" xfId="108"/>
    <cellStyle name="Warning Text 2 2" xfId="386"/>
  </cellStyles>
  <dxfs count="275">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val="0"/>
        <i val="0"/>
        <strike val="0"/>
        <condense val="0"/>
        <extend val="0"/>
        <outline val="0"/>
        <shadow val="0"/>
        <u val="none"/>
        <vertAlign val="baseline"/>
        <sz val="12"/>
        <color theme="1"/>
        <name val="Arial"/>
        <scheme val="none"/>
      </font>
      <fill>
        <patternFill patternType="none">
          <fgColor indexed="64"/>
          <bgColor indexed="65"/>
        </patternFill>
      </fill>
    </dxf>
    <dxf>
      <font>
        <b/>
        <i val="0"/>
        <strike val="0"/>
        <condense val="0"/>
        <extend val="0"/>
        <outline val="0"/>
        <shadow val="0"/>
        <u val="none"/>
        <vertAlign val="baseline"/>
        <sz val="12"/>
        <color theme="0"/>
        <name val="Arial"/>
        <scheme val="none"/>
      </font>
      <fill>
        <patternFill patternType="solid">
          <fgColor theme="4"/>
          <bgColor theme="4"/>
        </patternFill>
      </fill>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medium">
          <color theme="0"/>
        </left>
        <right/>
        <top style="medium">
          <color theme="0"/>
        </top>
        <bottom style="medium">
          <color theme="0"/>
        </bottom>
        <vertical style="medium">
          <color theme="0"/>
        </vertical>
        <horizontal style="medium">
          <color theme="0"/>
        </horizontal>
      </border>
      <protection locked="1" hidden="0"/>
    </dxf>
    <dxf>
      <font>
        <b val="0"/>
        <i val="0"/>
        <strike val="0"/>
        <condense val="0"/>
        <extend val="0"/>
        <outline val="0"/>
        <shadow val="0"/>
        <u val="none"/>
        <vertAlign val="baseline"/>
        <sz val="10"/>
        <color auto="1"/>
        <name val="Arial"/>
        <scheme val="none"/>
      </font>
      <numFmt numFmtId="168" formatCode="[$-409]dd\-mmm\-yy;@"/>
      <fill>
        <patternFill patternType="none">
          <fgColor indexed="64"/>
          <bgColor indexed="65"/>
        </patternFill>
      </fill>
      <alignment horizontal="center" vertical="center" textRotation="0" wrapText="1" indent="0" justifyLastLine="0" shrinkToFit="0" readingOrder="0"/>
      <border diagonalUp="0" diagonalDown="0">
        <left style="medium">
          <color theme="0"/>
        </left>
        <right style="medium">
          <color theme="0"/>
        </right>
        <top style="medium">
          <color theme="0"/>
        </top>
        <bottom style="medium">
          <color theme="0"/>
        </bottom>
        <vertical style="medium">
          <color theme="0"/>
        </vertical>
        <horizontal style="medium">
          <color theme="0"/>
        </horizontal>
      </border>
      <protection locked="1" hidden="0"/>
    </dxf>
    <dxf>
      <font>
        <b val="0"/>
        <i val="0"/>
        <strike val="0"/>
        <condense val="0"/>
        <extend val="0"/>
        <outline val="0"/>
        <shadow val="0"/>
        <u val="none"/>
        <vertAlign val="baseline"/>
        <sz val="10"/>
        <color auto="1"/>
        <name val="Arial"/>
        <scheme val="none"/>
      </font>
      <numFmt numFmtId="167" formatCode="[$-409]d\-mmm\-yy;@"/>
      <fill>
        <patternFill patternType="none">
          <fgColor indexed="64"/>
          <bgColor indexed="65"/>
        </patternFill>
      </fill>
      <alignment horizontal="center" vertical="center" textRotation="0" wrapText="1" indent="0" justifyLastLine="0" shrinkToFit="0" readingOrder="0"/>
      <border diagonalUp="0" diagonalDown="0">
        <left style="medium">
          <color theme="0"/>
        </left>
        <right style="medium">
          <color theme="0"/>
        </right>
        <top style="medium">
          <color theme="0"/>
        </top>
        <bottom style="medium">
          <color theme="0"/>
        </bottom>
        <vertical style="medium">
          <color theme="0"/>
        </vertical>
        <horizontal style="medium">
          <color theme="0"/>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medium">
          <color theme="0"/>
        </left>
        <right style="medium">
          <color theme="0"/>
        </right>
        <top style="medium">
          <color theme="0"/>
        </top>
        <bottom style="medium">
          <color theme="0"/>
        </bottom>
        <vertical style="medium">
          <color theme="0"/>
        </vertical>
        <horizontal style="medium">
          <color theme="0"/>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medium">
          <color theme="0"/>
        </left>
        <right style="medium">
          <color theme="0"/>
        </right>
        <top style="medium">
          <color theme="0"/>
        </top>
        <bottom style="medium">
          <color theme="0"/>
        </bottom>
        <vertical style="medium">
          <color theme="0"/>
        </vertical>
        <horizontal style="medium">
          <color theme="0"/>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medium">
          <color theme="0"/>
        </left>
        <right style="medium">
          <color theme="0"/>
        </right>
        <top style="medium">
          <color theme="0"/>
        </top>
        <bottom style="medium">
          <color theme="0"/>
        </bottom>
        <vertical style="medium">
          <color theme="0"/>
        </vertical>
        <horizontal style="medium">
          <color theme="0"/>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style="medium">
          <color theme="0"/>
        </right>
        <top style="medium">
          <color theme="0"/>
        </top>
        <bottom style="medium">
          <color theme="0"/>
        </bottom>
      </border>
      <protection locked="1" hidden="0"/>
    </dxf>
    <dxf>
      <font>
        <b/>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medium">
          <color theme="0"/>
        </left>
        <right style="medium">
          <color theme="0"/>
        </right>
        <top style="medium">
          <color theme="0"/>
        </top>
        <bottom style="medium">
          <color theme="0"/>
        </bottom>
      </border>
      <protection locked="1" hidden="0"/>
    </dxf>
    <dxf>
      <font>
        <b val="0"/>
        <i val="0"/>
        <strike val="0"/>
        <condense val="0"/>
        <extend val="0"/>
        <outline val="0"/>
        <shadow val="0"/>
        <u/>
        <vertAlign val="baseline"/>
        <sz val="10"/>
        <color indexed="12"/>
        <name val="Arial"/>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medium">
          <color theme="0"/>
        </left>
        <right/>
        <top style="medium">
          <color theme="0"/>
        </top>
        <bottom style="medium">
          <color theme="0"/>
        </bottom>
      </border>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protection locked="1" hidden="0"/>
    </dxf>
    <dxf>
      <font>
        <b/>
        <i val="0"/>
        <strike val="0"/>
        <condense val="0"/>
        <extend val="0"/>
        <outline val="0"/>
        <shadow val="0"/>
        <u val="none"/>
        <vertAlign val="baseline"/>
        <sz val="11"/>
        <color auto="1"/>
        <name val="Arial"/>
        <scheme val="none"/>
      </font>
      <numFmt numFmtId="0" formatCode="General"/>
      <fill>
        <patternFill patternType="solid">
          <fgColor indexed="64"/>
          <bgColor rgb="FF95B3D7"/>
        </patternFill>
      </fill>
      <alignment horizontal="center" vertical="center" textRotation="0" wrapText="1" indent="0" justifyLastLine="0" shrinkToFit="0" readingOrder="0"/>
      <border diagonalUp="0" diagonalDown="0">
        <left style="medium">
          <color theme="0"/>
        </left>
        <right style="medium">
          <color theme="0"/>
        </right>
        <top/>
        <bottom/>
        <vertical style="medium">
          <color theme="0"/>
        </vertical>
        <horizontal style="medium">
          <color theme="0"/>
        </horizontal>
      </border>
      <protection locked="1" hidden="0"/>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ill>
        <patternFill>
          <bgColor rgb="FFC00000"/>
        </patternFill>
      </fill>
    </dxf>
    <dxf>
      <fill>
        <patternFill>
          <bgColor rgb="FF92D050"/>
        </patternFill>
      </fill>
    </dxf>
    <dxf>
      <fill>
        <patternFill>
          <bgColor rgb="FF92D050"/>
        </patternFill>
      </fill>
    </dxf>
    <dxf>
      <font>
        <color rgb="FF00B050"/>
      </font>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rgb="FF00B050"/>
      </font>
      <fill>
        <patternFill>
          <bgColor rgb="FF00B050"/>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77BE77"/>
        </patternFill>
      </fill>
    </dxf>
    <dxf>
      <fill>
        <patternFill>
          <bgColor rgb="FFC23B22"/>
        </patternFill>
      </fill>
    </dxf>
    <dxf>
      <fill>
        <patternFill>
          <bgColor rgb="FF00B050"/>
        </patternFill>
      </fill>
    </dxf>
    <dxf>
      <fill>
        <patternFill>
          <bgColor rgb="FFFF0000"/>
        </patternFill>
      </fill>
    </dxf>
    <dxf>
      <fill>
        <patternFill>
          <bgColor rgb="FFEBB347"/>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77BE77"/>
        </patternFill>
      </fill>
    </dxf>
    <dxf>
      <fill>
        <patternFill>
          <bgColor rgb="FFC23B22"/>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tint="-0.34998626667073579"/>
      </font>
      <fill>
        <patternFill>
          <bgColor theme="0" tint="-0.34998626667073579"/>
        </patternFill>
      </fill>
    </dxf>
    <dxf>
      <font>
        <color auto="1"/>
      </font>
      <fill>
        <patternFill>
          <bgColor rgb="FFFF0000"/>
        </patternFill>
      </fill>
    </dxf>
    <dxf>
      <font>
        <color auto="1"/>
      </font>
      <fill>
        <patternFill>
          <bgColor rgb="FF00B050"/>
        </patternFill>
      </fill>
    </dxf>
    <dxf>
      <font>
        <color auto="1"/>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theme="0"/>
      </font>
      <fill>
        <patternFill>
          <bgColor rgb="FFC23B22"/>
        </patternFill>
      </fill>
    </dxf>
    <dxf>
      <fill>
        <patternFill>
          <bgColor rgb="FF77BE77"/>
        </patternFill>
      </fill>
    </dxf>
    <dxf>
      <font>
        <color theme="0"/>
      </font>
      <fill>
        <patternFill>
          <bgColor rgb="FFC23B22"/>
        </patternFill>
      </fill>
    </dxf>
    <dxf>
      <fill>
        <patternFill>
          <bgColor rgb="FF77BE77"/>
        </patternFill>
      </fill>
    </dxf>
    <dxf>
      <fill>
        <patternFill>
          <bgColor rgb="FFFFB347"/>
        </patternFill>
      </fill>
    </dxf>
    <dxf>
      <font>
        <color theme="0"/>
      </font>
      <fill>
        <patternFill>
          <bgColor rgb="FFC23B22"/>
        </patternFill>
      </fill>
    </dxf>
    <dxf>
      <fill>
        <patternFill>
          <bgColor rgb="FF77BE77"/>
        </patternFill>
      </fill>
    </dxf>
    <dxf>
      <fill>
        <patternFill>
          <bgColor rgb="FFFFB347"/>
        </patternFill>
      </fill>
    </dxf>
    <dxf>
      <font>
        <color theme="0"/>
      </font>
      <fill>
        <patternFill>
          <bgColor rgb="FFC23B22"/>
        </patternFill>
      </fill>
    </dxf>
    <dxf>
      <fill>
        <patternFill>
          <bgColor rgb="FF77BE77"/>
        </patternFill>
      </fill>
    </dxf>
    <dxf>
      <fill>
        <patternFill>
          <bgColor rgb="FFFFB347"/>
        </patternFill>
      </fill>
    </dxf>
    <dxf>
      <fill>
        <patternFill>
          <bgColor rgb="FF77BE77"/>
        </patternFill>
      </fill>
    </dxf>
    <dxf>
      <font>
        <color theme="0"/>
      </font>
      <fill>
        <patternFill>
          <bgColor rgb="FFC23B22"/>
        </patternFill>
      </fill>
    </dxf>
    <dxf>
      <fill>
        <patternFill>
          <bgColor rgb="FFFFB347"/>
        </patternFill>
      </fill>
    </dxf>
    <dxf>
      <fill>
        <patternFill>
          <bgColor rgb="FF77BE77"/>
        </patternFill>
      </fill>
    </dxf>
    <dxf>
      <font>
        <color theme="0"/>
      </font>
      <fill>
        <patternFill>
          <bgColor rgb="FFC23B22"/>
        </patternFill>
      </fill>
    </dxf>
    <dxf>
      <fill>
        <patternFill>
          <bgColor rgb="FFFFB347"/>
        </patternFill>
      </fill>
    </dxf>
    <dxf>
      <font>
        <color theme="0"/>
      </font>
      <fill>
        <patternFill>
          <bgColor rgb="FFC23B22"/>
        </patternFill>
      </fill>
    </dxf>
  </dxfs>
  <tableStyles count="0" defaultTableStyle="TableStyleMedium2" defaultPivotStyle="PivotStyleLight16"/>
  <colors>
    <mruColors>
      <color rgb="FFC23B22"/>
      <color rgb="FF77BE77"/>
      <color rgb="FFFFB347"/>
      <color rgb="FF622DE7"/>
      <color rgb="FFCCC0DA"/>
      <color rgb="FFDA9694"/>
      <color rgb="FF4F81BD"/>
      <color rgb="FF31869B"/>
      <color rgb="FFA50021"/>
      <color rgb="FF95B3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'Resources Data'!$F$1</c:f>
              <c:strCache>
                <c:ptCount val="1"/>
                <c:pt idx="0">
                  <c:v>Start date</c:v>
                </c:pt>
              </c:strCache>
            </c:strRef>
          </c:tx>
          <c:spPr>
            <a:noFill/>
            <a:ln>
              <a:noFill/>
            </a:ln>
          </c:spPr>
          <c:invertIfNegative val="0"/>
          <c:cat>
            <c:multiLvlStrRef>
              <c:f>'Resources Data'!$B$2:$C$22</c:f>
              <c:multiLvlStrCache>
                <c:ptCount val="21"/>
                <c:lvl>
                  <c:pt idx="0">
                    <c:v>Broadway PA/VA system....</c:v>
                  </c:pt>
                  <c:pt idx="1">
                    <c:v>172 BPR &amp; Windsor House Chiller Remedial....</c:v>
                  </c:pt>
                  <c:pt idx="2">
                    <c:v>Basement Leak Detection and Sump Pump....</c:v>
                  </c:pt>
                  <c:pt idx="3">
                    <c:v>Toilet Flushing Upgrade....</c:v>
                  </c:pt>
                  <c:pt idx="4">
                    <c:v>VSH Roof and Facades Repairs....</c:v>
                  </c:pt>
                  <c:pt idx="5">
                    <c:v>Griffith House Facade Repairs....</c:v>
                  </c:pt>
                  <c:pt idx="6">
                    <c:v>Building Facades Risk Assessments (7 Building)....</c:v>
                  </c:pt>
                  <c:pt idx="7">
                    <c:v>200 BPR Toilet Refurbishment....</c:v>
                  </c:pt>
                  <c:pt idx="8">
                    <c:v>Templar House Boiler Replacement....</c:v>
                  </c:pt>
                  <c:pt idx="9">
                    <c:v>172 BPR 5th Floor Power....</c:v>
                  </c:pt>
                  <c:pt idx="10">
                    <c:v>New Meeting Rooms for Steve Burton EOS Director ....</c:v>
                  </c:pt>
                  <c:pt idx="11">
                    <c:v>Bringing Back to use Staircase/chained door leading to....</c:v>
                  </c:pt>
                  <c:pt idx="12">
                    <c:v>2nd Floor Kitchen area Palestra....</c:v>
                  </c:pt>
                  <c:pt idx="13">
                    <c:v>Albany House - Plant Optimisation....</c:v>
                  </c:pt>
                  <c:pt idx="14">
                    <c:v>Baker Street Complex - Fire Compliance - Fire Alarms n....</c:v>
                  </c:pt>
                  <c:pt idx="15">
                    <c:v>172 BPR LV Infrastructure Upgrade....</c:v>
                  </c:pt>
                  <c:pt idx="16">
                    <c:v>200 BPR New Kitchens 4th,5th and 6th Floors....</c:v>
                  </c:pt>
                  <c:pt idx="17">
                    <c:v>13 Allsop Place Refurbishment ex-police cells to make ....</c:v>
                  </c:pt>
                  <c:pt idx="18">
                    <c:v>Uniform Store relocation to Penton Street....</c:v>
                  </c:pt>
                  <c:pt idx="19">
                    <c:v>LSTOC Accommodation Workstream....</c:v>
                  </c:pt>
                  <c:pt idx="20">
                    <c:v>Templar House Basement Changeing Room for Chancery Lan....</c:v>
                  </c:pt>
                </c:lvl>
                <c:lvl>
                  <c:pt idx="0">
                    <c:v>Helena Healy</c:v>
                  </c:pt>
                  <c:pt idx="1">
                    <c:v>John Cousins</c:v>
                  </c:pt>
                  <c:pt idx="6">
                    <c:v>John Murphy</c:v>
                  </c:pt>
                  <c:pt idx="10">
                    <c:v>Martina Perkins</c:v>
                  </c:pt>
                  <c:pt idx="13">
                    <c:v>Outside Consultant</c:v>
                  </c:pt>
                </c:lvl>
              </c:multiLvlStrCache>
            </c:multiLvlStrRef>
          </c:cat>
          <c:val>
            <c:numRef>
              <c:f>'Resources Data'!$F$2:$F$22</c:f>
              <c:numCache>
                <c:formatCode>m/d/yyyy</c:formatCode>
                <c:ptCount val="21"/>
                <c:pt idx="0">
                  <c:v>42689</c:v>
                </c:pt>
                <c:pt idx="1">
                  <c:v>41645</c:v>
                </c:pt>
                <c:pt idx="2">
                  <c:v>42262</c:v>
                </c:pt>
                <c:pt idx="3">
                  <c:v>42262</c:v>
                </c:pt>
                <c:pt idx="4">
                  <c:v>42269</c:v>
                </c:pt>
                <c:pt idx="5">
                  <c:v>42689</c:v>
                </c:pt>
                <c:pt idx="6">
                  <c:v>42571</c:v>
                </c:pt>
                <c:pt idx="7">
                  <c:v>42305</c:v>
                </c:pt>
                <c:pt idx="8">
                  <c:v>42199</c:v>
                </c:pt>
                <c:pt idx="9">
                  <c:v>42571</c:v>
                </c:pt>
                <c:pt idx="10">
                  <c:v>42478</c:v>
                </c:pt>
                <c:pt idx="11">
                  <c:v>42689</c:v>
                </c:pt>
                <c:pt idx="12">
                  <c:v>42576</c:v>
                </c:pt>
                <c:pt idx="13">
                  <c:v>40938</c:v>
                </c:pt>
                <c:pt idx="14">
                  <c:v>41183</c:v>
                </c:pt>
                <c:pt idx="15">
                  <c:v>42355</c:v>
                </c:pt>
                <c:pt idx="16">
                  <c:v>42398</c:v>
                </c:pt>
                <c:pt idx="17">
                  <c:v>42569</c:v>
                </c:pt>
                <c:pt idx="18">
                  <c:v>42611</c:v>
                </c:pt>
                <c:pt idx="19">
                  <c:v>42005</c:v>
                </c:pt>
                <c:pt idx="20">
                  <c:v>42370</c:v>
                </c:pt>
              </c:numCache>
            </c:numRef>
          </c:val>
        </c:ser>
        <c:ser>
          <c:idx val="1"/>
          <c:order val="1"/>
          <c:tx>
            <c:v>Days</c:v>
          </c:tx>
          <c:spPr>
            <a:solidFill>
              <a:schemeClr val="tx1"/>
            </a:solidFill>
            <a:scene3d>
              <a:camera prst="orthographicFront"/>
              <a:lightRig rig="threePt" dir="t"/>
            </a:scene3d>
          </c:spPr>
          <c:invertIfNegative val="0"/>
          <c:dPt>
            <c:idx val="0"/>
            <c:invertIfNegative val="0"/>
            <c:bubble3D val="0"/>
            <c:spPr>
              <a:solidFill>
                <a:srgbClr val="CCC0DA"/>
              </a:solidFill>
              <a:scene3d>
                <a:camera prst="orthographicFront"/>
                <a:lightRig rig="threePt" dir="t"/>
              </a:scene3d>
            </c:spPr>
          </c:dPt>
          <c:dPt>
            <c:idx val="1"/>
            <c:invertIfNegative val="0"/>
            <c:bubble3D val="0"/>
            <c:spPr>
              <a:solidFill>
                <a:srgbClr val="CCC0DA"/>
              </a:solidFill>
              <a:scene3d>
                <a:camera prst="orthographicFront"/>
                <a:lightRig rig="threePt" dir="t"/>
              </a:scene3d>
            </c:spPr>
          </c:dPt>
          <c:dPt>
            <c:idx val="2"/>
            <c:invertIfNegative val="0"/>
            <c:bubble3D val="0"/>
            <c:spPr>
              <a:solidFill>
                <a:srgbClr val="CCC0DA"/>
              </a:solidFill>
              <a:scene3d>
                <a:camera prst="orthographicFront"/>
                <a:lightRig rig="threePt" dir="t"/>
              </a:scene3d>
            </c:spPr>
          </c:dPt>
          <c:dPt>
            <c:idx val="3"/>
            <c:invertIfNegative val="0"/>
            <c:bubble3D val="0"/>
            <c:spPr>
              <a:solidFill>
                <a:srgbClr val="DA9694"/>
              </a:solidFill>
              <a:scene3d>
                <a:camera prst="orthographicFront"/>
                <a:lightRig rig="threePt" dir="t"/>
              </a:scene3d>
            </c:spPr>
          </c:dPt>
          <c:dPt>
            <c:idx val="4"/>
            <c:invertIfNegative val="0"/>
            <c:bubble3D val="0"/>
            <c:spPr>
              <a:solidFill>
                <a:srgbClr val="DA9694"/>
              </a:solidFill>
              <a:scene3d>
                <a:camera prst="orthographicFront"/>
                <a:lightRig rig="threePt" dir="t"/>
              </a:scene3d>
            </c:spPr>
          </c:dPt>
          <c:dPt>
            <c:idx val="5"/>
            <c:invertIfNegative val="0"/>
            <c:bubble3D val="0"/>
            <c:spPr>
              <a:solidFill>
                <a:srgbClr val="31869B"/>
              </a:solidFill>
              <a:scene3d>
                <a:camera prst="orthographicFront"/>
                <a:lightRig rig="threePt" dir="t"/>
              </a:scene3d>
            </c:spPr>
          </c:dPt>
          <c:dPt>
            <c:idx val="6"/>
            <c:invertIfNegative val="0"/>
            <c:bubble3D val="0"/>
            <c:spPr>
              <a:solidFill>
                <a:srgbClr val="DA9694"/>
              </a:solidFill>
              <a:scene3d>
                <a:camera prst="orthographicFront"/>
                <a:lightRig rig="threePt" dir="t"/>
              </a:scene3d>
            </c:spPr>
          </c:dPt>
          <c:dPt>
            <c:idx val="7"/>
            <c:invertIfNegative val="0"/>
            <c:bubble3D val="0"/>
            <c:spPr>
              <a:solidFill>
                <a:srgbClr val="7693A0"/>
              </a:solidFill>
              <a:scene3d>
                <a:camera prst="orthographicFront"/>
                <a:lightRig rig="threePt" dir="t"/>
              </a:scene3d>
            </c:spPr>
          </c:dPt>
          <c:dPt>
            <c:idx val="8"/>
            <c:invertIfNegative val="0"/>
            <c:bubble3D val="0"/>
            <c:spPr>
              <a:solidFill>
                <a:srgbClr val="CCC0DA"/>
              </a:solidFill>
              <a:scene3d>
                <a:camera prst="orthographicFront"/>
                <a:lightRig rig="threePt" dir="t"/>
              </a:scene3d>
            </c:spPr>
          </c:dPt>
          <c:dPt>
            <c:idx val="9"/>
            <c:invertIfNegative val="0"/>
            <c:bubble3D val="0"/>
            <c:spPr>
              <a:solidFill>
                <a:srgbClr val="CCC0DA"/>
              </a:solidFill>
              <a:scene3d>
                <a:camera prst="orthographicFront"/>
                <a:lightRig rig="threePt" dir="t"/>
              </a:scene3d>
            </c:spPr>
          </c:dPt>
          <c:dPt>
            <c:idx val="10"/>
            <c:invertIfNegative val="0"/>
            <c:bubble3D val="0"/>
            <c:spPr>
              <a:solidFill>
                <a:srgbClr val="CCC0DA"/>
              </a:solidFill>
              <a:scene3d>
                <a:camera prst="orthographicFront"/>
                <a:lightRig rig="threePt" dir="t"/>
              </a:scene3d>
            </c:spPr>
          </c:dPt>
          <c:dPt>
            <c:idx val="11"/>
            <c:invertIfNegative val="0"/>
            <c:bubble3D val="0"/>
            <c:spPr>
              <a:solidFill>
                <a:srgbClr val="CCC0DA"/>
              </a:solidFill>
              <a:scene3d>
                <a:camera prst="orthographicFront"/>
                <a:lightRig rig="threePt" dir="t"/>
              </a:scene3d>
            </c:spPr>
          </c:dPt>
          <c:dPt>
            <c:idx val="12"/>
            <c:invertIfNegative val="0"/>
            <c:bubble3D val="0"/>
            <c:spPr>
              <a:solidFill>
                <a:srgbClr val="CCC0DA"/>
              </a:solidFill>
              <a:scene3d>
                <a:camera prst="orthographicFront"/>
                <a:lightRig rig="threePt" dir="t"/>
              </a:scene3d>
            </c:spPr>
          </c:dPt>
          <c:dPt>
            <c:idx val="13"/>
            <c:invertIfNegative val="0"/>
            <c:bubble3D val="0"/>
            <c:spPr>
              <a:solidFill>
                <a:srgbClr val="CCC0DA"/>
              </a:solidFill>
              <a:scene3d>
                <a:camera prst="orthographicFront"/>
                <a:lightRig rig="threePt" dir="t"/>
              </a:scene3d>
            </c:spPr>
          </c:dPt>
          <c:dPt>
            <c:idx val="14"/>
            <c:invertIfNegative val="0"/>
            <c:bubble3D val="0"/>
            <c:spPr>
              <a:solidFill>
                <a:srgbClr val="CCC0DA"/>
              </a:solidFill>
              <a:scene3d>
                <a:camera prst="orthographicFront"/>
                <a:lightRig rig="threePt" dir="t"/>
              </a:scene3d>
            </c:spPr>
          </c:dPt>
          <c:dPt>
            <c:idx val="15"/>
            <c:invertIfNegative val="0"/>
            <c:bubble3D val="0"/>
            <c:spPr>
              <a:solidFill>
                <a:srgbClr val="DA9694"/>
              </a:solidFill>
              <a:scene3d>
                <a:camera prst="orthographicFront"/>
                <a:lightRig rig="threePt" dir="t"/>
              </a:scene3d>
            </c:spPr>
          </c:dPt>
          <c:dPt>
            <c:idx val="16"/>
            <c:invertIfNegative val="0"/>
            <c:bubble3D val="0"/>
            <c:spPr>
              <a:solidFill>
                <a:srgbClr val="CCC0DA"/>
              </a:solidFill>
              <a:scene3d>
                <a:camera prst="orthographicFront"/>
                <a:lightRig rig="threePt" dir="t"/>
              </a:scene3d>
            </c:spPr>
          </c:dPt>
          <c:dPt>
            <c:idx val="17"/>
            <c:invertIfNegative val="0"/>
            <c:bubble3D val="0"/>
            <c:spPr>
              <a:solidFill>
                <a:srgbClr val="CCC0DA"/>
              </a:solidFill>
              <a:scene3d>
                <a:camera prst="orthographicFront"/>
                <a:lightRig rig="threePt" dir="t"/>
              </a:scene3d>
            </c:spPr>
          </c:dPt>
          <c:dPt>
            <c:idx val="18"/>
            <c:invertIfNegative val="0"/>
            <c:bubble3D val="0"/>
            <c:spPr>
              <a:solidFill>
                <a:srgbClr val="CCC0DA"/>
              </a:solidFill>
              <a:scene3d>
                <a:camera prst="orthographicFront"/>
                <a:lightRig rig="threePt" dir="t"/>
              </a:scene3d>
            </c:spPr>
          </c:dPt>
          <c:dPt>
            <c:idx val="19"/>
            <c:invertIfNegative val="0"/>
            <c:bubble3D val="0"/>
            <c:spPr>
              <a:solidFill>
                <a:srgbClr val="CCC0DA"/>
              </a:solidFill>
              <a:scene3d>
                <a:camera prst="orthographicFront"/>
                <a:lightRig rig="threePt" dir="t"/>
              </a:scene3d>
            </c:spPr>
          </c:dPt>
          <c:dPt>
            <c:idx val="20"/>
            <c:invertIfNegative val="0"/>
            <c:bubble3D val="0"/>
            <c:spPr>
              <a:solidFill>
                <a:srgbClr val="CCC0DA"/>
              </a:solidFill>
              <a:scene3d>
                <a:camera prst="orthographicFront"/>
                <a:lightRig rig="threePt" dir="t"/>
              </a:scene3d>
            </c:spPr>
          </c:dPt>
          <c:dPt>
            <c:idx val="21"/>
            <c:invertIfNegative val="0"/>
            <c:bubble3D val="0"/>
            <c:spPr>
              <a:solidFill>
                <a:srgbClr val="CCC0DA"/>
              </a:solidFill>
              <a:scene3d>
                <a:camera prst="orthographicFront"/>
                <a:lightRig rig="threePt" dir="t"/>
              </a:scene3d>
            </c:spPr>
          </c:dPt>
          <c:dPt>
            <c:idx val="22"/>
            <c:invertIfNegative val="0"/>
            <c:bubble3D val="0"/>
            <c:spPr>
              <a:solidFill>
                <a:srgbClr val="CCC0DA"/>
              </a:solidFill>
              <a:scene3d>
                <a:camera prst="orthographicFront"/>
                <a:lightRig rig="threePt" dir="t"/>
              </a:scene3d>
            </c:spPr>
          </c:dPt>
          <c:dPt>
            <c:idx val="23"/>
            <c:invertIfNegative val="0"/>
            <c:bubble3D val="0"/>
            <c:spPr>
              <a:solidFill>
                <a:srgbClr val="CCC0DA"/>
              </a:solidFill>
              <a:scene3d>
                <a:camera prst="orthographicFront"/>
                <a:lightRig rig="threePt" dir="t"/>
              </a:scene3d>
            </c:spPr>
          </c:dPt>
          <c:dPt>
            <c:idx val="24"/>
            <c:invertIfNegative val="0"/>
            <c:bubble3D val="0"/>
            <c:spPr>
              <a:solidFill>
                <a:srgbClr val="CCC0DA"/>
              </a:solidFill>
              <a:scene3d>
                <a:camera prst="orthographicFront"/>
                <a:lightRig rig="threePt" dir="t"/>
              </a:scene3d>
            </c:spPr>
          </c:dPt>
          <c:cat>
            <c:multiLvlStrRef>
              <c:f>'Resources Data'!$B$2:$C$22</c:f>
              <c:multiLvlStrCache>
                <c:ptCount val="21"/>
                <c:lvl>
                  <c:pt idx="0">
                    <c:v>Broadway PA/VA system....</c:v>
                  </c:pt>
                  <c:pt idx="1">
                    <c:v>172 BPR &amp; Windsor House Chiller Remedial....</c:v>
                  </c:pt>
                  <c:pt idx="2">
                    <c:v>Basement Leak Detection and Sump Pump....</c:v>
                  </c:pt>
                  <c:pt idx="3">
                    <c:v>Toilet Flushing Upgrade....</c:v>
                  </c:pt>
                  <c:pt idx="4">
                    <c:v>VSH Roof and Facades Repairs....</c:v>
                  </c:pt>
                  <c:pt idx="5">
                    <c:v>Griffith House Facade Repairs....</c:v>
                  </c:pt>
                  <c:pt idx="6">
                    <c:v>Building Facades Risk Assessments (7 Building)....</c:v>
                  </c:pt>
                  <c:pt idx="7">
                    <c:v>200 BPR Toilet Refurbishment....</c:v>
                  </c:pt>
                  <c:pt idx="8">
                    <c:v>Templar House Boiler Replacement....</c:v>
                  </c:pt>
                  <c:pt idx="9">
                    <c:v>172 BPR 5th Floor Power....</c:v>
                  </c:pt>
                  <c:pt idx="10">
                    <c:v>New Meeting Rooms for Steve Burton EOS Director ....</c:v>
                  </c:pt>
                  <c:pt idx="11">
                    <c:v>Bringing Back to use Staircase/chained door leading to....</c:v>
                  </c:pt>
                  <c:pt idx="12">
                    <c:v>2nd Floor Kitchen area Palestra....</c:v>
                  </c:pt>
                  <c:pt idx="13">
                    <c:v>Albany House - Plant Optimisation....</c:v>
                  </c:pt>
                  <c:pt idx="14">
                    <c:v>Baker Street Complex - Fire Compliance - Fire Alarms n....</c:v>
                  </c:pt>
                  <c:pt idx="15">
                    <c:v>172 BPR LV Infrastructure Upgrade....</c:v>
                  </c:pt>
                  <c:pt idx="16">
                    <c:v>200 BPR New Kitchens 4th,5th and 6th Floors....</c:v>
                  </c:pt>
                  <c:pt idx="17">
                    <c:v>13 Allsop Place Refurbishment ex-police cells to make ....</c:v>
                  </c:pt>
                  <c:pt idx="18">
                    <c:v>Uniform Store relocation to Penton Street....</c:v>
                  </c:pt>
                  <c:pt idx="19">
                    <c:v>LSTOC Accommodation Workstream....</c:v>
                  </c:pt>
                  <c:pt idx="20">
                    <c:v>Templar House Basement Changeing Room for Chancery Lan....</c:v>
                  </c:pt>
                </c:lvl>
                <c:lvl>
                  <c:pt idx="0">
                    <c:v>Helena Healy</c:v>
                  </c:pt>
                  <c:pt idx="1">
                    <c:v>John Cousins</c:v>
                  </c:pt>
                  <c:pt idx="6">
                    <c:v>John Murphy</c:v>
                  </c:pt>
                  <c:pt idx="10">
                    <c:v>Martina Perkins</c:v>
                  </c:pt>
                  <c:pt idx="13">
                    <c:v>Outside Consultant</c:v>
                  </c:pt>
                </c:lvl>
              </c:multiLvlStrCache>
            </c:multiLvlStrRef>
          </c:cat>
          <c:val>
            <c:numRef>
              <c:f>'Resources Data'!$I$2:$I$22</c:f>
              <c:numCache>
                <c:formatCode>General</c:formatCode>
                <c:ptCount val="21"/>
                <c:pt idx="0">
                  <c:v>140</c:v>
                </c:pt>
                <c:pt idx="1">
                  <c:v>1169</c:v>
                </c:pt>
                <c:pt idx="2">
                  <c:v>458</c:v>
                </c:pt>
                <c:pt idx="3">
                  <c:v>330</c:v>
                </c:pt>
                <c:pt idx="4">
                  <c:v>601</c:v>
                </c:pt>
                <c:pt idx="5">
                  <c:v>0</c:v>
                </c:pt>
                <c:pt idx="6">
                  <c:v>337</c:v>
                </c:pt>
                <c:pt idx="7">
                  <c:v>345</c:v>
                </c:pt>
                <c:pt idx="8">
                  <c:v>517</c:v>
                </c:pt>
                <c:pt idx="9">
                  <c:v>134</c:v>
                </c:pt>
                <c:pt idx="10">
                  <c:v>233</c:v>
                </c:pt>
                <c:pt idx="11">
                  <c:v>139</c:v>
                </c:pt>
                <c:pt idx="12">
                  <c:v>203</c:v>
                </c:pt>
                <c:pt idx="13">
                  <c:v>1845</c:v>
                </c:pt>
                <c:pt idx="14">
                  <c:v>1672</c:v>
                </c:pt>
                <c:pt idx="15">
                  <c:v>372</c:v>
                </c:pt>
                <c:pt idx="16">
                  <c:v>311</c:v>
                </c:pt>
                <c:pt idx="17">
                  <c:v>123</c:v>
                </c:pt>
                <c:pt idx="18">
                  <c:v>116</c:v>
                </c:pt>
                <c:pt idx="19">
                  <c:v>692</c:v>
                </c:pt>
                <c:pt idx="20">
                  <c:v>45</c:v>
                </c:pt>
              </c:numCache>
            </c:numRef>
          </c:val>
        </c:ser>
        <c:dLbls>
          <c:showLegendKey val="0"/>
          <c:showVal val="0"/>
          <c:showCatName val="0"/>
          <c:showSerName val="0"/>
          <c:showPercent val="0"/>
          <c:showBubbleSize val="0"/>
        </c:dLbls>
        <c:gapWidth val="150"/>
        <c:overlap val="100"/>
        <c:axId val="137719808"/>
        <c:axId val="137721344"/>
      </c:barChart>
      <c:scatterChart>
        <c:scatterStyle val="lineMarker"/>
        <c:varyColors val="0"/>
        <c:ser>
          <c:idx val="2"/>
          <c:order val="2"/>
          <c:tx>
            <c:v>Today</c:v>
          </c:tx>
          <c:spPr>
            <a:ln>
              <a:solidFill>
                <a:schemeClr val="tx1"/>
              </a:solidFill>
            </a:ln>
            <a:effectLst/>
          </c:spPr>
          <c:marker>
            <c:symbol val="none"/>
          </c:marker>
          <c:dLbls>
            <c:dLbl>
              <c:idx val="0"/>
              <c:layout>
                <c:manualLayout>
                  <c:x val="-1.6573441060700228E-3"/>
                  <c:y val="-2.0942411254814591E-2"/>
                </c:manualLayout>
              </c:layout>
              <c:dLblPos val="r"/>
              <c:showLegendKey val="0"/>
              <c:showVal val="0"/>
              <c:showCatName val="1"/>
              <c:showSerName val="1"/>
              <c:showPercent val="0"/>
              <c:showBubbleSize val="0"/>
              <c:separator>
</c:separator>
            </c:dLbl>
            <c:dLbl>
              <c:idx val="1"/>
              <c:delete val="1"/>
            </c:dLbl>
            <c:txPr>
              <a:bodyPr/>
              <a:lstStyle/>
              <a:p>
                <a:pPr>
                  <a:defRPr b="1" i="0" baseline="0"/>
                </a:pPr>
                <a:endParaRPr lang="en-US"/>
              </a:p>
            </c:txPr>
            <c:dLblPos val="r"/>
            <c:showLegendKey val="0"/>
            <c:showVal val="0"/>
            <c:showCatName val="1"/>
            <c:showSerName val="1"/>
            <c:showPercent val="0"/>
            <c:showBubbleSize val="0"/>
            <c:separator>
</c:separator>
            <c:showLeaderLines val="0"/>
          </c:dLbls>
          <c:trendline>
            <c:trendlineType val="linear"/>
            <c:dispRSqr val="0"/>
            <c:dispEq val="0"/>
          </c:trendline>
          <c:trendline>
            <c:trendlineType val="linear"/>
            <c:dispRSqr val="0"/>
            <c:dispEq val="0"/>
          </c:trendline>
          <c:xVal>
            <c:numRef>
              <c:f>'Rag Coding'!$H$1:$H$2</c:f>
              <c:numCache>
                <c:formatCode>m/d/yyyy</c:formatCode>
                <c:ptCount val="2"/>
                <c:pt idx="0">
                  <c:v>42768</c:v>
                </c:pt>
                <c:pt idx="1">
                  <c:v>42768</c:v>
                </c:pt>
              </c:numCache>
            </c:numRef>
          </c:xVal>
          <c:yVal>
            <c:numRef>
              <c:f>'Rag Coding'!$I$1:$I$2</c:f>
              <c:numCache>
                <c:formatCode>General</c:formatCode>
                <c:ptCount val="2"/>
                <c:pt idx="0">
                  <c:v>0</c:v>
                </c:pt>
                <c:pt idx="1">
                  <c:v>1</c:v>
                </c:pt>
              </c:numCache>
            </c:numRef>
          </c:yVal>
          <c:smooth val="0"/>
        </c:ser>
        <c:dLbls>
          <c:showLegendKey val="0"/>
          <c:showVal val="0"/>
          <c:showCatName val="0"/>
          <c:showSerName val="0"/>
          <c:showPercent val="0"/>
          <c:showBubbleSize val="0"/>
        </c:dLbls>
        <c:axId val="137724672"/>
        <c:axId val="137722880"/>
      </c:scatterChart>
      <c:catAx>
        <c:axId val="137719808"/>
        <c:scaling>
          <c:orientation val="maxMin"/>
        </c:scaling>
        <c:delete val="0"/>
        <c:axPos val="l"/>
        <c:majorGridlines>
          <c:spPr>
            <a:ln w="19050" cmpd="sng">
              <a:noFill/>
            </a:ln>
          </c:spPr>
        </c:majorGridlines>
        <c:minorGridlines>
          <c:spPr>
            <a:ln>
              <a:noFill/>
            </a:ln>
          </c:spPr>
        </c:minorGridlines>
        <c:majorTickMark val="out"/>
        <c:minorTickMark val="none"/>
        <c:tickLblPos val="low"/>
        <c:spPr>
          <a:effectLst/>
        </c:spPr>
        <c:txPr>
          <a:bodyPr rot="0" vert="horz" anchor="ctr" anchorCtr="1"/>
          <a:lstStyle/>
          <a:p>
            <a:pPr>
              <a:defRPr/>
            </a:pPr>
            <a:endParaRPr lang="en-US"/>
          </a:p>
        </c:txPr>
        <c:crossAx val="137721344"/>
        <c:crosses val="autoZero"/>
        <c:auto val="1"/>
        <c:lblAlgn val="ctr"/>
        <c:lblOffset val="100"/>
        <c:noMultiLvlLbl val="0"/>
      </c:catAx>
      <c:valAx>
        <c:axId val="137721344"/>
        <c:scaling>
          <c:orientation val="minMax"/>
          <c:max val="42896"/>
          <c:min val="42718"/>
        </c:scaling>
        <c:delete val="0"/>
        <c:axPos val="t"/>
        <c:majorGridlines/>
        <c:minorGridlines>
          <c:spPr>
            <a:ln w="9525">
              <a:solidFill>
                <a:schemeClr val="bg1">
                  <a:lumMod val="85000"/>
                </a:schemeClr>
              </a:solidFill>
            </a:ln>
          </c:spPr>
        </c:minorGridlines>
        <c:numFmt formatCode="d\-mmm\-yy" sourceLinked="0"/>
        <c:majorTickMark val="none"/>
        <c:minorTickMark val="none"/>
        <c:tickLblPos val="nextTo"/>
        <c:txPr>
          <a:bodyPr rot="0" vert="horz"/>
          <a:lstStyle/>
          <a:p>
            <a:pPr>
              <a:defRPr sz="900" kern="1200" cap="none" normalizeH="0" baseline="0"/>
            </a:pPr>
            <a:endParaRPr lang="en-US"/>
          </a:p>
        </c:txPr>
        <c:crossAx val="137719808"/>
        <c:crosses val="autoZero"/>
        <c:crossBetween val="between"/>
        <c:majorUnit val="12"/>
      </c:valAx>
      <c:valAx>
        <c:axId val="137722880"/>
        <c:scaling>
          <c:orientation val="minMax"/>
          <c:max val="1"/>
          <c:min val="0"/>
        </c:scaling>
        <c:delete val="1"/>
        <c:axPos val="l"/>
        <c:numFmt formatCode="General" sourceLinked="1"/>
        <c:majorTickMark val="out"/>
        <c:minorTickMark val="none"/>
        <c:tickLblPos val="nextTo"/>
        <c:crossAx val="137724672"/>
        <c:crosses val="autoZero"/>
        <c:crossBetween val="midCat"/>
      </c:valAx>
      <c:valAx>
        <c:axId val="137724672"/>
        <c:scaling>
          <c:orientation val="minMax"/>
        </c:scaling>
        <c:delete val="1"/>
        <c:axPos val="b"/>
        <c:numFmt formatCode="m/d/yyyy" sourceLinked="1"/>
        <c:majorTickMark val="out"/>
        <c:minorTickMark val="none"/>
        <c:tickLblPos val="nextTo"/>
        <c:crossAx val="137722880"/>
        <c:crosses val="autoZero"/>
        <c:crossBetween val="midCat"/>
      </c:valAx>
      <c:spPr>
        <a:effectLst/>
      </c:spPr>
    </c:plotArea>
    <c:plotVisOnly val="1"/>
    <c:dispBlanksAs val="gap"/>
    <c:showDLblsOverMax val="0"/>
  </c:chart>
  <c:spPr>
    <a:ln>
      <a:noFill/>
    </a:ln>
    <a:effectLst>
      <a:outerShdw blurRad="63500" sx="102000" sy="102000" algn="ctr" rotWithShape="0">
        <a:prstClr val="black">
          <a:alpha val="40000"/>
        </a:prstClr>
      </a:outerShdw>
    </a:effectLst>
  </c:spPr>
  <c:printSettings>
    <c:headerFooter>
      <c:oddHeader>&amp;CProjects Resource Allocation</c:oddHeader>
    </c:headerFooter>
    <c:pageMargins b="0" l="0" r="0" t="0" header="0.31496062992125984" footer="0"/>
    <c:pageSetup paperSize="8" orientation="landscape"/>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Scroll" dx="16" fmlaLink="$B$39" horiz="1" max="12" min="1" page="2" val="11"/>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104776</xdr:rowOff>
    </xdr:from>
    <xdr:ext cx="2876549" cy="450012"/>
    <xdr:sp macro="" textlink="">
      <xdr:nvSpPr>
        <xdr:cNvPr id="2" name="Rectangle 1"/>
        <xdr:cNvSpPr/>
      </xdr:nvSpPr>
      <xdr:spPr>
        <a:xfrm>
          <a:off x="0" y="104776"/>
          <a:ext cx="2876549" cy="450012"/>
        </a:xfrm>
        <a:prstGeom prst="rect">
          <a:avLst/>
        </a:prstGeom>
        <a:noFill/>
      </xdr:spPr>
      <xdr:txBody>
        <a:bodyPr wrap="none" lIns="91440" tIns="45720" rIns="91440" bIns="45720" anchor="ctr">
          <a:noAutofit/>
        </a:bodyPr>
        <a:lstStyle/>
        <a:p>
          <a:pPr algn="l"/>
          <a:r>
            <a:rPr lang="en-US" sz="4400" b="1" cap="none" spc="0" baseline="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rPr>
            <a:t>Dashboard</a:t>
          </a:r>
          <a:endParaRPr lang="en-US" sz="32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mc:AlternateContent xmlns:mc="http://schemas.openxmlformats.org/markup-compatibility/2006">
    <mc:Choice xmlns:a14="http://schemas.microsoft.com/office/drawing/2010/main" Requires="a14">
      <xdr:twoCellAnchor>
        <xdr:from>
          <xdr:col>13</xdr:col>
          <xdr:colOff>1609725</xdr:colOff>
          <xdr:row>0</xdr:row>
          <xdr:rowOff>57150</xdr:rowOff>
        </xdr:from>
        <xdr:to>
          <xdr:col>13</xdr:col>
          <xdr:colOff>2809875</xdr:colOff>
          <xdr:row>1</xdr:row>
          <xdr:rowOff>19050</xdr:rowOff>
        </xdr:to>
        <xdr:sp macro="" textlink="">
          <xdr:nvSpPr>
            <xdr:cNvPr id="1025" name="Button 1" hidden="1">
              <a:extLst>
                <a:ext uri="{63B3BB69-23CF-44E3-9099-C40C66FF867C}">
                  <a14:compatExt spid="_x0000_s1025"/>
                </a:ext>
              </a:extLst>
            </xdr:cNvPr>
            <xdr:cNvSpPr/>
          </xdr:nvSpPr>
          <xdr:spPr>
            <a:xfrm>
              <a:off x="0" y="0"/>
              <a:ext cx="0" cy="0"/>
            </a:xfrm>
            <a:prstGeom prst="rect">
              <a:avLst/>
            </a:prstGeom>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a:cs typeface="Arial"/>
                </a:rPr>
                <a:t>Protect Sheet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1609725</xdr:colOff>
          <xdr:row>1</xdr:row>
          <xdr:rowOff>47625</xdr:rowOff>
        </xdr:from>
        <xdr:to>
          <xdr:col>13</xdr:col>
          <xdr:colOff>2809875</xdr:colOff>
          <xdr:row>1</xdr:row>
          <xdr:rowOff>457200</xdr:rowOff>
        </xdr:to>
        <xdr:sp macro="" textlink="">
          <xdr:nvSpPr>
            <xdr:cNvPr id="1026" name="Button 2" hidden="1">
              <a:extLst>
                <a:ext uri="{63B3BB69-23CF-44E3-9099-C40C66FF867C}">
                  <a14:compatExt spid="_x0000_s1026"/>
                </a:ext>
              </a:extLst>
            </xdr:cNvPr>
            <xdr:cNvSpPr/>
          </xdr:nvSpPr>
          <xdr:spPr>
            <a:xfrm>
              <a:off x="0" y="0"/>
              <a:ext cx="0" cy="0"/>
            </a:xfrm>
            <a:prstGeom prst="rect">
              <a:avLst/>
            </a:prstGeom>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a:cs typeface="Arial"/>
                </a:rPr>
                <a:t>Un-Protect Sheet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2828925</xdr:colOff>
          <xdr:row>0</xdr:row>
          <xdr:rowOff>57150</xdr:rowOff>
        </xdr:from>
        <xdr:to>
          <xdr:col>13</xdr:col>
          <xdr:colOff>4029075</xdr:colOff>
          <xdr:row>1</xdr:row>
          <xdr:rowOff>19050</xdr:rowOff>
        </xdr:to>
        <xdr:sp macro="" textlink="">
          <xdr:nvSpPr>
            <xdr:cNvPr id="1028" name="Button 4" hidden="1">
              <a:extLst>
                <a:ext uri="{63B3BB69-23CF-44E3-9099-C40C66FF867C}">
                  <a14:compatExt spid="_x0000_s102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GB" sz="1200" b="1" i="0" u="none" strike="noStrike" baseline="0">
                  <a:solidFill>
                    <a:srgbClr val="000000"/>
                  </a:solidFill>
                  <a:latin typeface="Arial"/>
                  <a:cs typeface="Arial"/>
                </a:rPr>
                <a:t>Add New Project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2838450</xdr:colOff>
          <xdr:row>1</xdr:row>
          <xdr:rowOff>47625</xdr:rowOff>
        </xdr:from>
        <xdr:to>
          <xdr:col>13</xdr:col>
          <xdr:colOff>4029075</xdr:colOff>
          <xdr:row>1</xdr:row>
          <xdr:rowOff>457200</xdr:rowOff>
        </xdr:to>
        <xdr:sp macro="" textlink="">
          <xdr:nvSpPr>
            <xdr:cNvPr id="1029" name="Button 5" hidden="1">
              <a:extLst>
                <a:ext uri="{63B3BB69-23CF-44E3-9099-C40C66FF867C}">
                  <a14:compatExt spid="_x0000_s102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GB" sz="1200" b="1" i="0" u="none" strike="noStrike" baseline="0">
                  <a:solidFill>
                    <a:srgbClr val="000000"/>
                  </a:solidFill>
                  <a:latin typeface="Arial"/>
                  <a:cs typeface="Arial"/>
                </a:rPr>
                <a:t>Archive Project</a:t>
              </a:r>
            </a:p>
            <a:p>
              <a:pPr algn="ctr" rtl="0">
                <a:defRPr sz="1000"/>
              </a:pPr>
              <a:endParaRPr lang="en-GB" sz="1200" b="1" i="0" u="none" strike="noStrike" baseline="0">
                <a:solidFill>
                  <a:srgbClr val="000000"/>
                </a:solidFill>
                <a:latin typeface="Arial"/>
                <a:cs typeface="Arial"/>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2828925</xdr:colOff>
          <xdr:row>1</xdr:row>
          <xdr:rowOff>495300</xdr:rowOff>
        </xdr:from>
        <xdr:to>
          <xdr:col>13</xdr:col>
          <xdr:colOff>4029075</xdr:colOff>
          <xdr:row>2</xdr:row>
          <xdr:rowOff>333375</xdr:rowOff>
        </xdr:to>
        <xdr:sp macro="" textlink="">
          <xdr:nvSpPr>
            <xdr:cNvPr id="1030" name="Button 6" hidden="1">
              <a:extLst>
                <a:ext uri="{63B3BB69-23CF-44E3-9099-C40C66FF867C}">
                  <a14:compatExt spid="_x0000_s103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GB" sz="1200" b="1" i="0" u="none" strike="noStrike" baseline="0">
                  <a:solidFill>
                    <a:srgbClr val="000000"/>
                  </a:solidFill>
                  <a:latin typeface="Arial"/>
                  <a:cs typeface="Arial"/>
                </a:rPr>
                <a:t>Update Project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95250</xdr:colOff>
          <xdr:row>0</xdr:row>
          <xdr:rowOff>66675</xdr:rowOff>
        </xdr:from>
        <xdr:to>
          <xdr:col>9</xdr:col>
          <xdr:colOff>714375</xdr:colOff>
          <xdr:row>0</xdr:row>
          <xdr:rowOff>400050</xdr:rowOff>
        </xdr:to>
        <xdr:sp macro="" textlink="">
          <xdr:nvSpPr>
            <xdr:cNvPr id="13316" name="Button 4" hidden="1">
              <a:extLst>
                <a:ext uri="{63B3BB69-23CF-44E3-9099-C40C66FF867C}">
                  <a14:compatExt spid="_x0000_s1331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GB" sz="1000" b="0" i="0" u="none" strike="noStrike" baseline="0">
                  <a:solidFill>
                    <a:srgbClr val="000000"/>
                  </a:solidFill>
                  <a:latin typeface="Arial"/>
                  <a:cs typeface="Arial"/>
                </a:rPr>
                <a:t>Refresh Report</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238125</xdr:colOff>
      <xdr:row>0</xdr:row>
      <xdr:rowOff>123826</xdr:rowOff>
    </xdr:from>
    <xdr:to>
      <xdr:col>20</xdr:col>
      <xdr:colOff>323850</xdr:colOff>
      <xdr:row>35</xdr:row>
      <xdr:rowOff>161926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209550</xdr:colOff>
          <xdr:row>36</xdr:row>
          <xdr:rowOff>47625</xdr:rowOff>
        </xdr:from>
        <xdr:to>
          <xdr:col>20</xdr:col>
          <xdr:colOff>314325</xdr:colOff>
          <xdr:row>37</xdr:row>
          <xdr:rowOff>95250</xdr:rowOff>
        </xdr:to>
        <xdr:sp macro="" textlink="">
          <xdr:nvSpPr>
            <xdr:cNvPr id="28673" name="Scroll Bar 1" hidden="1">
              <a:extLst>
                <a:ext uri="{63B3BB69-23CF-44E3-9099-C40C66FF867C}">
                  <a14:compatExt spid="_x0000_s28673"/>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2" name="Table2" displayName="Table2" ref="A2:I47" totalsRowShown="0" headerRowDxfId="24" dataDxfId="23">
  <autoFilter ref="A2:I47"/>
  <sortState ref="A3:I47">
    <sortCondition ref="A2:A47"/>
  </sortState>
  <tableColumns count="9">
    <tableColumn id="2" name="Project ID" dataDxfId="22"/>
    <tableColumn id="3" name="Project Details" dataDxfId="21"/>
    <tableColumn id="4" name="Change Request Description" dataDxfId="20"/>
    <tableColumn id="5" name="Summary of Impact _x000a_(Cost / Schedule / Quality )" dataDxfId="19"/>
    <tableColumn id="6" name="Reason for Change" dataDxfId="18"/>
    <tableColumn id="7" name="Submitted By" dataDxfId="17"/>
    <tableColumn id="8" name="Date Submitted" dataDxfId="16"/>
    <tableColumn id="10" name="Date Approved / Rejected" dataDxfId="15"/>
    <tableColumn id="11" name="Approval / Rejection comment" dataDxfId="14"/>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A1:L22" totalsRowShown="0" headerRowDxfId="13" dataDxfId="12">
  <autoFilter ref="A1:L22"/>
  <tableColumns count="12">
    <tableColumn id="1" name="Project ID" dataDxfId="11"/>
    <tableColumn id="2" name="Project Managers" dataDxfId="10"/>
    <tableColumn id="3" name="Column1" dataDxfId="9">
      <calculatedColumnFormula>IF(D2="","",CONCATENATE(LEFT(D2,54),"...."))</calculatedColumnFormula>
    </tableColumn>
    <tableColumn id="4" name="Project Description" dataDxfId="8"/>
    <tableColumn id="5" name="Pulled Project Manager" dataDxfId="7"/>
    <tableColumn id="6" name="Start date" dataDxfId="6"/>
    <tableColumn id="7" name="PulledCompletion" dataDxfId="5"/>
    <tableColumn id="8" name="Completion" dataDxfId="4"/>
    <tableColumn id="9" name="Days" dataDxfId="3">
      <calculatedColumnFormula>IF(K2&gt;=0,K2,0)</calculatedColumnFormula>
    </tableColumn>
    <tableColumn id="10" name="Today" dataDxfId="2"/>
    <tableColumn id="11" name="Pulled DaysColumn1" dataDxfId="1"/>
    <tableColumn id="12" name="Pulled DaysColumn2" dataDxfId="0">
      <calculatedColumnFormula>VLOOKUP($A2,'Tracker Sheet'!$A$3:$CA$40,79,FALSE)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hyperlink" Target="../../../livelink/llisapi.dll?func=ll&amp;objId=344162392&amp;objAction=browse" TargetMode="External"/><Relationship Id="rId13" Type="http://schemas.openxmlformats.org/officeDocument/2006/relationships/hyperlink" Target="../../../livelink/llisapi.dll?func=ll&amp;objId=361582688&amp;objAction=browse" TargetMode="External"/><Relationship Id="rId18" Type="http://schemas.openxmlformats.org/officeDocument/2006/relationships/hyperlink" Target="../../../livelink/llisapi.dll?func=ll&amp;objId=362054143&amp;objAction=browse" TargetMode="External"/><Relationship Id="rId3" Type="http://schemas.openxmlformats.org/officeDocument/2006/relationships/hyperlink" Target="../../../livelink/llisapi.dll?func=ll&amp;objId=349205439&amp;objAction=browse" TargetMode="External"/><Relationship Id="rId21" Type="http://schemas.openxmlformats.org/officeDocument/2006/relationships/hyperlink" Target="../../../livelink/llisapi.dll/open/369379920" TargetMode="External"/><Relationship Id="rId7" Type="http://schemas.openxmlformats.org/officeDocument/2006/relationships/hyperlink" Target="../../../livelink/llisapi.dll?func=ll&amp;objId=345762375&amp;objAction=browse" TargetMode="External"/><Relationship Id="rId12" Type="http://schemas.openxmlformats.org/officeDocument/2006/relationships/hyperlink" Target="../../../livelink/llisapi.dll?func=ll&amp;objId=349532387&amp;objAction=browse" TargetMode="External"/><Relationship Id="rId17" Type="http://schemas.openxmlformats.org/officeDocument/2006/relationships/hyperlink" Target="../../../livelink/llisapi.dll?func=ll&amp;objId=362047988&amp;objAction=browse" TargetMode="External"/><Relationship Id="rId2" Type="http://schemas.openxmlformats.org/officeDocument/2006/relationships/hyperlink" Target="../../../livelink/llisapi.dll?func=ll&amp;objId=336179935&amp;objAction=browse" TargetMode="External"/><Relationship Id="rId16" Type="http://schemas.openxmlformats.org/officeDocument/2006/relationships/hyperlink" Target="../../../livelink/llisapi.dll?func=ll&amp;objId=350409433&amp;objAction=browse" TargetMode="External"/><Relationship Id="rId20" Type="http://schemas.openxmlformats.org/officeDocument/2006/relationships/hyperlink" Target="../../../livelink/llisapi.dll?func=ll&amp;objId=360624975&amp;objAction=browse" TargetMode="External"/><Relationship Id="rId1" Type="http://schemas.openxmlformats.org/officeDocument/2006/relationships/hyperlink" Target="../../../livelink/llisapi.dll?func=ll&amp;objId=335757796&amp;objAction=browse" TargetMode="External"/><Relationship Id="rId6" Type="http://schemas.openxmlformats.org/officeDocument/2006/relationships/hyperlink" Target="../../../livelink/llisapi.dll?func=ll&amp;objId=345764123&amp;objAction=browse" TargetMode="External"/><Relationship Id="rId11" Type="http://schemas.openxmlformats.org/officeDocument/2006/relationships/hyperlink" Target="../../../livelink/llisapi.dll?func=ll&amp;objId=358801759&amp;objAction=browse" TargetMode="External"/><Relationship Id="rId24" Type="http://schemas.openxmlformats.org/officeDocument/2006/relationships/comments" Target="../comments1.xml"/><Relationship Id="rId5" Type="http://schemas.openxmlformats.org/officeDocument/2006/relationships/hyperlink" Target="../../../livelink/llisapi.dll?func=ll&amp;objId=335856458&amp;objAction=browse" TargetMode="External"/><Relationship Id="rId15" Type="http://schemas.openxmlformats.org/officeDocument/2006/relationships/hyperlink" Target="../../../livelink/llisapi.dll?func=ll&amp;objId=362056207&amp;objAction=browse" TargetMode="External"/><Relationship Id="rId23" Type="http://schemas.openxmlformats.org/officeDocument/2006/relationships/vmlDrawing" Target="../drawings/vmlDrawing2.vml"/><Relationship Id="rId10" Type="http://schemas.openxmlformats.org/officeDocument/2006/relationships/hyperlink" Target="../../../livelink/llisapi.dll?func=ll&amp;objId=349214569&amp;objAction=browse" TargetMode="External"/><Relationship Id="rId19" Type="http://schemas.openxmlformats.org/officeDocument/2006/relationships/hyperlink" Target="../../../livelink/llisapi.dll?func=ll&amp;objId=367783991&amp;objAction=browse" TargetMode="External"/><Relationship Id="rId4" Type="http://schemas.openxmlformats.org/officeDocument/2006/relationships/hyperlink" Target="../../../livelink/llisapi.dll?func=ll&amp;objId=344822485&amp;objAction=browse" TargetMode="External"/><Relationship Id="rId9" Type="http://schemas.openxmlformats.org/officeDocument/2006/relationships/hyperlink" Target="../../../livelink/llisapi.dll?func=ll&amp;objId=348805377&amp;objAction=browse" TargetMode="External"/><Relationship Id="rId14" Type="http://schemas.openxmlformats.org/officeDocument/2006/relationships/hyperlink" Target="../../../livelink/llisapi.dll?func=ll&amp;objId=361111953&amp;objAction=browse"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livelink/llisapi.dll?func=ll&amp;objId=358808194&amp;objAction=browse" TargetMode="External"/><Relationship Id="rId21" Type="http://schemas.openxmlformats.org/officeDocument/2006/relationships/hyperlink" Target="../../../livelink/llisapi.dll?func=ll&amp;objId=336182683&amp;objAction=browse&amp;viewType=1" TargetMode="External"/><Relationship Id="rId42" Type="http://schemas.openxmlformats.org/officeDocument/2006/relationships/hyperlink" Target="file:///\\docmanager.onelondon.tfl.local\DavWWWRoot\otcsdav\nodes\351712192\Project%20Tracker%20Report-2.2%2011%20May%2016.xls" TargetMode="External"/><Relationship Id="rId63" Type="http://schemas.openxmlformats.org/officeDocument/2006/relationships/hyperlink" Target="../../../livelink/llisapi.dll?func=ll&amp;objId=345728000&amp;objAction=browse" TargetMode="External"/><Relationship Id="rId84" Type="http://schemas.openxmlformats.org/officeDocument/2006/relationships/hyperlink" Target="../../../livelink/llisapi.dll?func=ll&amp;objId=348812218&amp;objAction=browse" TargetMode="External"/><Relationship Id="rId138" Type="http://schemas.openxmlformats.org/officeDocument/2006/relationships/hyperlink" Target="../../../livelink/llisapi.dll?func=ll&amp;objId=351656374&amp;objAction=browse" TargetMode="External"/><Relationship Id="rId159" Type="http://schemas.openxmlformats.org/officeDocument/2006/relationships/hyperlink" Target="../../../livelink/llisapi.dll?func=ll&amp;objId=349547556&amp;objAction=browse" TargetMode="External"/><Relationship Id="rId170" Type="http://schemas.openxmlformats.org/officeDocument/2006/relationships/hyperlink" Target="../../../livelink/llisapi.dll?func=ll&amp;objId=349547447&amp;objAction=browse" TargetMode="External"/><Relationship Id="rId191" Type="http://schemas.openxmlformats.org/officeDocument/2006/relationships/hyperlink" Target="../../../livelink/llisapi.dll?func=ll&amp;objId=344161981&amp;objAction=browse" TargetMode="External"/><Relationship Id="rId205" Type="http://schemas.openxmlformats.org/officeDocument/2006/relationships/hyperlink" Target="../../../livelink/llisapi.dll?func=ll&amp;objId=346086461&amp;objAction=browse" TargetMode="External"/><Relationship Id="rId226" Type="http://schemas.openxmlformats.org/officeDocument/2006/relationships/hyperlink" Target="../../../livelink/llisapi.dll?func=ll&amp;objId=335745835&amp;objAction=browse&amp;viewType=1" TargetMode="External"/><Relationship Id="rId107" Type="http://schemas.openxmlformats.org/officeDocument/2006/relationships/hyperlink" Target="../../../livelink/llisapi.dll?func=ll&amp;objId=349205519&amp;objAction=browse" TargetMode="External"/><Relationship Id="rId11" Type="http://schemas.openxmlformats.org/officeDocument/2006/relationships/hyperlink" Target="../../../livelink/llisapi.dll?func=ll&amp;objId=341363110&amp;objAction=browse&amp;viewType=1" TargetMode="External"/><Relationship Id="rId32" Type="http://schemas.openxmlformats.org/officeDocument/2006/relationships/hyperlink" Target="../../../livelink/llisapi.dll?func=ll&amp;objId=335855272&amp;objAction=browse&amp;viewType=1" TargetMode="External"/><Relationship Id="rId53" Type="http://schemas.openxmlformats.org/officeDocument/2006/relationships/hyperlink" Target="../../../livelink/llisapi.dll?func=ll&amp;objId=345762449&amp;objAction=browse" TargetMode="External"/><Relationship Id="rId74" Type="http://schemas.openxmlformats.org/officeDocument/2006/relationships/hyperlink" Target="../../../livelink/llisapi.dll?func=ll&amp;objId=344153944&amp;objAction=browse" TargetMode="External"/><Relationship Id="rId128" Type="http://schemas.openxmlformats.org/officeDocument/2006/relationships/hyperlink" Target="../../../livelink/llisapi.dll?func=ll&amp;objId=360623218&amp;objAction=browse" TargetMode="External"/><Relationship Id="rId149" Type="http://schemas.openxmlformats.org/officeDocument/2006/relationships/hyperlink" Target="../../../livelink/llisapi.dll?func=ll&amp;objId=362062045&amp;objAction=browse" TargetMode="External"/><Relationship Id="rId5" Type="http://schemas.openxmlformats.org/officeDocument/2006/relationships/hyperlink" Target="../../../livelink/llisapi.dll?func=ll&amp;objId=341363116&amp;objAction=browse&amp;viewType=1" TargetMode="External"/><Relationship Id="rId95" Type="http://schemas.openxmlformats.org/officeDocument/2006/relationships/hyperlink" Target="../../../livelink/llisapi.dll?func=ll&amp;objId=349214649&amp;objAction=browse" TargetMode="External"/><Relationship Id="rId160" Type="http://schemas.openxmlformats.org/officeDocument/2006/relationships/hyperlink" Target="../../../livelink/llisapi.dll?func=ll&amp;objId=349547556&amp;objAction=browse" TargetMode="External"/><Relationship Id="rId181" Type="http://schemas.openxmlformats.org/officeDocument/2006/relationships/hyperlink" Target="../../../livelink/llisapi.dll?func=ll&amp;objId=344161981&amp;objAction=browse" TargetMode="External"/><Relationship Id="rId216" Type="http://schemas.openxmlformats.org/officeDocument/2006/relationships/hyperlink" Target="../../../livelink/llisapi.dll?func=ll&amp;objId=362062593&amp;objAction=browse" TargetMode="External"/><Relationship Id="rId237" Type="http://schemas.openxmlformats.org/officeDocument/2006/relationships/hyperlink" Target="../../../livelink/llisapi.dll?func=ll&amp;objId=362062281&amp;objAction=browse&amp;viewType=1" TargetMode="External"/><Relationship Id="rId22" Type="http://schemas.openxmlformats.org/officeDocument/2006/relationships/hyperlink" Target="../../../livelink/llisapi.dll?func=ll&amp;objId=336182683&amp;objAction=browse&amp;viewType=1" TargetMode="External"/><Relationship Id="rId43" Type="http://schemas.openxmlformats.org/officeDocument/2006/relationships/hyperlink" Target="file:///\\docmanager.onelondon.tfl.local\DavWWWRoot\otcsdav\nodes\351712192\Project%20Tracker%20Report-2.2%2011%20May%2016.xls" TargetMode="External"/><Relationship Id="rId64" Type="http://schemas.openxmlformats.org/officeDocument/2006/relationships/hyperlink" Target="../../../livelink/llisapi.dll?func=ll&amp;objId=345728000&amp;objAction=browse" TargetMode="External"/><Relationship Id="rId118" Type="http://schemas.openxmlformats.org/officeDocument/2006/relationships/hyperlink" Target="../../../livelink/llisapi.dll?func=ll&amp;objId=358808190&amp;objAction=browse" TargetMode="External"/><Relationship Id="rId139" Type="http://schemas.openxmlformats.org/officeDocument/2006/relationships/hyperlink" Target="../../../livelink/llisapi.dll?func=ll&amp;objId=351656374&amp;objAction=browse" TargetMode="External"/><Relationship Id="rId80" Type="http://schemas.openxmlformats.org/officeDocument/2006/relationships/hyperlink" Target="../../../livelink/llisapi.dll?func=ll&amp;objId=344159339&amp;objAction=browse" TargetMode="External"/><Relationship Id="rId85" Type="http://schemas.openxmlformats.org/officeDocument/2006/relationships/hyperlink" Target="../../../livelink/llisapi.dll?func=ll&amp;objId=348812218&amp;objAction=browse" TargetMode="External"/><Relationship Id="rId150" Type="http://schemas.openxmlformats.org/officeDocument/2006/relationships/hyperlink" Target="../../../livelink/llisapi.dll?func=ll&amp;objId=362062043&amp;objAction=browse" TargetMode="External"/><Relationship Id="rId155" Type="http://schemas.openxmlformats.org/officeDocument/2006/relationships/hyperlink" Target="../../../livelink/llisapi.dll?func=ll&amp;objId=362062167&amp;objAction=browse" TargetMode="External"/><Relationship Id="rId171" Type="http://schemas.openxmlformats.org/officeDocument/2006/relationships/hyperlink" Target="../../../livelink/llisapi.dll?func=ll&amp;objId=349547445&amp;objAction=browse" TargetMode="External"/><Relationship Id="rId176" Type="http://schemas.openxmlformats.org/officeDocument/2006/relationships/hyperlink" Target="../../../livelink/llisapi.dll?func=ll&amp;objId=350502328&amp;objAction=browse" TargetMode="External"/><Relationship Id="rId192" Type="http://schemas.openxmlformats.org/officeDocument/2006/relationships/hyperlink" Target="../../../livelink/llisapi.dll?func=ll&amp;objId=344161981&amp;objAction=browse" TargetMode="External"/><Relationship Id="rId197" Type="http://schemas.openxmlformats.org/officeDocument/2006/relationships/hyperlink" Target="../../../livelink/llisapi.dll?func=ll&amp;objId=361603353&amp;objAction=browse" TargetMode="External"/><Relationship Id="rId206" Type="http://schemas.openxmlformats.org/officeDocument/2006/relationships/hyperlink" Target="../../../livelink/llisapi.dll?func=ll&amp;objId=346086461&amp;objAction=browse" TargetMode="External"/><Relationship Id="rId227" Type="http://schemas.openxmlformats.org/officeDocument/2006/relationships/hyperlink" Target="../../../livelink/llisapi.dll?func=ll&amp;objId=335745835&amp;objAction=browse&amp;viewType=1" TargetMode="External"/><Relationship Id="rId201" Type="http://schemas.openxmlformats.org/officeDocument/2006/relationships/hyperlink" Target="../../../livelink/llisapi.dll?func=ll&amp;objId=361132684&amp;objAction=browse" TargetMode="External"/><Relationship Id="rId222" Type="http://schemas.openxmlformats.org/officeDocument/2006/relationships/hyperlink" Target="../../../livelink/llisapi.dll?func=ll&amp;objId=335752653&amp;objAction=browse&amp;viewType=1" TargetMode="External"/><Relationship Id="rId12" Type="http://schemas.openxmlformats.org/officeDocument/2006/relationships/hyperlink" Target="../../../livelink/llisapi.dll?func=ll&amp;objId=341363114&amp;objAction=browse&amp;viewType=1" TargetMode="External"/><Relationship Id="rId17" Type="http://schemas.openxmlformats.org/officeDocument/2006/relationships/hyperlink" Target="../../../livelink/llisapi.dll?func=ll&amp;objId=336181238&amp;objAction=browse&amp;viewType=1" TargetMode="External"/><Relationship Id="rId33" Type="http://schemas.openxmlformats.org/officeDocument/2006/relationships/hyperlink" Target="../../../livelink/llisapi.dll?func=ll&amp;objId=335855673&amp;objAction=browse&amp;viewType=1" TargetMode="External"/><Relationship Id="rId38" Type="http://schemas.openxmlformats.org/officeDocument/2006/relationships/hyperlink" Target="file:///\\docmanager.onelondon.tfl.local\DavWWWRoot\otcsdav\nodes\351712192\Project%20Tracker%20Report-2.2%2011%20May%2016.xls" TargetMode="External"/><Relationship Id="rId59" Type="http://schemas.openxmlformats.org/officeDocument/2006/relationships/hyperlink" Target="../../../livelink/llisapi.dll?func=ll&amp;objId=344822564&amp;objAction=browse" TargetMode="External"/><Relationship Id="rId103" Type="http://schemas.openxmlformats.org/officeDocument/2006/relationships/hyperlink" Target="../../../livelink/llisapi.dll?func=ll&amp;objId=349205519&amp;objAction=browse" TargetMode="External"/><Relationship Id="rId108" Type="http://schemas.openxmlformats.org/officeDocument/2006/relationships/hyperlink" Target="../../../livelink/llisapi.dll?func=ll&amp;objId=349205515&amp;objAction=browse" TargetMode="External"/><Relationship Id="rId124" Type="http://schemas.openxmlformats.org/officeDocument/2006/relationships/hyperlink" Target="../../../livelink/llisapi.dll?func=ll&amp;objId=360623222&amp;objAction=browse" TargetMode="External"/><Relationship Id="rId129" Type="http://schemas.openxmlformats.org/officeDocument/2006/relationships/hyperlink" Target="../../../livelink/llisapi.dll?func=ll&amp;objId=360623218&amp;objAction=browse" TargetMode="External"/><Relationship Id="rId54" Type="http://schemas.openxmlformats.org/officeDocument/2006/relationships/hyperlink" Target="../../../livelink/llisapi.dll?func=ll&amp;objId=344822568&amp;objAction=browse" TargetMode="External"/><Relationship Id="rId70" Type="http://schemas.openxmlformats.org/officeDocument/2006/relationships/hyperlink" Target="../../../livelink/llisapi.dll?func=ll&amp;objId=345727994&amp;objAction=browse" TargetMode="External"/><Relationship Id="rId75" Type="http://schemas.openxmlformats.org/officeDocument/2006/relationships/hyperlink" Target="../../../livelink/llisapi.dll?func=ll&amp;objId=344153944&amp;objAction=browse" TargetMode="External"/><Relationship Id="rId91" Type="http://schemas.openxmlformats.org/officeDocument/2006/relationships/hyperlink" Target="../../../livelink/llisapi.dll?func=ll&amp;objId=349214649&amp;objAction=browse" TargetMode="External"/><Relationship Id="rId96" Type="http://schemas.openxmlformats.org/officeDocument/2006/relationships/hyperlink" Target="../../../livelink/llisapi.dll?func=ll&amp;objId=349214649&amp;objAction=browse" TargetMode="External"/><Relationship Id="rId140" Type="http://schemas.openxmlformats.org/officeDocument/2006/relationships/hyperlink" Target="../../../livelink/llisapi.dll?func=ll&amp;objId=351656372&amp;objAction=browse" TargetMode="External"/><Relationship Id="rId145" Type="http://schemas.openxmlformats.org/officeDocument/2006/relationships/hyperlink" Target="../../../livelink/llisapi.dll?func=ll&amp;objId=362062049&amp;objAction=browse" TargetMode="External"/><Relationship Id="rId161" Type="http://schemas.openxmlformats.org/officeDocument/2006/relationships/hyperlink" Target="../../../livelink/llisapi.dll?func=ll&amp;objId=349547556&amp;objAction=browse" TargetMode="External"/><Relationship Id="rId166" Type="http://schemas.openxmlformats.org/officeDocument/2006/relationships/hyperlink" Target="../../../livelink/llisapi.dll?func=ll&amp;objId=349547451&amp;objAction=browse" TargetMode="External"/><Relationship Id="rId182" Type="http://schemas.openxmlformats.org/officeDocument/2006/relationships/hyperlink" Target="../../../livelink/llisapi.dll?func=ll&amp;objId=344161981&amp;objAction=browse" TargetMode="External"/><Relationship Id="rId187" Type="http://schemas.openxmlformats.org/officeDocument/2006/relationships/hyperlink" Target="../../../livelink/llisapi.dll?func=ll&amp;objId=344161981&amp;objAction=browse" TargetMode="External"/><Relationship Id="rId217" Type="http://schemas.openxmlformats.org/officeDocument/2006/relationships/hyperlink" Target="../../../livelink/llisapi.dll?func=ll&amp;objId=362062593&amp;objAction=browse" TargetMode="External"/><Relationship Id="rId1" Type="http://schemas.openxmlformats.org/officeDocument/2006/relationships/hyperlink" Target="../../../livelink/llisapi.dll?func=ll&amp;objId=341363116&amp;objAction=browse&amp;viewType=1" TargetMode="External"/><Relationship Id="rId6" Type="http://schemas.openxmlformats.org/officeDocument/2006/relationships/hyperlink" Target="../../../livelink/llisapi.dll?func=ll&amp;objId=341363116&amp;objAction=browse&amp;viewType=1" TargetMode="External"/><Relationship Id="rId212" Type="http://schemas.openxmlformats.org/officeDocument/2006/relationships/hyperlink" Target="../../../livelink/llisapi.dll?func=ll&amp;objId=362062381&amp;objAction=browse" TargetMode="External"/><Relationship Id="rId233" Type="http://schemas.openxmlformats.org/officeDocument/2006/relationships/hyperlink" Target="../../../livelink/llisapi.dll?func=ll&amp;objId=362062281&amp;objAction=browse&amp;viewType=1" TargetMode="External"/><Relationship Id="rId238" Type="http://schemas.openxmlformats.org/officeDocument/2006/relationships/hyperlink" Target="../../../livelink/llisapi.dll?func=ll&amp;objId=362062275&amp;objAction=browse&amp;viewType=1" TargetMode="External"/><Relationship Id="rId23" Type="http://schemas.openxmlformats.org/officeDocument/2006/relationships/hyperlink" Target="../../../livelink/llisapi.dll?func=ll&amp;objId=336180039&amp;objAction=browse&amp;viewType=1" TargetMode="External"/><Relationship Id="rId28" Type="http://schemas.openxmlformats.org/officeDocument/2006/relationships/hyperlink" Target="../../../livelink/llisapi.dll?func=ll&amp;objId=335855673&amp;objAction=browse&amp;viewType=1" TargetMode="External"/><Relationship Id="rId49" Type="http://schemas.openxmlformats.org/officeDocument/2006/relationships/hyperlink" Target="../../../livelink/llisapi.dll?func=ll&amp;objId=345764197&amp;objAction=browse&amp;viewType=1" TargetMode="External"/><Relationship Id="rId114" Type="http://schemas.openxmlformats.org/officeDocument/2006/relationships/hyperlink" Target="../../../livelink/llisapi.dll?func=ll&amp;objId=358808194&amp;objAction=browse" TargetMode="External"/><Relationship Id="rId119" Type="http://schemas.openxmlformats.org/officeDocument/2006/relationships/hyperlink" Target="../../../livelink/llisapi.dll?func=ll&amp;objId=358808190&amp;objAction=browse" TargetMode="External"/><Relationship Id="rId44" Type="http://schemas.openxmlformats.org/officeDocument/2006/relationships/hyperlink" Target="../../../livelink/llisapi.dll?func=ll&amp;objId=345764199&amp;objAction=browse&amp;viewType=1" TargetMode="External"/><Relationship Id="rId60" Type="http://schemas.openxmlformats.org/officeDocument/2006/relationships/hyperlink" Target="../../../livelink/llisapi.dll?func=ll&amp;objId=344822562&amp;objAction=browse" TargetMode="External"/><Relationship Id="rId65" Type="http://schemas.openxmlformats.org/officeDocument/2006/relationships/hyperlink" Target="../../../livelink/llisapi.dll?func=ll&amp;objId=345728000&amp;objAction=browse" TargetMode="External"/><Relationship Id="rId81" Type="http://schemas.openxmlformats.org/officeDocument/2006/relationships/hyperlink" Target="../../../livelink/llisapi.dll?func=ll&amp;objId=348812218&amp;objAction=browse" TargetMode="External"/><Relationship Id="rId86" Type="http://schemas.openxmlformats.org/officeDocument/2006/relationships/hyperlink" Target="../../../livelink/llisapi.dll?func=ll&amp;objId=348812218&amp;objAction=browse" TargetMode="External"/><Relationship Id="rId130" Type="http://schemas.openxmlformats.org/officeDocument/2006/relationships/hyperlink" Target="../../../livelink/llisapi.dll?func=ll&amp;objId=360623216&amp;objAction=browse" TargetMode="External"/><Relationship Id="rId135" Type="http://schemas.openxmlformats.org/officeDocument/2006/relationships/hyperlink" Target="../../../livelink/llisapi.dll?func=ll&amp;objId=351656378&amp;objAction=browse" TargetMode="External"/><Relationship Id="rId151" Type="http://schemas.openxmlformats.org/officeDocument/2006/relationships/hyperlink" Target="../../../livelink/llisapi.dll?func=ll&amp;objId=362062171&amp;objAction=browse" TargetMode="External"/><Relationship Id="rId156" Type="http://schemas.openxmlformats.org/officeDocument/2006/relationships/hyperlink" Target="../../../livelink/llisapi.dll?func=ll&amp;objId=362062167&amp;objAction=browse" TargetMode="External"/><Relationship Id="rId177" Type="http://schemas.openxmlformats.org/officeDocument/2006/relationships/hyperlink" Target="../../../livelink/llisapi.dll?func=ll&amp;objId=350502328&amp;objAction=browse" TargetMode="External"/><Relationship Id="rId198" Type="http://schemas.openxmlformats.org/officeDocument/2006/relationships/hyperlink" Target="../../../livelink/llisapi.dll?func=ll&amp;objId=361603353&amp;objAction=browse" TargetMode="External"/><Relationship Id="rId172" Type="http://schemas.openxmlformats.org/officeDocument/2006/relationships/hyperlink" Target="../../../livelink/llisapi.dll?func=ll&amp;objId=350502332&amp;objAction=browse" TargetMode="External"/><Relationship Id="rId193" Type="http://schemas.openxmlformats.org/officeDocument/2006/relationships/hyperlink" Target="../../../livelink/llisapi.dll?func=ll&amp;objId=361603357&amp;objAction=browse" TargetMode="External"/><Relationship Id="rId202" Type="http://schemas.openxmlformats.org/officeDocument/2006/relationships/hyperlink" Target="../../../livelink/llisapi.dll?func=ll&amp;objId=361132684&amp;objAction=browse" TargetMode="External"/><Relationship Id="rId207" Type="http://schemas.openxmlformats.org/officeDocument/2006/relationships/hyperlink" Target="../../../livelink/llisapi.dll?func=ll&amp;objId=346086461&amp;objAction=browse" TargetMode="External"/><Relationship Id="rId223" Type="http://schemas.openxmlformats.org/officeDocument/2006/relationships/hyperlink" Target="../../../livelink/llisapi.dll?func=ll&amp;objId=335752653&amp;objAction=browse&amp;viewType=1" TargetMode="External"/><Relationship Id="rId228" Type="http://schemas.openxmlformats.org/officeDocument/2006/relationships/hyperlink" Target="../../../livelink/llisapi.dll?func=ll&amp;objId=335745835&amp;objAction=browse&amp;viewType=1" TargetMode="External"/><Relationship Id="rId13" Type="http://schemas.openxmlformats.org/officeDocument/2006/relationships/hyperlink" Target="../../../livelink/llisapi.dll?func=ll&amp;objId=336181238&amp;objAction=browse&amp;viewType=1" TargetMode="External"/><Relationship Id="rId18" Type="http://schemas.openxmlformats.org/officeDocument/2006/relationships/hyperlink" Target="../../../livelink/llisapi.dll?func=ll&amp;objId=336181238&amp;objAction=browse&amp;viewType=1" TargetMode="External"/><Relationship Id="rId39" Type="http://schemas.openxmlformats.org/officeDocument/2006/relationships/hyperlink" Target="file:///\\docmanager.onelondon.tfl.local\DavWWWRoot\otcsdav\nodes\351712192\Project%20Tracker%20Report-2.2%2011%20May%2016.xls" TargetMode="External"/><Relationship Id="rId109" Type="http://schemas.openxmlformats.org/officeDocument/2006/relationships/hyperlink" Target="../../../livelink/llisapi.dll?func=ll&amp;objId=349205515&amp;objAction=browse" TargetMode="External"/><Relationship Id="rId34" Type="http://schemas.openxmlformats.org/officeDocument/2006/relationships/hyperlink" Target="../../../livelink/llisapi.dll?func=ll&amp;objId=335855673&amp;objAction=browse&amp;viewType=1" TargetMode="External"/><Relationship Id="rId50" Type="http://schemas.openxmlformats.org/officeDocument/2006/relationships/hyperlink" Target="../../../livelink/llisapi.dll?func=ll&amp;objId=345764197&amp;objAction=browse&amp;viewType=1" TargetMode="External"/><Relationship Id="rId55" Type="http://schemas.openxmlformats.org/officeDocument/2006/relationships/hyperlink" Target="../../../livelink/llisapi.dll?func=ll&amp;objId=344822568&amp;objAction=browse" TargetMode="External"/><Relationship Id="rId76" Type="http://schemas.openxmlformats.org/officeDocument/2006/relationships/hyperlink" Target="../../../livelink/llisapi.dll?func=ll&amp;objId=344153944&amp;objAction=browse" TargetMode="External"/><Relationship Id="rId97" Type="http://schemas.openxmlformats.org/officeDocument/2006/relationships/hyperlink" Target="../../../livelink/llisapi.dll?func=ll&amp;objId=349214649&amp;objAction=browse" TargetMode="External"/><Relationship Id="rId104" Type="http://schemas.openxmlformats.org/officeDocument/2006/relationships/hyperlink" Target="../../../livelink/llisapi.dll?func=ll&amp;objId=349205519&amp;objAction=browse" TargetMode="External"/><Relationship Id="rId120" Type="http://schemas.openxmlformats.org/officeDocument/2006/relationships/hyperlink" Target="../../../livelink/llisapi.dll?func=ll&amp;objId=358808188&amp;objAction=browse" TargetMode="External"/><Relationship Id="rId125" Type="http://schemas.openxmlformats.org/officeDocument/2006/relationships/hyperlink" Target="../../../livelink/llisapi.dll?func=ll&amp;objId=360623222&amp;objAction=browse" TargetMode="External"/><Relationship Id="rId141" Type="http://schemas.openxmlformats.org/officeDocument/2006/relationships/hyperlink" Target="../../../livelink/llisapi.dll?func=ll&amp;objId=362062049&amp;objAction=browse" TargetMode="External"/><Relationship Id="rId146" Type="http://schemas.openxmlformats.org/officeDocument/2006/relationships/hyperlink" Target="../../../livelink/llisapi.dll?func=ll&amp;objId=362062049&amp;objAction=browse" TargetMode="External"/><Relationship Id="rId167" Type="http://schemas.openxmlformats.org/officeDocument/2006/relationships/hyperlink" Target="../../../livelink/llisapi.dll?func=ll&amp;objId=349547451&amp;objAction=browse" TargetMode="External"/><Relationship Id="rId188" Type="http://schemas.openxmlformats.org/officeDocument/2006/relationships/hyperlink" Target="../../../livelink/llisapi.dll?func=ll&amp;objId=344161981&amp;objAction=browse" TargetMode="External"/><Relationship Id="rId7" Type="http://schemas.openxmlformats.org/officeDocument/2006/relationships/hyperlink" Target="../../../livelink/llisapi.dll?func=ll&amp;objId=341363116&amp;objAction=browse&amp;viewType=1" TargetMode="External"/><Relationship Id="rId71" Type="http://schemas.openxmlformats.org/officeDocument/2006/relationships/hyperlink" Target="../../../livelink/llisapi.dll?func=ll&amp;objId=344153944&amp;objAction=browse" TargetMode="External"/><Relationship Id="rId92" Type="http://schemas.openxmlformats.org/officeDocument/2006/relationships/hyperlink" Target="../../../livelink/llisapi.dll?func=ll&amp;objId=349214649&amp;objAction=browse" TargetMode="External"/><Relationship Id="rId162" Type="http://schemas.openxmlformats.org/officeDocument/2006/relationships/hyperlink" Target="../../../livelink/llisapi.dll?func=ll&amp;objId=349547552&amp;objAction=browse" TargetMode="External"/><Relationship Id="rId183" Type="http://schemas.openxmlformats.org/officeDocument/2006/relationships/hyperlink" Target="../../../livelink/llisapi.dll?func=ll&amp;objId=344161981&amp;objAction=browse" TargetMode="External"/><Relationship Id="rId213" Type="http://schemas.openxmlformats.org/officeDocument/2006/relationships/hyperlink" Target="../../../livelink/llisapi.dll?func=ll&amp;objId=362062381&amp;objAction=browse" TargetMode="External"/><Relationship Id="rId218" Type="http://schemas.openxmlformats.org/officeDocument/2006/relationships/hyperlink" Target="../../../livelink/llisapi.dll?func=ll&amp;objId=362062593&amp;objAction=browse" TargetMode="External"/><Relationship Id="rId234" Type="http://schemas.openxmlformats.org/officeDocument/2006/relationships/hyperlink" Target="../../../livelink/llisapi.dll?func=ll&amp;objId=362062281&amp;objAction=browse&amp;viewType=1" TargetMode="External"/><Relationship Id="rId239" Type="http://schemas.openxmlformats.org/officeDocument/2006/relationships/printerSettings" Target="../printerSettings/printerSettings3.bin"/><Relationship Id="rId2" Type="http://schemas.openxmlformats.org/officeDocument/2006/relationships/hyperlink" Target="../../../livelink/llisapi.dll?func=ll&amp;objId=341363116&amp;objAction=browse&amp;viewType=1" TargetMode="External"/><Relationship Id="rId29" Type="http://schemas.openxmlformats.org/officeDocument/2006/relationships/hyperlink" Target="../../../livelink/llisapi.dll?func=ll&amp;objId=335855673&amp;objAction=browse&amp;viewType=1" TargetMode="External"/><Relationship Id="rId24" Type="http://schemas.openxmlformats.org/officeDocument/2006/relationships/hyperlink" Target="../../../livelink/llisapi.dll?func=ll&amp;objId=336182992&amp;objAction=browse&amp;viewType=1" TargetMode="External"/><Relationship Id="rId40" Type="http://schemas.openxmlformats.org/officeDocument/2006/relationships/hyperlink" Target="file:///\\docmanager.onelondon.tfl.local\DavWWWRoot\otcsdav\nodes\351712192\Project%20Tracker%20Report-2.2%2011%20May%2016.xls" TargetMode="External"/><Relationship Id="rId45" Type="http://schemas.openxmlformats.org/officeDocument/2006/relationships/hyperlink" Target="../../../livelink/llisapi.dll?func=ll&amp;objId=345764197&amp;objAction=browse&amp;viewType=1" TargetMode="External"/><Relationship Id="rId66" Type="http://schemas.openxmlformats.org/officeDocument/2006/relationships/hyperlink" Target="../../../livelink/llisapi.dll?func=ll&amp;objId=345728000&amp;objAction=browse" TargetMode="External"/><Relationship Id="rId87" Type="http://schemas.openxmlformats.org/officeDocument/2006/relationships/hyperlink" Target="../../../livelink/llisapi.dll?func=ll&amp;objId=348812218&amp;objAction=browse" TargetMode="External"/><Relationship Id="rId110" Type="http://schemas.openxmlformats.org/officeDocument/2006/relationships/hyperlink" Target="../../../livelink/llisapi.dll?func=ll&amp;objId=349205513&amp;objAction=browse" TargetMode="External"/><Relationship Id="rId115" Type="http://schemas.openxmlformats.org/officeDocument/2006/relationships/hyperlink" Target="../../../livelink/llisapi.dll?func=ll&amp;objId=358808194&amp;objAction=browse" TargetMode="External"/><Relationship Id="rId131" Type="http://schemas.openxmlformats.org/officeDocument/2006/relationships/hyperlink" Target="../../../livelink/llisapi.dll?func=ll&amp;objId=351656378&amp;objAction=browse" TargetMode="External"/><Relationship Id="rId136" Type="http://schemas.openxmlformats.org/officeDocument/2006/relationships/hyperlink" Target="../../../livelink/llisapi.dll?func=ll&amp;objId=351656378&amp;objAction=browse" TargetMode="External"/><Relationship Id="rId157" Type="http://schemas.openxmlformats.org/officeDocument/2006/relationships/hyperlink" Target="../../../livelink/llisapi.dll?func=ll&amp;objId=362062165&amp;objAction=browse" TargetMode="External"/><Relationship Id="rId178" Type="http://schemas.openxmlformats.org/officeDocument/2006/relationships/hyperlink" Target="../../../livelink/llisapi.dll?func=ll&amp;objId=350502326&amp;objAction=browse" TargetMode="External"/><Relationship Id="rId61" Type="http://schemas.openxmlformats.org/officeDocument/2006/relationships/hyperlink" Target="../../../livelink/llisapi.dll?func=ll&amp;objId=345728000&amp;objAction=browse" TargetMode="External"/><Relationship Id="rId82" Type="http://schemas.openxmlformats.org/officeDocument/2006/relationships/hyperlink" Target="../../../livelink/llisapi.dll?func=ll&amp;objId=348812218&amp;objAction=browse" TargetMode="External"/><Relationship Id="rId152" Type="http://schemas.openxmlformats.org/officeDocument/2006/relationships/hyperlink" Target="../../../livelink/llisapi.dll?func=ll&amp;objId=362062171&amp;objAction=browse" TargetMode="External"/><Relationship Id="rId173" Type="http://schemas.openxmlformats.org/officeDocument/2006/relationships/hyperlink" Target="../../../livelink/llisapi.dll?func=ll&amp;objId=350502332&amp;objAction=browse" TargetMode="External"/><Relationship Id="rId194" Type="http://schemas.openxmlformats.org/officeDocument/2006/relationships/hyperlink" Target="../../../livelink/llisapi.dll?func=ll&amp;objId=361603357&amp;objAction=browse" TargetMode="External"/><Relationship Id="rId199" Type="http://schemas.openxmlformats.org/officeDocument/2006/relationships/hyperlink" Target="../../../livelink/llisapi.dll?func=ll&amp;objId=361603351&amp;objAction=browse" TargetMode="External"/><Relationship Id="rId203" Type="http://schemas.openxmlformats.org/officeDocument/2006/relationships/hyperlink" Target="../../../livelink/llisapi.dll?func=ll&amp;objId=361132682&amp;objAction=browse" TargetMode="External"/><Relationship Id="rId208" Type="http://schemas.openxmlformats.org/officeDocument/2006/relationships/hyperlink" Target="../../../livelink/llisapi.dll?func=ll&amp;objId=346086457&amp;objAction=browse" TargetMode="External"/><Relationship Id="rId229" Type="http://schemas.openxmlformats.org/officeDocument/2006/relationships/hyperlink" Target="../../../livelink/llisapi.dll?func=ll&amp;objId=362062281&amp;objAction=browse&amp;viewType=1" TargetMode="External"/><Relationship Id="rId19" Type="http://schemas.openxmlformats.org/officeDocument/2006/relationships/hyperlink" Target="../../../livelink/llisapi.dll?func=ll&amp;objId=336181238&amp;objAction=browse&amp;viewType=1" TargetMode="External"/><Relationship Id="rId224" Type="http://schemas.openxmlformats.org/officeDocument/2006/relationships/hyperlink" Target="../../../livelink/llisapi.dll?func=ll&amp;objId=335752653&amp;objAction=browse&amp;viewType=1" TargetMode="External"/><Relationship Id="rId14" Type="http://schemas.openxmlformats.org/officeDocument/2006/relationships/hyperlink" Target="../../../livelink/llisapi.dll?func=ll&amp;objId=336181238&amp;objAction=browse&amp;viewType=1" TargetMode="External"/><Relationship Id="rId30" Type="http://schemas.openxmlformats.org/officeDocument/2006/relationships/hyperlink" Target="../../../livelink/llisapi.dll?func=ll&amp;objId=335855272&amp;objAction=browse&amp;viewType=1" TargetMode="External"/><Relationship Id="rId35" Type="http://schemas.openxmlformats.org/officeDocument/2006/relationships/hyperlink" Target="../../../livelink/llisapi.dll?func=ll&amp;objId=335854873&amp;objAction=browse&amp;viewType=1" TargetMode="External"/><Relationship Id="rId56" Type="http://schemas.openxmlformats.org/officeDocument/2006/relationships/hyperlink" Target="../../../livelink/llisapi.dll?func=ll&amp;objId=344822568&amp;objAction=browse" TargetMode="External"/><Relationship Id="rId77" Type="http://schemas.openxmlformats.org/officeDocument/2006/relationships/hyperlink" Target="../../../livelink/llisapi.dll?func=ll&amp;objId=344153944&amp;objAction=browse" TargetMode="External"/><Relationship Id="rId100" Type="http://schemas.openxmlformats.org/officeDocument/2006/relationships/hyperlink" Target="../../../livelink/llisapi.dll?func=ll&amp;objId=349214643&amp;objAction=browse" TargetMode="External"/><Relationship Id="rId105" Type="http://schemas.openxmlformats.org/officeDocument/2006/relationships/hyperlink" Target="../../../livelink/llisapi.dll?func=ll&amp;objId=349205519&amp;objAction=browse" TargetMode="External"/><Relationship Id="rId126" Type="http://schemas.openxmlformats.org/officeDocument/2006/relationships/hyperlink" Target="../../../livelink/llisapi.dll?func=ll&amp;objId=360623222&amp;objAction=browse" TargetMode="External"/><Relationship Id="rId147" Type="http://schemas.openxmlformats.org/officeDocument/2006/relationships/hyperlink" Target="../../../livelink/llisapi.dll?func=ll&amp;objId=362062049&amp;objAction=browse" TargetMode="External"/><Relationship Id="rId168" Type="http://schemas.openxmlformats.org/officeDocument/2006/relationships/hyperlink" Target="../../../livelink/llisapi.dll?func=ll&amp;objId=349547451&amp;objAction=browse" TargetMode="External"/><Relationship Id="rId8" Type="http://schemas.openxmlformats.org/officeDocument/2006/relationships/hyperlink" Target="../../../livelink/llisapi.dll?func=ll&amp;objId=341363112&amp;objAction=browse&amp;viewType=1" TargetMode="External"/><Relationship Id="rId51" Type="http://schemas.openxmlformats.org/officeDocument/2006/relationships/hyperlink" Target="../../../livelink/llisapi.dll?func=ll&amp;objId=345762451&amp;objAction=browse" TargetMode="External"/><Relationship Id="rId72" Type="http://schemas.openxmlformats.org/officeDocument/2006/relationships/hyperlink" Target="../../../livelink/llisapi.dll?func=ll&amp;objId=344153944&amp;objAction=browse" TargetMode="External"/><Relationship Id="rId93" Type="http://schemas.openxmlformats.org/officeDocument/2006/relationships/hyperlink" Target="../../../livelink/llisapi.dll?func=ll&amp;objId=349214649&amp;objAction=browse" TargetMode="External"/><Relationship Id="rId98" Type="http://schemas.openxmlformats.org/officeDocument/2006/relationships/hyperlink" Target="../../../livelink/llisapi.dll?func=ll&amp;objId=349214645&amp;objAction=browse" TargetMode="External"/><Relationship Id="rId121" Type="http://schemas.openxmlformats.org/officeDocument/2006/relationships/hyperlink" Target="../../../livelink/llisapi.dll?func=ll&amp;objId=360623222&amp;objAction=browse" TargetMode="External"/><Relationship Id="rId142" Type="http://schemas.openxmlformats.org/officeDocument/2006/relationships/hyperlink" Target="../../../livelink/llisapi.dll?func=ll&amp;objId=362062049&amp;objAction=browse" TargetMode="External"/><Relationship Id="rId163" Type="http://schemas.openxmlformats.org/officeDocument/2006/relationships/hyperlink" Target="../../../livelink/llisapi.dll?func=ll&amp;objId=349547552&amp;objAction=browse" TargetMode="External"/><Relationship Id="rId184" Type="http://schemas.openxmlformats.org/officeDocument/2006/relationships/hyperlink" Target="../../../livelink/llisapi.dll?func=ll&amp;objId=344161981&amp;objAction=browse" TargetMode="External"/><Relationship Id="rId189" Type="http://schemas.openxmlformats.org/officeDocument/2006/relationships/hyperlink" Target="../../../livelink/llisapi.dll?func=ll&amp;objId=344161981&amp;objAction=browse" TargetMode="External"/><Relationship Id="rId219" Type="http://schemas.openxmlformats.org/officeDocument/2006/relationships/hyperlink" Target="../../../livelink/llisapi.dll?func=ll&amp;objId=362062589&amp;objAction=browse" TargetMode="External"/><Relationship Id="rId3" Type="http://schemas.openxmlformats.org/officeDocument/2006/relationships/hyperlink" Target="../../../livelink/llisapi.dll?func=ll&amp;objId=341363116&amp;objAction=browse&amp;viewType=1" TargetMode="External"/><Relationship Id="rId214" Type="http://schemas.openxmlformats.org/officeDocument/2006/relationships/hyperlink" Target="../../../livelink/llisapi.dll?func=ll&amp;objId=362062379&amp;objAction=browse" TargetMode="External"/><Relationship Id="rId230" Type="http://schemas.openxmlformats.org/officeDocument/2006/relationships/hyperlink" Target="../../../livelink/llisapi.dll?func=ll&amp;objId=362062281&amp;objAction=browse&amp;viewType=1" TargetMode="External"/><Relationship Id="rId235" Type="http://schemas.openxmlformats.org/officeDocument/2006/relationships/hyperlink" Target="../../../livelink/llisapi.dll?func=ll&amp;objId=362062277&amp;objAction=browse&amp;viewType=1" TargetMode="External"/><Relationship Id="rId25" Type="http://schemas.openxmlformats.org/officeDocument/2006/relationships/hyperlink" Target="../../../livelink/llisapi.dll?func=ll&amp;objId=335855673&amp;objAction=browse&amp;viewType=1" TargetMode="External"/><Relationship Id="rId46" Type="http://schemas.openxmlformats.org/officeDocument/2006/relationships/hyperlink" Target="../../../livelink/llisapi.dll?func=ll&amp;objId=345764199&amp;objAction=browse&amp;viewType=1" TargetMode="External"/><Relationship Id="rId67" Type="http://schemas.openxmlformats.org/officeDocument/2006/relationships/hyperlink" Target="../../../livelink/llisapi.dll?func=ll&amp;objId=345728000&amp;objAction=browse" TargetMode="External"/><Relationship Id="rId116" Type="http://schemas.openxmlformats.org/officeDocument/2006/relationships/hyperlink" Target="../../../livelink/llisapi.dll?func=ll&amp;objId=358808194&amp;objAction=browse" TargetMode="External"/><Relationship Id="rId137" Type="http://schemas.openxmlformats.org/officeDocument/2006/relationships/hyperlink" Target="../../../livelink/llisapi.dll?func=ll&amp;objId=351656378&amp;objAction=browse" TargetMode="External"/><Relationship Id="rId158" Type="http://schemas.openxmlformats.org/officeDocument/2006/relationships/hyperlink" Target="../../../livelink/llisapi.dll?func=ll&amp;objId=349547556&amp;objAction=browse" TargetMode="External"/><Relationship Id="rId20" Type="http://schemas.openxmlformats.org/officeDocument/2006/relationships/hyperlink" Target="../../../livelink/llisapi.dll?func=ll&amp;objId=336182683&amp;objAction=browse&amp;viewType=1" TargetMode="External"/><Relationship Id="rId41" Type="http://schemas.openxmlformats.org/officeDocument/2006/relationships/hyperlink" Target="file:///\\docmanager.onelondon.tfl.local\DavWWWRoot\otcsdav\nodes\351712192\Project%20Tracker%20Report-2.2%2011%20May%2016.xls" TargetMode="External"/><Relationship Id="rId62" Type="http://schemas.openxmlformats.org/officeDocument/2006/relationships/hyperlink" Target="../../../livelink/llisapi.dll?func=ll&amp;objId=345728000&amp;objAction=browse" TargetMode="External"/><Relationship Id="rId83" Type="http://schemas.openxmlformats.org/officeDocument/2006/relationships/hyperlink" Target="../../../livelink/llisapi.dll?func=ll&amp;objId=348812218&amp;objAction=browse" TargetMode="External"/><Relationship Id="rId88" Type="http://schemas.openxmlformats.org/officeDocument/2006/relationships/hyperlink" Target="../../../livelink/llisapi.dll?func=ll&amp;objId=348812214&amp;objAction=browse" TargetMode="External"/><Relationship Id="rId111" Type="http://schemas.openxmlformats.org/officeDocument/2006/relationships/hyperlink" Target="../../../livelink/llisapi.dll?func=ll&amp;objId=358808194&amp;objAction=browse" TargetMode="External"/><Relationship Id="rId132" Type="http://schemas.openxmlformats.org/officeDocument/2006/relationships/hyperlink" Target="../../../livelink/llisapi.dll?func=ll&amp;objId=351656378&amp;objAction=browse" TargetMode="External"/><Relationship Id="rId153" Type="http://schemas.openxmlformats.org/officeDocument/2006/relationships/hyperlink" Target="../../../livelink/llisapi.dll?func=ll&amp;objId=362062171&amp;objAction=browse" TargetMode="External"/><Relationship Id="rId174" Type="http://schemas.openxmlformats.org/officeDocument/2006/relationships/hyperlink" Target="../../../livelink/llisapi.dll?func=ll&amp;objId=350502332&amp;objAction=browse" TargetMode="External"/><Relationship Id="rId179" Type="http://schemas.openxmlformats.org/officeDocument/2006/relationships/hyperlink" Target="../../../livelink/llisapi.dll?func=ll&amp;objId=344161981&amp;objAction=browse" TargetMode="External"/><Relationship Id="rId195" Type="http://schemas.openxmlformats.org/officeDocument/2006/relationships/hyperlink" Target="../../../livelink/llisapi.dll?func=ll&amp;objId=361603357&amp;objAction=browse" TargetMode="External"/><Relationship Id="rId209" Type="http://schemas.openxmlformats.org/officeDocument/2006/relationships/hyperlink" Target="../../../livelink/llisapi.dll?func=ll&amp;objId=346086457&amp;objAction=browse" TargetMode="External"/><Relationship Id="rId190" Type="http://schemas.openxmlformats.org/officeDocument/2006/relationships/hyperlink" Target="../../../livelink/llisapi.dll?func=ll&amp;objId=344161981&amp;objAction=browse" TargetMode="External"/><Relationship Id="rId204" Type="http://schemas.openxmlformats.org/officeDocument/2006/relationships/hyperlink" Target="../../../livelink/llisapi.dll?func=ll&amp;objId=346086461&amp;objAction=browse" TargetMode="External"/><Relationship Id="rId220" Type="http://schemas.openxmlformats.org/officeDocument/2006/relationships/hyperlink" Target="../../../livelink/llisapi.dll?func=ll&amp;objId=362062589&amp;objAction=browse" TargetMode="External"/><Relationship Id="rId225" Type="http://schemas.openxmlformats.org/officeDocument/2006/relationships/hyperlink" Target="../../../livelink/llisapi.dll?func=ll&amp;objId=335752653&amp;objAction=browse&amp;viewType=1" TargetMode="External"/><Relationship Id="rId15" Type="http://schemas.openxmlformats.org/officeDocument/2006/relationships/hyperlink" Target="../../../livelink/llisapi.dll?func=ll&amp;objId=336181238&amp;objAction=browse&amp;viewType=1" TargetMode="External"/><Relationship Id="rId36" Type="http://schemas.openxmlformats.org/officeDocument/2006/relationships/hyperlink" Target="../../../livelink/llisapi.dll?func=ll&amp;objId=335855272&amp;objAction=browse&amp;viewType=1http://docmanager.onelondon.tfl.local/livelink/llisapi.dll?func=ll&amp;objId=335855272&amp;objAction=browse&amp;viewType=1" TargetMode="External"/><Relationship Id="rId57" Type="http://schemas.openxmlformats.org/officeDocument/2006/relationships/hyperlink" Target="../../../livelink/llisapi.dll?func=ll&amp;objId=344822568&amp;objAction=browse" TargetMode="External"/><Relationship Id="rId106" Type="http://schemas.openxmlformats.org/officeDocument/2006/relationships/hyperlink" Target="../../../livelink/llisapi.dll?func=ll&amp;objId=349205519&amp;objAction=browse" TargetMode="External"/><Relationship Id="rId127" Type="http://schemas.openxmlformats.org/officeDocument/2006/relationships/hyperlink" Target="../../../livelink/llisapi.dll?func=ll&amp;objId=360623222&amp;objAction=browse" TargetMode="External"/><Relationship Id="rId10" Type="http://schemas.openxmlformats.org/officeDocument/2006/relationships/hyperlink" Target="../../../livelink/llisapi.dll?func=ll&amp;objId=341363112&amp;objAction=browse&amp;viewType=1" TargetMode="External"/><Relationship Id="rId31" Type="http://schemas.openxmlformats.org/officeDocument/2006/relationships/hyperlink" Target="../../../livelink/llisapi.dll?func=ll&amp;objId=335855272&amp;objAction=browse&amp;viewType=1" TargetMode="External"/><Relationship Id="rId52" Type="http://schemas.openxmlformats.org/officeDocument/2006/relationships/hyperlink" Target="../../../livelink/llisapi.dll?func=ll&amp;objId=345762451&amp;objAction=browse" TargetMode="External"/><Relationship Id="rId73" Type="http://schemas.openxmlformats.org/officeDocument/2006/relationships/hyperlink" Target="../../../livelink/llisapi.dll?func=ll&amp;objId=344153944&amp;objAction=browse" TargetMode="External"/><Relationship Id="rId78" Type="http://schemas.openxmlformats.org/officeDocument/2006/relationships/hyperlink" Target="../../../livelink/llisapi.dll?func=ll&amp;objId=344154048&amp;objAction=browse" TargetMode="External"/><Relationship Id="rId94" Type="http://schemas.openxmlformats.org/officeDocument/2006/relationships/hyperlink" Target="../../../livelink/llisapi.dll?func=ll&amp;objId=349214649&amp;objAction=browse" TargetMode="External"/><Relationship Id="rId99" Type="http://schemas.openxmlformats.org/officeDocument/2006/relationships/hyperlink" Target="../../../livelink/llisapi.dll?func=ll&amp;objId=349214645&amp;objAction=browse" TargetMode="External"/><Relationship Id="rId101" Type="http://schemas.openxmlformats.org/officeDocument/2006/relationships/hyperlink" Target="../../../livelink/llisapi.dll?func=ll&amp;objId=349205519&amp;objAction=browse" TargetMode="External"/><Relationship Id="rId122" Type="http://schemas.openxmlformats.org/officeDocument/2006/relationships/hyperlink" Target="../../../livelink/llisapi.dll?func=ll&amp;objId=360623222&amp;objAction=browse" TargetMode="External"/><Relationship Id="rId143" Type="http://schemas.openxmlformats.org/officeDocument/2006/relationships/hyperlink" Target="../../../livelink/llisapi.dll?func=ll&amp;objId=362062049&amp;objAction=browse" TargetMode="External"/><Relationship Id="rId148" Type="http://schemas.openxmlformats.org/officeDocument/2006/relationships/hyperlink" Target="../../../livelink/llisapi.dll?func=ll&amp;objId=362062045&amp;objAction=browse" TargetMode="External"/><Relationship Id="rId164" Type="http://schemas.openxmlformats.org/officeDocument/2006/relationships/hyperlink" Target="../../../livelink/llisapi.dll?func=ll&amp;objId=349547550&amp;objAction=browse" TargetMode="External"/><Relationship Id="rId169" Type="http://schemas.openxmlformats.org/officeDocument/2006/relationships/hyperlink" Target="../../../livelink/llisapi.dll?func=ll&amp;objId=349547447&amp;objAction=browse" TargetMode="External"/><Relationship Id="rId185" Type="http://schemas.openxmlformats.org/officeDocument/2006/relationships/hyperlink" Target="../../../livelink/llisapi.dll?func=ll&amp;objId=344161981&amp;objAction=browse" TargetMode="External"/><Relationship Id="rId4" Type="http://schemas.openxmlformats.org/officeDocument/2006/relationships/hyperlink" Target="../../../livelink/llisapi.dll?func=ll&amp;objId=341363116&amp;objAction=browse&amp;viewType=1" TargetMode="External"/><Relationship Id="rId9" Type="http://schemas.openxmlformats.org/officeDocument/2006/relationships/hyperlink" Target="../../../livelink/llisapi.dll?func=ll&amp;objId=341363112&amp;objAction=browse&amp;viewType=1" TargetMode="External"/><Relationship Id="rId180" Type="http://schemas.openxmlformats.org/officeDocument/2006/relationships/hyperlink" Target="../../../livelink/llisapi.dll?func=ll&amp;objId=344161981&amp;objAction=browse" TargetMode="External"/><Relationship Id="rId210" Type="http://schemas.openxmlformats.org/officeDocument/2006/relationships/hyperlink" Target="../../../livelink/llisapi.dll?func=ll&amp;objId=346086455&amp;objAction=browse" TargetMode="External"/><Relationship Id="rId215" Type="http://schemas.openxmlformats.org/officeDocument/2006/relationships/hyperlink" Target="../../../livelink/llisapi.dll?func=ll&amp;objId=362062593&amp;objAction=browse" TargetMode="External"/><Relationship Id="rId236" Type="http://schemas.openxmlformats.org/officeDocument/2006/relationships/hyperlink" Target="../../../livelink/llisapi.dll?func=ll&amp;objId=362062277&amp;objAction=browse&amp;viewType=1" TargetMode="External"/><Relationship Id="rId26" Type="http://schemas.openxmlformats.org/officeDocument/2006/relationships/hyperlink" Target="../../../livelink/llisapi.dll?func=ll&amp;objId=335855673&amp;objAction=browse&amp;viewType=1" TargetMode="External"/><Relationship Id="rId231" Type="http://schemas.openxmlformats.org/officeDocument/2006/relationships/hyperlink" Target="../../../livelink/llisapi.dll?func=ll&amp;objId=362062281&amp;objAction=browse&amp;viewType=1" TargetMode="External"/><Relationship Id="rId47" Type="http://schemas.openxmlformats.org/officeDocument/2006/relationships/hyperlink" Target="../../../livelink/llisapi.dll?func=ll&amp;objId=345762455&amp;objAction=browse" TargetMode="External"/><Relationship Id="rId68" Type="http://schemas.openxmlformats.org/officeDocument/2006/relationships/hyperlink" Target="../../../livelink/llisapi.dll?func=ll&amp;objId=345727996&amp;objAction=browse" TargetMode="External"/><Relationship Id="rId89" Type="http://schemas.openxmlformats.org/officeDocument/2006/relationships/hyperlink" Target="../../../livelink/llisapi.dll?func=ll&amp;objId=348812214&amp;objAction=browse" TargetMode="External"/><Relationship Id="rId112" Type="http://schemas.openxmlformats.org/officeDocument/2006/relationships/hyperlink" Target="../../../livelink/llisapi.dll?func=ll&amp;objId=358808194&amp;objAction=browse" TargetMode="External"/><Relationship Id="rId133" Type="http://schemas.openxmlformats.org/officeDocument/2006/relationships/hyperlink" Target="../../../livelink/llisapi.dll?func=ll&amp;objId=351656378&amp;objAction=browse" TargetMode="External"/><Relationship Id="rId154" Type="http://schemas.openxmlformats.org/officeDocument/2006/relationships/hyperlink" Target="../../../livelink/llisapi.dll?func=ll&amp;objId=362062171&amp;objAction=browse" TargetMode="External"/><Relationship Id="rId175" Type="http://schemas.openxmlformats.org/officeDocument/2006/relationships/hyperlink" Target="../../../livelink/llisapi.dll?func=ll&amp;objId=350502332&amp;objAction=browse" TargetMode="External"/><Relationship Id="rId196" Type="http://schemas.openxmlformats.org/officeDocument/2006/relationships/hyperlink" Target="../../../livelink/llisapi.dll?func=ll&amp;objId=361603357&amp;objAction=browse" TargetMode="External"/><Relationship Id="rId200" Type="http://schemas.openxmlformats.org/officeDocument/2006/relationships/hyperlink" Target="../../../livelink/llisapi.dll?func=ll&amp;objId=361132688&amp;objAction=browse" TargetMode="External"/><Relationship Id="rId16" Type="http://schemas.openxmlformats.org/officeDocument/2006/relationships/hyperlink" Target="../../../livelink/llisapi.dll?func=ll&amp;objId=336181238&amp;objAction=browse&amp;viewType=1" TargetMode="External"/><Relationship Id="rId221" Type="http://schemas.openxmlformats.org/officeDocument/2006/relationships/hyperlink" Target="../../../livelink/llisapi.dll?func=ll&amp;objId=362062587&amp;objAction=browse" TargetMode="External"/><Relationship Id="rId37" Type="http://schemas.openxmlformats.org/officeDocument/2006/relationships/hyperlink" Target="file:///\\docmanager.onelondon.tfl.local\DavWWWRoot\otcsdav\nodes\351712192\Project%20Tracker%20Report-2.2%2011%20May%2016.xls" TargetMode="External"/><Relationship Id="rId58" Type="http://schemas.openxmlformats.org/officeDocument/2006/relationships/hyperlink" Target="../../../livelink/llisapi.dll?func=ll&amp;objId=344822564&amp;objAction=browse" TargetMode="External"/><Relationship Id="rId79" Type="http://schemas.openxmlformats.org/officeDocument/2006/relationships/hyperlink" Target="../../../livelink/llisapi.dll?func=ll&amp;objId=344154048&amp;objAction=browse" TargetMode="External"/><Relationship Id="rId102" Type="http://schemas.openxmlformats.org/officeDocument/2006/relationships/hyperlink" Target="../../../livelink/llisapi.dll?func=ll&amp;objId=349205519&amp;objAction=browse" TargetMode="External"/><Relationship Id="rId123" Type="http://schemas.openxmlformats.org/officeDocument/2006/relationships/hyperlink" Target="../../../livelink/llisapi.dll?func=ll&amp;objId=360623222&amp;objAction=browse" TargetMode="External"/><Relationship Id="rId144" Type="http://schemas.openxmlformats.org/officeDocument/2006/relationships/hyperlink" Target="../../../livelink/llisapi.dll?func=ll&amp;objId=362062049&amp;objAction=browse" TargetMode="External"/><Relationship Id="rId90" Type="http://schemas.openxmlformats.org/officeDocument/2006/relationships/hyperlink" Target="../../../livelink/llisapi.dll?func=ll&amp;objId=348812212&amp;objAction=browse" TargetMode="External"/><Relationship Id="rId165" Type="http://schemas.openxmlformats.org/officeDocument/2006/relationships/hyperlink" Target="../../../livelink/llisapi.dll?func=ll&amp;objId=349547451&amp;objAction=browse" TargetMode="External"/><Relationship Id="rId186" Type="http://schemas.openxmlformats.org/officeDocument/2006/relationships/hyperlink" Target="../../../livelink/llisapi.dll?func=ll&amp;objId=344161981&amp;objAction=browse" TargetMode="External"/><Relationship Id="rId211" Type="http://schemas.openxmlformats.org/officeDocument/2006/relationships/hyperlink" Target="../../../livelink/llisapi.dll?func=ll&amp;objId=362062385&amp;objAction=browse" TargetMode="External"/><Relationship Id="rId232" Type="http://schemas.openxmlformats.org/officeDocument/2006/relationships/hyperlink" Target="../../../livelink/llisapi.dll?func=ll&amp;objId=362062281&amp;objAction=browse&amp;viewType=1" TargetMode="External"/><Relationship Id="rId27" Type="http://schemas.openxmlformats.org/officeDocument/2006/relationships/hyperlink" Target="../../../livelink/llisapi.dll?func=ll&amp;objId=335855673&amp;objAction=browse&amp;viewType=1" TargetMode="External"/><Relationship Id="rId48" Type="http://schemas.openxmlformats.org/officeDocument/2006/relationships/hyperlink" Target="../../../livelink/llisapi.dll?func=ll&amp;objId=345764197&amp;objAction=browse&amp;viewType=1" TargetMode="External"/><Relationship Id="rId69" Type="http://schemas.openxmlformats.org/officeDocument/2006/relationships/hyperlink" Target="../../../livelink/llisapi.dll?func=ll&amp;objId=345727996&amp;objAction=browse" TargetMode="External"/><Relationship Id="rId113" Type="http://schemas.openxmlformats.org/officeDocument/2006/relationships/hyperlink" Target="../../../livelink/llisapi.dll?func=ll&amp;objId=358808194&amp;objAction=browse" TargetMode="External"/><Relationship Id="rId134" Type="http://schemas.openxmlformats.org/officeDocument/2006/relationships/hyperlink" Target="../../../livelink/llisapi.dll?func=ll&amp;objId=351656378&amp;objAction=browse"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livelink/llisapi.dll?func=ll&amp;objId=349536241&amp;objAction=browse" TargetMode="External"/><Relationship Id="rId7" Type="http://schemas.openxmlformats.org/officeDocument/2006/relationships/comments" Target="../comments3.xml"/><Relationship Id="rId2" Type="http://schemas.openxmlformats.org/officeDocument/2006/relationships/hyperlink" Target="../../../livelink/llisapi.dll?func=ll&amp;objId=344161981&amp;objAction=browse" TargetMode="External"/><Relationship Id="rId1" Type="http://schemas.openxmlformats.org/officeDocument/2006/relationships/hyperlink" Target="../../../livelink/llisapi.dll?func=ll&amp;objId=344161981&amp;objAction=browse" TargetMode="External"/><Relationship Id="rId6" Type="http://schemas.openxmlformats.org/officeDocument/2006/relationships/vmlDrawing" Target="../drawings/vmlDrawing5.vml"/><Relationship Id="rId5" Type="http://schemas.openxmlformats.org/officeDocument/2006/relationships/printerSettings" Target="../printerSettings/printerSettings6.bin"/><Relationship Id="rId4" Type="http://schemas.openxmlformats.org/officeDocument/2006/relationships/hyperlink" Target="../../../livelink/llisapi.dll?func=ll&amp;objId=362047865&amp;objAction=brows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livelink/llisapi.dll?func=ll&amp;objaction=overview&amp;objid=347184540" TargetMode="External"/><Relationship Id="rId13" Type="http://schemas.openxmlformats.org/officeDocument/2006/relationships/hyperlink" Target="../../../livelink/llisapi.dll?func=ll&amp;objaction=overview&amp;objid=357674878" TargetMode="External"/><Relationship Id="rId18" Type="http://schemas.openxmlformats.org/officeDocument/2006/relationships/hyperlink" Target="file:///\\ONELONDON.TFL.LOCAL\SHARED\FACILITIES_DATA\Share\PROJECTS\Fire%20Compartmentation\Post%20Contract\Finance\Change%20Control" TargetMode="External"/><Relationship Id="rId26" Type="http://schemas.openxmlformats.org/officeDocument/2006/relationships/vmlDrawing" Target="../drawings/vmlDrawing6.vml"/><Relationship Id="rId3" Type="http://schemas.openxmlformats.org/officeDocument/2006/relationships/hyperlink" Target="../../../livelink/llisapi.dll?func=ll&amp;objaction=overview&amp;objid=344814193" TargetMode="External"/><Relationship Id="rId21" Type="http://schemas.openxmlformats.org/officeDocument/2006/relationships/hyperlink" Target="file:///\\ONELONDON.TFL.LOCAL\SHARED\FACILITIES_DATA\Share\PROJECTS\12-13%20Property%20Care%20Programme\OCH_BMS_connection\2.0%20Project%20Governance\2.09%20Change%20Control\PCP-13-010%20OCH-BMS%20Connectivity.pdf" TargetMode="External"/><Relationship Id="rId7" Type="http://schemas.openxmlformats.org/officeDocument/2006/relationships/hyperlink" Target="../../../livelink/llisapi.dll?func=ll&amp;objaction=overview&amp;objid=346919573" TargetMode="External"/><Relationship Id="rId12" Type="http://schemas.openxmlformats.org/officeDocument/2006/relationships/hyperlink" Target="../../../livelink/llisapi.dll?func=ll&amp;objaction=overview&amp;objid=353310777" TargetMode="External"/><Relationship Id="rId17" Type="http://schemas.openxmlformats.org/officeDocument/2006/relationships/hyperlink" Target="../../../livelink/llisapi.dll/properties/343298893" TargetMode="External"/><Relationship Id="rId25" Type="http://schemas.openxmlformats.org/officeDocument/2006/relationships/hyperlink" Target="../../../livelink/llisapi.dll?func=ll&amp;objaction=overview&amp;objid=347392329" TargetMode="External"/><Relationship Id="rId2" Type="http://schemas.openxmlformats.org/officeDocument/2006/relationships/hyperlink" Target="../../../livelink/llisapi.dll/properties/343270103" TargetMode="External"/><Relationship Id="rId16" Type="http://schemas.openxmlformats.org/officeDocument/2006/relationships/hyperlink" Target="../../../livelink/llisapi.dll?func=ll&amp;objaction=overview&amp;objid=345948721" TargetMode="External"/><Relationship Id="rId20" Type="http://schemas.openxmlformats.org/officeDocument/2006/relationships/hyperlink" Target="file:///\\ONELONDON.TFL.LOCAL\SHARED\FACILITIES_DATA\Share\PROJECTS\12-13%20Property%20Care%20Programme\OCH_BMS_connection\2.0%20Project%20Governance\2.09%20Change%20Control\Signed%20CRF2.pdf" TargetMode="External"/><Relationship Id="rId1" Type="http://schemas.openxmlformats.org/officeDocument/2006/relationships/hyperlink" Target="../../../livelink/llisapi.dll?func=ll&amp;objaction=overview&amp;objid=339321226" TargetMode="External"/><Relationship Id="rId6" Type="http://schemas.openxmlformats.org/officeDocument/2006/relationships/hyperlink" Target="../../../livelink/llisapi.dll?func=ll&amp;objaction=overview&amp;objid=346810357" TargetMode="External"/><Relationship Id="rId11" Type="http://schemas.openxmlformats.org/officeDocument/2006/relationships/hyperlink" Target="file:///\\ONELONDON.TFL.LOCAL\SHARED\FACILITIES_DATA\Share\PROJECTS\Fire%20Compartmentation\Post%20Contract\Finance\Change%20Control\Budget%20increase%20and%20sign%20off" TargetMode="External"/><Relationship Id="rId24" Type="http://schemas.openxmlformats.org/officeDocument/2006/relationships/hyperlink" Target="../../../livelink/llisapi.dll/fetch/2000/316342085/330811523/333105533/335757796/335745045/335745047/Albany_House_Signed_VO_3.pdf?nodeid=349480263&amp;vernum=-2" TargetMode="External"/><Relationship Id="rId5" Type="http://schemas.openxmlformats.org/officeDocument/2006/relationships/hyperlink" Target="../../../livelink/llisapi.dll?func=ll&amp;objaction=overview&amp;objid=345547942" TargetMode="External"/><Relationship Id="rId15" Type="http://schemas.openxmlformats.org/officeDocument/2006/relationships/hyperlink" Target="../../../livelink/llisapi.dll?func=ll&amp;objaction=overview&amp;objid=349819089" TargetMode="External"/><Relationship Id="rId23" Type="http://schemas.openxmlformats.org/officeDocument/2006/relationships/hyperlink" Target="../../../livelink/llisapi.dll?func=ll&amp;objaction=overview&amp;objid=357551210" TargetMode="External"/><Relationship Id="rId28" Type="http://schemas.openxmlformats.org/officeDocument/2006/relationships/comments" Target="../comments4.xml"/><Relationship Id="rId10" Type="http://schemas.openxmlformats.org/officeDocument/2006/relationships/hyperlink" Target="../../../livelink/llisapi.dll?func=ll&amp;objaction=overview&amp;objid=349091271" TargetMode="External"/><Relationship Id="rId19" Type="http://schemas.openxmlformats.org/officeDocument/2006/relationships/hyperlink" Target="../../../livelink/llisapi.dll?func=ll&amp;objaction=overview&amp;objid=347642695" TargetMode="External"/><Relationship Id="rId4" Type="http://schemas.openxmlformats.org/officeDocument/2006/relationships/hyperlink" Target="../../../livelink/llisapi.dll?func=ll&amp;objaction=overview&amp;objid=344651261" TargetMode="External"/><Relationship Id="rId9" Type="http://schemas.openxmlformats.org/officeDocument/2006/relationships/hyperlink" Target="../../../livelink/llisapi.dll?func=ll&amp;objaction=overview&amp;objid=347740992" TargetMode="External"/><Relationship Id="rId14" Type="http://schemas.openxmlformats.org/officeDocument/2006/relationships/hyperlink" Target="../../../livelink/llisapi.dll/fetch/2000/316342085/330811523/333105533/342972123/344257912/344277468/344262870/CCR_Air_Test.pdf?nodeid=349085048&amp;vernum=-2" TargetMode="External"/><Relationship Id="rId22" Type="http://schemas.openxmlformats.org/officeDocument/2006/relationships/hyperlink" Target="../../../livelink/llisapi.dll?func=ll&amp;objaction=overview&amp;objid=357551211" TargetMode="External"/><Relationship Id="rId27"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00B050"/>
    <pageSetUpPr fitToPage="1"/>
  </sheetPr>
  <dimension ref="A1:P40"/>
  <sheetViews>
    <sheetView showGridLines="0" tabSelected="1" zoomScaleNormal="100" workbookViewId="0">
      <pane xSplit="2" ySplit="3" topLeftCell="C4" activePane="bottomRight" state="frozen"/>
      <selection pane="topRight" activeCell="I1" sqref="I1"/>
      <selection pane="bottomLeft" activeCell="A4" sqref="A4"/>
      <selection pane="bottomRight" activeCell="P5" sqref="P5"/>
    </sheetView>
  </sheetViews>
  <sheetFormatPr defaultRowHeight="45" customHeight="1" x14ac:dyDescent="0.2"/>
  <cols>
    <col min="1" max="1" width="7.21875" style="3" bestFit="1" customWidth="1"/>
    <col min="2" max="2" width="19.5546875" style="3" customWidth="1"/>
    <col min="3" max="3" width="8.33203125" style="31" customWidth="1"/>
    <col min="4" max="8" width="8.33203125" style="3" customWidth="1"/>
    <col min="9" max="9" width="1.6640625" customWidth="1"/>
    <col min="10" max="10" width="5.6640625" customWidth="1"/>
    <col min="11" max="11" width="1.33203125" customWidth="1"/>
    <col min="12" max="12" width="6.33203125" customWidth="1"/>
    <col min="13" max="13" width="1.33203125" style="3" customWidth="1"/>
    <col min="14" max="14" width="47.6640625" style="132" customWidth="1"/>
    <col min="15" max="15" width="7.5546875" style="145" customWidth="1"/>
    <col min="16" max="16384" width="8.88671875" style="3"/>
  </cols>
  <sheetData>
    <row r="1" spans="1:16" ht="35.25" customHeight="1" x14ac:dyDescent="0.2">
      <c r="N1" s="225" t="s">
        <v>611</v>
      </c>
      <c r="O1" s="385" t="s">
        <v>372</v>
      </c>
      <c r="P1" s="385"/>
    </row>
    <row r="2" spans="1:16" ht="45" customHeight="1" thickBot="1" x14ac:dyDescent="0.25">
      <c r="D2" s="24"/>
      <c r="E2" s="24"/>
      <c r="F2" s="24"/>
      <c r="G2" s="24"/>
      <c r="H2" s="25"/>
      <c r="O2" s="146" t="s">
        <v>359</v>
      </c>
      <c r="P2" s="137"/>
    </row>
    <row r="3" spans="1:16" ht="45" customHeight="1" thickTop="1" thickBot="1" x14ac:dyDescent="0.25">
      <c r="A3" s="147" t="s">
        <v>197</v>
      </c>
      <c r="B3" s="36" t="s">
        <v>27</v>
      </c>
      <c r="C3" s="149" t="s">
        <v>367</v>
      </c>
      <c r="D3" s="32" t="s">
        <v>189</v>
      </c>
      <c r="E3" s="33" t="s">
        <v>191</v>
      </c>
      <c r="F3" s="33" t="s">
        <v>192</v>
      </c>
      <c r="G3" s="34" t="s">
        <v>190</v>
      </c>
      <c r="H3" s="35" t="s">
        <v>29</v>
      </c>
      <c r="J3" s="136" t="s">
        <v>26</v>
      </c>
      <c r="K3" s="153"/>
      <c r="L3" s="153" t="s">
        <v>357</v>
      </c>
      <c r="M3" s="4"/>
      <c r="N3" s="131" t="s">
        <v>21</v>
      </c>
      <c r="O3" s="146" t="s">
        <v>358</v>
      </c>
      <c r="P3" s="133"/>
    </row>
    <row r="4" spans="1:16" s="27" customFormat="1" ht="56.25" customHeight="1" thickTop="1" thickBot="1" x14ac:dyDescent="0.25">
      <c r="A4" s="122" t="str">
        <f>IF(INDEX('Tracker Sheet'!E:E,3)="","",INDEX('Tracker Sheet'!E:E,3))</f>
        <v>Jerry Young</v>
      </c>
      <c r="B4" s="317" t="str">
        <f>IF(INDEX('Tracker Sheet'!C:C,3)="","",INDEX('Tracker Sheet'!C:C,3))</f>
        <v>Albany House - Plant Optimisation</v>
      </c>
      <c r="C4" s="316" t="str">
        <f>IF(INDEX('Tracker Sheet'!K:K,3)="","",INDEX('Tracker Sheet'!K:K,3))</f>
        <v>Board Date
01/03/2012</v>
      </c>
      <c r="D4" s="328"/>
      <c r="E4" s="315" t="str">
        <f ca="1">IF(INDEX('Tracker Sheet'!BT:BT,3)="Completed ",INDEX('Tracker Sheet'!BS:BS,3)&amp;INDEX('Tracker Sheet'!BU:BU,3),INDEX('Tracker Sheet'!BT:BT,3))</f>
        <v/>
      </c>
      <c r="F4" s="315" t="str">
        <f ca="1">IF(INDEX('Tracker Sheet'!BV:BV,3)="Completed ",INDEX('Tracker Sheet'!BV:BV,3)&amp;INDEX('Tracker Sheet'!BW:BW,3),INDEX('Tracker Sheet'!BV:BV,3))</f>
        <v/>
      </c>
      <c r="G4" s="315" t="str">
        <f ca="1">IF(INDEX('Tracker Sheet'!BX:BX,3)="Completed ",INDEX('Tracker Sheet'!BX:BX,3)&amp;INDEX('Tracker Sheet'!BY:BY,3),INDEX('Tracker Sheet'!BX:BX,3))</f>
        <v>Forecast Completion on 17-2-2017
170 day(s) late</v>
      </c>
      <c r="H4" s="315" t="str">
        <f ca="1">INDEX('Tracker Sheet'!BZ:BZ,3)</f>
        <v>Current Forecast Spend £300775</v>
      </c>
      <c r="I4" s="26"/>
      <c r="J4" s="23"/>
      <c r="K4" s="156"/>
      <c r="L4" s="153" t="s">
        <v>339</v>
      </c>
      <c r="N4" s="229" t="s">
        <v>612</v>
      </c>
      <c r="O4" s="140"/>
      <c r="P4" s="138"/>
    </row>
    <row r="5" spans="1:16" ht="56.25" customHeight="1" thickTop="1" thickBot="1" x14ac:dyDescent="0.25">
      <c r="A5" s="122" t="str">
        <f>IF(INDEX('Tracker Sheet'!E:E,4)="","",INDEX('Tracker Sheet'!E:E,4))</f>
        <v>Jerry Young</v>
      </c>
      <c r="B5" s="317" t="str">
        <f>IF(INDEX('Tracker Sheet'!C:C,4)="","",INDEX('Tracker Sheet'!C:C,4))</f>
        <v>Baker Street Complex - Fire Compliance - Fire Alarms no MICC</v>
      </c>
      <c r="C5" s="329" t="str">
        <f>IF(INDEX('Tracker Sheet'!K:K,4)="","",INDEX('Tracker Sheet'!K:K,4))</f>
        <v>Board Date
01/11/2012</v>
      </c>
      <c r="D5" s="328" t="str">
        <f ca="1">IF(INDEX('Tracker Sheet'!BR:BR,4)="Completed ",INDEX('Tracker Sheet'!BR:BR,4)&amp;INDEX('Tracker Sheet'!BS:BS,4),INDEX('Tracker Sheet'!BR:BR,4))</f>
        <v/>
      </c>
      <c r="E5" s="328" t="str">
        <f ca="1">IF(INDEX('Tracker Sheet'!BT:BT,4)="Completed ",INDEX('Tracker Sheet'!BS:BS,4)&amp;INDEX('Tracker Sheet'!BU:BU,4),INDEX('Tracker Sheet'!BT:BT,4))</f>
        <v/>
      </c>
      <c r="F5" s="328" t="str">
        <f ca="1">IF(INDEX('Tracker Sheet'!BV:BV,4)="Completed ",INDEX('Tracker Sheet'!BV:BV,4)&amp;INDEX('Tracker Sheet'!BW:BW,4),INDEX('Tracker Sheet'!BV:BV,4))</f>
        <v/>
      </c>
      <c r="G5" s="328" t="str">
        <f ca="1">IF(INDEX('Tracker Sheet'!BX:BX,4)="Completed ",INDEX('Tracker Sheet'!BX:BX,4)&amp;INDEX('Tracker Sheet'!BY:BY,4),INDEX('Tracker Sheet'!BX:BX,4))</f>
        <v>Forecast Completion on 30-4-2017
212 day(s) late</v>
      </c>
      <c r="H5" s="328" t="str">
        <f ca="1">INDEX('Tracker Sheet'!BZ:BZ,4)</f>
        <v>Current Forecast Spend £1506239</v>
      </c>
      <c r="I5" s="213"/>
      <c r="J5" s="23"/>
      <c r="K5" s="156"/>
      <c r="L5" s="153" t="s">
        <v>339</v>
      </c>
      <c r="N5" s="229" t="s">
        <v>612</v>
      </c>
      <c r="O5" s="140"/>
      <c r="P5" s="139"/>
    </row>
    <row r="6" spans="1:16" ht="56.25" customHeight="1" thickTop="1" thickBot="1" x14ac:dyDescent="0.25">
      <c r="A6" s="122" t="str">
        <f>IF(INDEX('Tracker Sheet'!E:E,5)="","",INDEX('Tracker Sheet'!E:E,5))</f>
        <v>John Murphy</v>
      </c>
      <c r="B6" s="317" t="str">
        <f>IF(INDEX('Tracker Sheet'!C:C,5)="","",INDEX('Tracker Sheet'!C:C,5))</f>
        <v>Building Facades Risk Assessments (7 Building)</v>
      </c>
      <c r="C6" s="329" t="str">
        <f>IF(INDEX('Tracker Sheet'!K:K,5)="","",INDEX('Tracker Sheet'!K:K,5))</f>
        <v>Board Date
20/08/2016</v>
      </c>
      <c r="D6" s="328" t="str">
        <f ca="1">IF(INDEX('Tracker Sheet'!BR:BR,5)="Completed ",INDEX('Tracker Sheet'!BR:BR,5)&amp;INDEX('Tracker Sheet'!BS:BS,5),INDEX('Tracker Sheet'!BR:BR,5))</f>
        <v>Completed 2 day(s) late</v>
      </c>
      <c r="E6" s="328" t="str">
        <f ca="1">IF(INDEX('Tracker Sheet'!BT:BT,5)="Completed ",INDEX('Tracker Sheet'!BS:BS,5)&amp;INDEX('Tracker Sheet'!BU:BU,5),INDEX('Tracker Sheet'!BT:BT,5))</f>
        <v/>
      </c>
      <c r="F6" s="328" t="str">
        <f ca="1">IF(INDEX('Tracker Sheet'!BV:BV,5)="Completed ",INDEX('Tracker Sheet'!BV:BV,5)&amp;INDEX('Tracker Sheet'!BW:BW,5),INDEX('Tracker Sheet'!BV:BV,5))</f>
        <v>Forecast Completion on 22-6-2017
on time</v>
      </c>
      <c r="G6" s="328" t="str">
        <f ca="1">IF(INDEX('Tracker Sheet'!BX:BX,5)="Completed ",INDEX('Tracker Sheet'!BX:BX,5)&amp;INDEX('Tracker Sheet'!BY:BY,5),INDEX('Tracker Sheet'!BX:BX,5))</f>
        <v/>
      </c>
      <c r="H6" s="328" t="str">
        <f ca="1">INDEX('Tracker Sheet'!BZ:BZ,5)</f>
        <v>Current Forecast Spend £180000</v>
      </c>
      <c r="J6" s="23"/>
      <c r="K6" s="156"/>
      <c r="L6" s="153"/>
      <c r="N6" s="222" t="s">
        <v>299</v>
      </c>
      <c r="O6" s="141"/>
    </row>
    <row r="7" spans="1:16" ht="56.25" customHeight="1" thickTop="1" thickBot="1" x14ac:dyDescent="0.25">
      <c r="A7" s="122" t="str">
        <f>IF(INDEX('Tracker Sheet'!E:E,6)="","",INDEX('Tracker Sheet'!E:E,6))</f>
        <v>John Murphy</v>
      </c>
      <c r="B7" s="317" t="str">
        <f>IF(INDEX('Tracker Sheet'!C:C,6)="","",INDEX('Tracker Sheet'!C:C,6))</f>
        <v>200 BPR Toilet Refurbishment</v>
      </c>
      <c r="C7" s="329" t="str">
        <f>IF(INDEX('Tracker Sheet'!K:K,6)="","",INDEX('Tracker Sheet'!K:K,6))</f>
        <v>Board Date
28/11/2015</v>
      </c>
      <c r="D7" s="328" t="str">
        <f ca="1">IF(INDEX('Tracker Sheet'!BR:BR,6)="Completed ",INDEX('Tracker Sheet'!BR:BR,6)&amp;INDEX('Tracker Sheet'!BS:BS,6),INDEX('Tracker Sheet'!BR:BR,6))</f>
        <v>Completed 334 day(s) late</v>
      </c>
      <c r="E7" s="328" t="str">
        <f ca="1">IF(INDEX('Tracker Sheet'!BT:BT,6)="Completed ",INDEX('Tracker Sheet'!BS:BS,6)&amp;INDEX('Tracker Sheet'!BU:BU,6),INDEX('Tracker Sheet'!BT:BT,6))</f>
        <v/>
      </c>
      <c r="F7" s="328" t="str">
        <f ca="1">IF(INDEX('Tracker Sheet'!BV:BV,6)="Completed ",INDEX('Tracker Sheet'!BV:BV,6)&amp;INDEX('Tracker Sheet'!BW:BW,6),INDEX('Tracker Sheet'!BV:BV,6))</f>
        <v/>
      </c>
      <c r="G7" s="328" t="str">
        <f ca="1">IF(INDEX('Tracker Sheet'!BX:BX,6)="Completed ",INDEX('Tracker Sheet'!BX:BX,6)&amp;INDEX('Tracker Sheet'!BY:BY,6),INDEX('Tracker Sheet'!BX:BX,6))</f>
        <v/>
      </c>
      <c r="H7" s="328" t="str">
        <f ca="1">INDEX('Tracker Sheet'!BZ:BZ,6)</f>
        <v>Current Forecast Spend £419345</v>
      </c>
      <c r="J7" s="23"/>
      <c r="K7" s="156"/>
      <c r="L7" s="153"/>
      <c r="N7" s="226" t="s">
        <v>569</v>
      </c>
      <c r="O7" s="140"/>
    </row>
    <row r="8" spans="1:16" ht="56.25" customHeight="1" thickTop="1" thickBot="1" x14ac:dyDescent="0.25">
      <c r="A8" s="122" t="str">
        <f>IF(INDEX('Tracker Sheet'!E:E,7)="","",INDEX('Tracker Sheet'!E:E,7))</f>
        <v>John Cousins</v>
      </c>
      <c r="B8" s="317" t="str">
        <f>IF(INDEX('Tracker Sheet'!C:C,7)="","",INDEX('Tracker Sheet'!C:C,7))</f>
        <v>172 BPR &amp; Windsor House Chiller Remedial</v>
      </c>
      <c r="C8" s="329" t="str">
        <f>IF(INDEX('Tracker Sheet'!K:K,7)="","",INDEX('Tracker Sheet'!K:K,7))</f>
        <v>Board Date
06/02/2014</v>
      </c>
      <c r="D8" s="328" t="str">
        <f ca="1">IF(INDEX('Tracker Sheet'!BR:BR,7)="Completed ",INDEX('Tracker Sheet'!BR:BR,7)&amp;INDEX('Tracker Sheet'!BS:BS,7),INDEX('Tracker Sheet'!BR:BR,7))</f>
        <v/>
      </c>
      <c r="E8" s="328" t="str">
        <f ca="1">IF(INDEX('Tracker Sheet'!BT:BT,7)="Completed ",INDEX('Tracker Sheet'!BS:BS,7)&amp;INDEX('Tracker Sheet'!BU:BU,7),INDEX('Tracker Sheet'!BT:BT,7))</f>
        <v/>
      </c>
      <c r="F8" s="328" t="str">
        <f ca="1">IF(INDEX('Tracker Sheet'!BV:BV,7)="Completed ",INDEX('Tracker Sheet'!BV:BV,7)&amp;INDEX('Tracker Sheet'!BW:BW,7),INDEX('Tracker Sheet'!BV:BV,7))</f>
        <v/>
      </c>
      <c r="G8" s="328" t="str">
        <f ca="1">IF(INDEX('Tracker Sheet'!BX:BX,7)="Completed ",INDEX('Tracker Sheet'!BX:BX,7)&amp;INDEX('Tracker Sheet'!BY:BY,7),INDEX('Tracker Sheet'!BX:BX,7))</f>
        <v>Forecast Completion on 20-3-2017
on time</v>
      </c>
      <c r="H8" s="328" t="str">
        <f ca="1">INDEX('Tracker Sheet'!BZ:BZ,7)</f>
        <v>Current Forecast Spend £1027000</v>
      </c>
      <c r="J8" s="23"/>
      <c r="K8" s="156"/>
      <c r="L8" s="153"/>
      <c r="N8" s="222" t="s">
        <v>299</v>
      </c>
      <c r="O8" s="140"/>
    </row>
    <row r="9" spans="1:16" ht="56.25" customHeight="1" thickTop="1" thickBot="1" x14ac:dyDescent="0.25">
      <c r="A9" s="122" t="str">
        <f>IF(INDEX('Tracker Sheet'!E:E,8)="","",INDEX('Tracker Sheet'!E:E,8))</f>
        <v>John Cousins</v>
      </c>
      <c r="B9" s="317" t="str">
        <f>IF(INDEX('Tracker Sheet'!C:C,8)="","",INDEX('Tracker Sheet'!C:C,8))</f>
        <v>Basement Leak Detection and Sump Pump</v>
      </c>
      <c r="C9" s="329" t="str">
        <f>IF(INDEX('Tracker Sheet'!K:K,8)="","",INDEX('Tracker Sheet'!K:K,8))</f>
        <v>Board Date
15/10/2015</v>
      </c>
      <c r="D9" s="328" t="str">
        <f ca="1">IF(INDEX('Tracker Sheet'!BR:BR,8)="Completed ",INDEX('Tracker Sheet'!BR:BR,8)&amp;INDEX('Tracker Sheet'!BS:BS,8),INDEX('Tracker Sheet'!BR:BR,8))</f>
        <v/>
      </c>
      <c r="E9" s="328" t="str">
        <f ca="1">IF(INDEX('Tracker Sheet'!BT:BT,8)="Completed ",INDEX('Tracker Sheet'!BS:BS,8)&amp;INDEX('Tracker Sheet'!BU:BU,8),INDEX('Tracker Sheet'!BT:BT,8))</f>
        <v/>
      </c>
      <c r="F9" s="328" t="str">
        <f ca="1">IF(INDEX('Tracker Sheet'!BV:BV,8)="Completed ",INDEX('Tracker Sheet'!BV:BV,8)&amp;INDEX('Tracker Sheet'!BW:BW,8),INDEX('Tracker Sheet'!BV:BV,8))</f>
        <v/>
      </c>
      <c r="G9" s="328" t="str">
        <f ca="1">IF(INDEX('Tracker Sheet'!BX:BX,8)="Completed ",INDEX('Tracker Sheet'!BX:BX,8)&amp;INDEX('Tracker Sheet'!BY:BY,8),INDEX('Tracker Sheet'!BX:BX,8))</f>
        <v>Completed on time</v>
      </c>
      <c r="H9" s="328" t="str">
        <f ca="1">INDEX('Tracker Sheet'!BZ:BZ,8)</f>
        <v>Under budget by £17669</v>
      </c>
      <c r="I9" s="213"/>
      <c r="J9" s="23"/>
      <c r="K9" s="156"/>
      <c r="L9" s="153"/>
      <c r="N9" s="227" t="s">
        <v>574</v>
      </c>
      <c r="O9" s="140"/>
    </row>
    <row r="10" spans="1:16" ht="56.25" customHeight="1" thickTop="1" thickBot="1" x14ac:dyDescent="0.25">
      <c r="A10" s="122" t="str">
        <f>IF(INDEX('Tracker Sheet'!E:E,9)="","",INDEX('Tracker Sheet'!E:E,9))</f>
        <v>John Cousins</v>
      </c>
      <c r="B10" s="317" t="str">
        <f>IF(INDEX('Tracker Sheet'!C:C,9)="","",INDEX('Tracker Sheet'!C:C,9))</f>
        <v>Toilet Flushing Upgrade</v>
      </c>
      <c r="C10" s="329" t="str">
        <f>IF(INDEX('Tracker Sheet'!K:K,9)="","",INDEX('Tracker Sheet'!K:K,9))</f>
        <v>Board Date
15/10/2015</v>
      </c>
      <c r="D10" s="328" t="str">
        <f ca="1">IF(INDEX('Tracker Sheet'!BR:BR,9)="Completed ",INDEX('Tracker Sheet'!BR:BR,9)&amp;INDEX('Tracker Sheet'!BS:BS,9),INDEX('Tracker Sheet'!BR:BR,9))</f>
        <v/>
      </c>
      <c r="E10" s="328" t="str">
        <f ca="1">IF(INDEX('Tracker Sheet'!BT:BT,9)="Completed ",INDEX('Tracker Sheet'!BS:BS,9)&amp;INDEX('Tracker Sheet'!BU:BU,9),INDEX('Tracker Sheet'!BT:BT,9))</f>
        <v/>
      </c>
      <c r="F10" s="328" t="str">
        <f ca="1">IF(INDEX('Tracker Sheet'!BV:BV,9)="Completed ",INDEX('Tracker Sheet'!BV:BV,9)&amp;INDEX('Tracker Sheet'!BW:BW,9),INDEX('Tracker Sheet'!BV:BV,9))</f>
        <v>Completed on time</v>
      </c>
      <c r="G10" s="328" t="str">
        <f ca="1">IF(INDEX('Tracker Sheet'!BX:BX,9)="Completed ",INDEX('Tracker Sheet'!BX:BX,9)&amp;INDEX('Tracker Sheet'!BY:BY,9),INDEX('Tracker Sheet'!BX:BX,9))</f>
        <v/>
      </c>
      <c r="H10" s="328" t="str">
        <f ca="1">INDEX('Tracker Sheet'!BZ:BZ,9)</f>
        <v>Current Forecast Spend £409317</v>
      </c>
      <c r="J10" s="23"/>
      <c r="K10" s="156"/>
      <c r="L10" s="153"/>
      <c r="N10" s="227" t="s">
        <v>565</v>
      </c>
      <c r="O10" s="140"/>
    </row>
    <row r="11" spans="1:16" ht="56.25" customHeight="1" thickTop="1" thickBot="1" x14ac:dyDescent="0.25">
      <c r="A11" s="122" t="str">
        <f>IF(INDEX('Tracker Sheet'!E:E,10)="","",INDEX('Tracker Sheet'!E:E,10))</f>
        <v>John Murphy</v>
      </c>
      <c r="B11" s="317" t="str">
        <f>IF(INDEX('Tracker Sheet'!C:C,10)="","",INDEX('Tracker Sheet'!C:C,10))</f>
        <v>Templar House Boiler Replacement</v>
      </c>
      <c r="C11" s="329" t="str">
        <f>IF(INDEX('Tracker Sheet'!K:K,10)="","",INDEX('Tracker Sheet'!K:K,10))</f>
        <v>Board Date
14/08/2015</v>
      </c>
      <c r="D11" s="328" t="str">
        <f ca="1">IF(INDEX('Tracker Sheet'!BR:BR,10)="Completed ",INDEX('Tracker Sheet'!BR:BR,10)&amp;INDEX('Tracker Sheet'!BS:BS,10),INDEX('Tracker Sheet'!BR:BR,10))</f>
        <v/>
      </c>
      <c r="E11" s="328" t="str">
        <f ca="1">IF(INDEX('Tracker Sheet'!BT:BT,10)="Completed ",INDEX('Tracker Sheet'!BS:BS,10)&amp;INDEX('Tracker Sheet'!BU:BU,10),INDEX('Tracker Sheet'!BT:BT,10))</f>
        <v/>
      </c>
      <c r="F11" s="328" t="str">
        <f ca="1">IF(INDEX('Tracker Sheet'!BV:BV,10)="Completed ",INDEX('Tracker Sheet'!BV:BV,10)&amp;INDEX('Tracker Sheet'!BW:BW,10),INDEX('Tracker Sheet'!BV:BV,10))</f>
        <v/>
      </c>
      <c r="G11" s="328" t="str">
        <f ca="1">IF(INDEX('Tracker Sheet'!BX:BX,10)="Completed ",INDEX('Tracker Sheet'!BX:BX,10)&amp;INDEX('Tracker Sheet'!BY:BY,10),INDEX('Tracker Sheet'!BX:BX,10))</f>
        <v>Completed on time</v>
      </c>
      <c r="H11" s="328" t="str">
        <f ca="1">INDEX('Tracker Sheet'!BZ:BZ,10)</f>
        <v>Under budget by £0</v>
      </c>
      <c r="J11" s="23"/>
      <c r="K11" s="156"/>
      <c r="L11" s="153"/>
      <c r="N11" s="222" t="s">
        <v>613</v>
      </c>
      <c r="O11" s="140"/>
      <c r="P11" s="239"/>
    </row>
    <row r="12" spans="1:16" ht="56.25" customHeight="1" thickTop="1" thickBot="1" x14ac:dyDescent="0.25">
      <c r="A12" s="122" t="str">
        <f>IF(INDEX('Tracker Sheet'!E:E,11)="","",INDEX('Tracker Sheet'!E:E,11))</f>
        <v>John Cousins</v>
      </c>
      <c r="B12" s="317" t="str">
        <f>IF(INDEX('Tracker Sheet'!C:C,11)="","",INDEX('Tracker Sheet'!C:C,11))</f>
        <v>VSH Roof and Facades Repairs</v>
      </c>
      <c r="C12" s="329" t="str">
        <f>IF(INDEX('Tracker Sheet'!K:K,11)="","",INDEX('Tracker Sheet'!K:K,11))</f>
        <v>Board Date
22/10/2015</v>
      </c>
      <c r="D12" s="328" t="str">
        <f ca="1">IF(INDEX('Tracker Sheet'!BR:BR,11)="Completed ",INDEX('Tracker Sheet'!BR:BR,11)&amp;INDEX('Tracker Sheet'!BS:BS,11),INDEX('Tracker Sheet'!BR:BR,11))</f>
        <v/>
      </c>
      <c r="E12" s="328" t="str">
        <f ca="1">IF(INDEX('Tracker Sheet'!BT:BT,11)="Completed ",INDEX('Tracker Sheet'!BS:BS,11)&amp;INDEX('Tracker Sheet'!BU:BU,11),INDEX('Tracker Sheet'!BT:BT,11))</f>
        <v/>
      </c>
      <c r="F12" s="328" t="str">
        <f ca="1">IF(INDEX('Tracker Sheet'!BV:BV,11)="Completed ",INDEX('Tracker Sheet'!BV:BV,11)&amp;INDEX('Tracker Sheet'!BW:BW,11),INDEX('Tracker Sheet'!BV:BV,11))</f>
        <v>Forecast Completion on 15-5-2017
on time</v>
      </c>
      <c r="G12" s="328" t="str">
        <f ca="1">IF(INDEX('Tracker Sheet'!BX:BX,11)="Completed ",INDEX('Tracker Sheet'!BX:BX,11)&amp;INDEX('Tracker Sheet'!BY:BY,11),INDEX('Tracker Sheet'!BX:BX,11))</f>
        <v/>
      </c>
      <c r="H12" s="328" t="str">
        <f ca="1">INDEX('Tracker Sheet'!BZ:BZ,11)</f>
        <v>Current Forecast Spend £571000</v>
      </c>
      <c r="J12" s="23"/>
      <c r="K12" s="156"/>
      <c r="L12" s="153"/>
      <c r="N12" s="222" t="s">
        <v>360</v>
      </c>
      <c r="O12" s="140"/>
    </row>
    <row r="13" spans="1:16" ht="56.25" customHeight="1" thickTop="1" thickBot="1" x14ac:dyDescent="0.25">
      <c r="A13" s="122" t="str">
        <f>IF(INDEX('Tracker Sheet'!E:E,12)="","",INDEX('Tracker Sheet'!E:E,12))</f>
        <v>Laurie Morely</v>
      </c>
      <c r="B13" s="317" t="str">
        <f>IF(INDEX('Tracker Sheet'!C:C,12)="","",INDEX('Tracker Sheet'!C:C,12))</f>
        <v>172 BPR LV Infrastructure Upgrade</v>
      </c>
      <c r="C13" s="329" t="str">
        <f>IF(INDEX('Tracker Sheet'!K:K,12)="","",INDEX('Tracker Sheet'!K:K,12))</f>
        <v>Board Date
17/01/2016</v>
      </c>
      <c r="D13" s="328" t="str">
        <f ca="1">IF(INDEX('Tracker Sheet'!BR:BR,12)="Completed ",INDEX('Tracker Sheet'!BR:BR,12)&amp;INDEX('Tracker Sheet'!BS:BS,12),INDEX('Tracker Sheet'!BR:BR,12))</f>
        <v/>
      </c>
      <c r="E13" s="328" t="str">
        <f ca="1">IF(INDEX('Tracker Sheet'!BT:BT,12)="Completed ",INDEX('Tracker Sheet'!BS:BS,12)&amp;INDEX('Tracker Sheet'!BU:BU,12),INDEX('Tracker Sheet'!BT:BT,12))</f>
        <v/>
      </c>
      <c r="F13" s="328" t="str">
        <f ca="1">IF(INDEX('Tracker Sheet'!BV:BV,12)="Completed ",INDEX('Tracker Sheet'!BV:BV,12)&amp;INDEX('Tracker Sheet'!BW:BW,12),INDEX('Tracker Sheet'!BV:BV,12))</f>
        <v>Completed 13 day(s) late</v>
      </c>
      <c r="G13" s="328" t="str">
        <f ca="1">IF(INDEX('Tracker Sheet'!BX:BX,12)="Completed ",INDEX('Tracker Sheet'!BX:BX,12)&amp;INDEX('Tracker Sheet'!BY:BY,12),INDEX('Tracker Sheet'!BX:BX,12))</f>
        <v/>
      </c>
      <c r="H13" s="328" t="str">
        <f ca="1">INDEX('Tracker Sheet'!BZ:BZ,12)</f>
        <v>Current Forecast Spend £61226</v>
      </c>
      <c r="J13" s="23"/>
      <c r="K13" s="156"/>
      <c r="L13" s="153"/>
      <c r="N13" s="222" t="s">
        <v>635</v>
      </c>
      <c r="O13" s="140"/>
    </row>
    <row r="14" spans="1:16" ht="56.25" customHeight="1" thickTop="1" thickBot="1" x14ac:dyDescent="0.25">
      <c r="A14" s="122" t="str">
        <f>IF(INDEX('Tracker Sheet'!E:E,13)="","",INDEX('Tracker Sheet'!E:E,13))</f>
        <v>John Murphy</v>
      </c>
      <c r="B14" s="317" t="str">
        <f>IF(INDEX('Tracker Sheet'!C:C,13)="","",INDEX('Tracker Sheet'!C:C,13))</f>
        <v>172 BPR 5th Floor Power</v>
      </c>
      <c r="C14" s="329" t="str">
        <f>IF(INDEX('Tracker Sheet'!K:K,13)="","",INDEX('Tracker Sheet'!K:K,13))</f>
        <v>Board Date
20/08/2016</v>
      </c>
      <c r="D14" s="328" t="str">
        <f ca="1">IF(INDEX('Tracker Sheet'!BR:BR,13)="Completed ",INDEX('Tracker Sheet'!BR:BR,13)&amp;INDEX('Tracker Sheet'!BS:BS,13),INDEX('Tracker Sheet'!BR:BR,13))</f>
        <v/>
      </c>
      <c r="E14" s="328" t="str">
        <f ca="1">IF(INDEX('Tracker Sheet'!BT:BT,13)="Completed ",INDEX('Tracker Sheet'!BS:BS,13)&amp;INDEX('Tracker Sheet'!BU:BU,13),INDEX('Tracker Sheet'!BT:BT,13))</f>
        <v/>
      </c>
      <c r="F14" s="328" t="str">
        <f ca="1">IF(INDEX('Tracker Sheet'!BV:BV,13)="Completed ",INDEX('Tracker Sheet'!BV:BV,13)&amp;INDEX('Tracker Sheet'!BW:BW,13),INDEX('Tracker Sheet'!BV:BV,13))</f>
        <v/>
      </c>
      <c r="G14" s="328" t="str">
        <f ca="1">IF(INDEX('Tracker Sheet'!BX:BX,13)="Completed ",INDEX('Tracker Sheet'!BX:BX,13)&amp;INDEX('Tracker Sheet'!BY:BY,13),INDEX('Tracker Sheet'!BX:BX,13))</f>
        <v>Completed on time</v>
      </c>
      <c r="H14" s="328" t="str">
        <f ca="1">INDEX('Tracker Sheet'!BZ:BZ,13)</f>
        <v>Under budget by £0</v>
      </c>
      <c r="I14" s="213"/>
      <c r="J14" s="23"/>
      <c r="K14" s="156"/>
      <c r="L14" s="153"/>
      <c r="N14" s="222" t="s">
        <v>299</v>
      </c>
      <c r="O14" s="140"/>
    </row>
    <row r="15" spans="1:16" ht="56.25" customHeight="1" thickTop="1" thickBot="1" x14ac:dyDescent="0.25">
      <c r="A15" s="122" t="str">
        <f>IF(INDEX('Tracker Sheet'!E:E,14)="","",INDEX('Tracker Sheet'!E:E,14))</f>
        <v>Alan Crossan</v>
      </c>
      <c r="B15" s="317" t="str">
        <f>IF(INDEX('Tracker Sheet'!C:C,14)="","",INDEX('Tracker Sheet'!C:C,14))</f>
        <v>200 BPR New Kitchens 4th,5th and 6th Floors</v>
      </c>
      <c r="C15" s="329" t="str">
        <f>IF(INDEX('Tracker Sheet'!K:K,14)="","",INDEX('Tracker Sheet'!K:K,14))</f>
        <v>Board Date
29/02/2016</v>
      </c>
      <c r="D15" s="328" t="str">
        <f ca="1">IF(INDEX('Tracker Sheet'!BR:BR,14)="Completed ",INDEX('Tracker Sheet'!BR:BR,14)&amp;INDEX('Tracker Sheet'!BS:BS,14),INDEX('Tracker Sheet'!BR:BR,14))</f>
        <v/>
      </c>
      <c r="E15" s="328" t="str">
        <f ca="1">IF(INDEX('Tracker Sheet'!BT:BT,14)="Completed ",INDEX('Tracker Sheet'!BS:BS,14)&amp;INDEX('Tracker Sheet'!BU:BU,14),INDEX('Tracker Sheet'!BT:BT,14))</f>
        <v/>
      </c>
      <c r="F15" s="328" t="str">
        <f ca="1">IF(INDEX('Tracker Sheet'!BV:BV,14)="Completed ",INDEX('Tracker Sheet'!BV:BV,14)&amp;INDEX('Tracker Sheet'!BW:BW,14),INDEX('Tracker Sheet'!BV:BV,14))</f>
        <v/>
      </c>
      <c r="G15" s="328" t="str">
        <f ca="1">IF(INDEX('Tracker Sheet'!BX:BX,14)="Completed ",INDEX('Tracker Sheet'!BX:BX,14)&amp;INDEX('Tracker Sheet'!BY:BY,14),INDEX('Tracker Sheet'!BX:BX,14))</f>
        <v>Completed 49 day(s) late</v>
      </c>
      <c r="H15" s="328" t="str">
        <f ca="1">INDEX('Tracker Sheet'!BZ:BZ,14)</f>
        <v>Under budget by £0</v>
      </c>
      <c r="J15" s="23"/>
      <c r="K15" s="156"/>
      <c r="L15" s="153"/>
      <c r="N15" s="229" t="s">
        <v>615</v>
      </c>
      <c r="O15" s="140"/>
    </row>
    <row r="16" spans="1:16" ht="56.25" customHeight="1" thickTop="1" thickBot="1" x14ac:dyDescent="0.25">
      <c r="A16" s="122" t="str">
        <f>IF(INDEX('Tracker Sheet'!E:E,15)="","",INDEX('Tracker Sheet'!E:E,15))</f>
        <v>Laurie Morely</v>
      </c>
      <c r="B16" s="317" t="str">
        <f>IF(INDEX('Tracker Sheet'!C:C,15)="","",INDEX('Tracker Sheet'!C:C,15))</f>
        <v>13 Allsop Place Refurbishment ex-police cells to make new into lockers</v>
      </c>
      <c r="C16" s="329" t="str">
        <f>IF(INDEX('Tracker Sheet'!K:K,15)="","",INDEX('Tracker Sheet'!K:K,15))</f>
        <v>Board Date
18/08/2016</v>
      </c>
      <c r="D16" s="328" t="str">
        <f ca="1">IF(INDEX('Tracker Sheet'!BR:BR,15)="Completed ",INDEX('Tracker Sheet'!BR:BR,15)&amp;INDEX('Tracker Sheet'!BS:BS,15),INDEX('Tracker Sheet'!BR:BR,15))</f>
        <v/>
      </c>
      <c r="E16" s="328" t="str">
        <f ca="1">IF(INDEX('Tracker Sheet'!BT:BT,15)="Completed ",INDEX('Tracker Sheet'!BS:BS,15)&amp;INDEX('Tracker Sheet'!BU:BU,15),INDEX('Tracker Sheet'!BT:BT,15))</f>
        <v/>
      </c>
      <c r="F16" s="328" t="str">
        <f ca="1">IF(INDEX('Tracker Sheet'!BV:BV,15)="Completed ",INDEX('Tracker Sheet'!BV:BV,15)&amp;INDEX('Tracker Sheet'!BW:BW,15),INDEX('Tracker Sheet'!BV:BV,15))</f>
        <v/>
      </c>
      <c r="G16" s="328" t="str">
        <f ca="1">IF(INDEX('Tracker Sheet'!BX:BX,15)="Completed ",INDEX('Tracker Sheet'!BX:BX,15)&amp;INDEX('Tracker Sheet'!BY:BY,15),INDEX('Tracker Sheet'!BX:BX,15))</f>
        <v>Completed 9 day(s) late</v>
      </c>
      <c r="H16" s="328" t="str">
        <f ca="1">INDEX('Tracker Sheet'!BZ:BZ,15)</f>
        <v>Under budget by £0</v>
      </c>
      <c r="J16" s="23"/>
      <c r="K16" s="156"/>
      <c r="L16" s="153"/>
      <c r="N16" s="222" t="s">
        <v>615</v>
      </c>
      <c r="O16" s="140"/>
    </row>
    <row r="17" spans="1:15" ht="56.25" customHeight="1" thickTop="1" thickBot="1" x14ac:dyDescent="0.25">
      <c r="A17" s="122" t="str">
        <f>IF(INDEX('Tracker Sheet'!E:E,16)="","",INDEX('Tracker Sheet'!E:E,16))</f>
        <v>Laurie Morely</v>
      </c>
      <c r="B17" s="317" t="str">
        <f>IF(INDEX('Tracker Sheet'!C:C,16)="","",INDEX('Tracker Sheet'!C:C,16))</f>
        <v>Uniform Store relocation to Penton Street</v>
      </c>
      <c r="C17" s="329" t="str">
        <f>IF(INDEX('Tracker Sheet'!K:K,16)="","",INDEX('Tracker Sheet'!K:K,16))</f>
        <v>Board Date
29/09/2016</v>
      </c>
      <c r="D17" s="328" t="str">
        <f ca="1">IF(INDEX('Tracker Sheet'!BR:BR,16)="Completed ",INDEX('Tracker Sheet'!BR:BR,16)&amp;INDEX('Tracker Sheet'!BS:BS,16),INDEX('Tracker Sheet'!BR:BR,16))</f>
        <v/>
      </c>
      <c r="E17" s="328" t="str">
        <f ca="1">IF(INDEX('Tracker Sheet'!BT:BT,16)="Completed ",INDEX('Tracker Sheet'!BS:BS,16)&amp;INDEX('Tracker Sheet'!BU:BU,16),INDEX('Tracker Sheet'!BT:BT,16))</f>
        <v/>
      </c>
      <c r="F17" s="328" t="str">
        <f ca="1">IF(INDEX('Tracker Sheet'!BV:BV,16)="Completed ",INDEX('Tracker Sheet'!BV:BV,16)&amp;INDEX('Tracker Sheet'!BW:BW,16),INDEX('Tracker Sheet'!BV:BV,16))</f>
        <v/>
      </c>
      <c r="G17" s="328" t="str">
        <f ca="1">IF(INDEX('Tracker Sheet'!BX:BX,16)="Completed ",INDEX('Tracker Sheet'!BX:BX,16)&amp;INDEX('Tracker Sheet'!BY:BY,16),INDEX('Tracker Sheet'!BX:BX,16))</f>
        <v>Completed 3 day(s) early</v>
      </c>
      <c r="H17" s="328" t="str">
        <f ca="1">INDEX('Tracker Sheet'!BZ:BZ,16)</f>
        <v>Under budget by £0</v>
      </c>
      <c r="J17" s="23"/>
      <c r="K17" s="156"/>
      <c r="L17" s="153"/>
      <c r="N17" s="222" t="s">
        <v>615</v>
      </c>
      <c r="O17" s="141"/>
    </row>
    <row r="18" spans="1:15" ht="56.25" customHeight="1" thickTop="1" thickBot="1" x14ac:dyDescent="0.25">
      <c r="A18" s="122" t="str">
        <f>IF(INDEX('Tracker Sheet'!E:E,17)="","",INDEX('Tracker Sheet'!E:E,17))</f>
        <v>Tony Hunter</v>
      </c>
      <c r="B18" s="317" t="str">
        <f>IF(INDEX('Tracker Sheet'!C:C,17)="","",INDEX('Tracker Sheet'!C:C,17))</f>
        <v>LSTOC Accommodation Workstream</v>
      </c>
      <c r="C18" s="329" t="str">
        <f>IF(INDEX('Tracker Sheet'!K:K,17)="","",INDEX('Tracker Sheet'!K:K,17))</f>
        <v>Board Date
01/02/2015</v>
      </c>
      <c r="D18" s="328" t="str">
        <f ca="1">IF(INDEX('Tracker Sheet'!BR:BR,17)="Completed ",INDEX('Tracker Sheet'!BR:BR,17)&amp;INDEX('Tracker Sheet'!BS:BS,17),INDEX('Tracker Sheet'!BR:BR,17))</f>
        <v/>
      </c>
      <c r="E18" s="328" t="str">
        <f ca="1">IF(INDEX('Tracker Sheet'!BT:BT,17)="Completed ",INDEX('Tracker Sheet'!BS:BS,17)&amp;INDEX('Tracker Sheet'!BU:BU,17),INDEX('Tracker Sheet'!BT:BT,17))</f>
        <v/>
      </c>
      <c r="F18" s="328" t="str">
        <f ca="1">IF(INDEX('Tracker Sheet'!BV:BV,17)="Completed ",INDEX('Tracker Sheet'!BV:BV,17)&amp;INDEX('Tracker Sheet'!BW:BW,17),INDEX('Tracker Sheet'!BV:BV,17))</f>
        <v/>
      </c>
      <c r="G18" s="328" t="str">
        <f ca="1">IF(INDEX('Tracker Sheet'!BX:BX,17)="Completed ",INDEX('Tracker Sheet'!BX:BX,17)&amp;INDEX('Tracker Sheet'!BY:BY,17),INDEX('Tracker Sheet'!BX:BX,17))</f>
        <v>Completed 104 day(s) early</v>
      </c>
      <c r="H18" s="328" t="str">
        <f ca="1">INDEX('Tracker Sheet'!BZ:BZ,17)</f>
        <v>Under budget by £168000</v>
      </c>
      <c r="I18" s="213"/>
      <c r="J18" s="23"/>
      <c r="K18" s="156"/>
      <c r="L18" s="153"/>
      <c r="N18" s="229" t="s">
        <v>616</v>
      </c>
      <c r="O18" s="140"/>
    </row>
    <row r="19" spans="1:15" ht="56.25" customHeight="1" thickTop="1" thickBot="1" x14ac:dyDescent="0.25">
      <c r="A19" s="122" t="str">
        <f>IF(INDEX('Tracker Sheet'!E:E,18)="","",INDEX('Tracker Sheet'!E:E,18))</f>
        <v>Martina Perkins</v>
      </c>
      <c r="B19" s="317" t="str">
        <f>IF(INDEX('Tracker Sheet'!C:C,18)="","",INDEX('Tracker Sheet'!C:C,18))</f>
        <v xml:space="preserve">New Meeting Rooms for Steve Burton EOS Director </v>
      </c>
      <c r="C19" s="329" t="str">
        <f>IF(INDEX('Tracker Sheet'!K:K,18)="","",INDEX('Tracker Sheet'!K:K,18))</f>
        <v>Board Date
18/05/2016</v>
      </c>
      <c r="D19" s="328" t="str">
        <f ca="1">IF(INDEX('Tracker Sheet'!BR:BR,18)="Completed ",INDEX('Tracker Sheet'!BR:BR,18)&amp;INDEX('Tracker Sheet'!BS:BS,18),INDEX('Tracker Sheet'!BR:BR,18))</f>
        <v/>
      </c>
      <c r="E19" s="328" t="str">
        <f ca="1">IF(INDEX('Tracker Sheet'!BT:BT,18)="Completed ",INDEX('Tracker Sheet'!BS:BS,18)&amp;INDEX('Tracker Sheet'!BU:BU,18),INDEX('Tracker Sheet'!BT:BT,18))</f>
        <v/>
      </c>
      <c r="F19" s="328" t="str">
        <f ca="1">IF(INDEX('Tracker Sheet'!BV:BV,18)="Completed ",INDEX('Tracker Sheet'!BV:BV,18)&amp;INDEX('Tracker Sheet'!BW:BW,18),INDEX('Tracker Sheet'!BV:BV,18))</f>
        <v/>
      </c>
      <c r="G19" s="328" t="str">
        <f ca="1">IF(INDEX('Tracker Sheet'!BX:BX,18)="Completed ",INDEX('Tracker Sheet'!BX:BX,18)&amp;INDEX('Tracker Sheet'!BY:BY,18),INDEX('Tracker Sheet'!BX:BX,18))</f>
        <v>Completed on time</v>
      </c>
      <c r="H19" s="328" t="str">
        <f ca="1">INDEX('Tracker Sheet'!BZ:BZ,18)</f>
        <v>Under budget by £59289</v>
      </c>
      <c r="J19" s="23"/>
      <c r="K19" s="156"/>
      <c r="L19" s="153"/>
      <c r="N19" s="227" t="s">
        <v>299</v>
      </c>
      <c r="O19" s="140"/>
    </row>
    <row r="20" spans="1:15" ht="56.25" customHeight="1" thickTop="1" thickBot="1" x14ac:dyDescent="0.25">
      <c r="A20" s="122" t="str">
        <f>IF(INDEX('Tracker Sheet'!E:E,19)="","",INDEX('Tracker Sheet'!E:E,19))</f>
        <v>Martina Perkins</v>
      </c>
      <c r="B20" s="317" t="str">
        <f>IF(INDEX('Tracker Sheet'!C:C,19)="","",INDEX('Tracker Sheet'!C:C,19))</f>
        <v>2nd Floor Kitchen area Palestra</v>
      </c>
      <c r="C20" s="329" t="str">
        <f>IF(INDEX('Tracker Sheet'!K:K,19)="","",INDEX('Tracker Sheet'!K:K,19))</f>
        <v>Board Date
25/08/2016</v>
      </c>
      <c r="D20" s="328" t="str">
        <f ca="1">IF(INDEX('Tracker Sheet'!BR:BR,19)="Completed ",INDEX('Tracker Sheet'!BR:BR,19)&amp;INDEX('Tracker Sheet'!BS:BS,19),INDEX('Tracker Sheet'!BR:BR,19))</f>
        <v/>
      </c>
      <c r="E20" s="328" t="str">
        <f ca="1">IF(INDEX('Tracker Sheet'!BT:BT,19)="Completed ",INDEX('Tracker Sheet'!BS:BS,19)&amp;INDEX('Tracker Sheet'!BU:BU,19),INDEX('Tracker Sheet'!BT:BT,19))</f>
        <v/>
      </c>
      <c r="F20" s="328" t="str">
        <f ca="1">IF(INDEX('Tracker Sheet'!BV:BV,19)="Completed ",INDEX('Tracker Sheet'!BV:BV,19)&amp;INDEX('Tracker Sheet'!BW:BW,19),INDEX('Tracker Sheet'!BV:BV,19))</f>
        <v/>
      </c>
      <c r="G20" s="328" t="str">
        <f ca="1">IF(INDEX('Tracker Sheet'!BX:BX,19)="Completed ",INDEX('Tracker Sheet'!BX:BX,19)&amp;INDEX('Tracker Sheet'!BY:BY,19),INDEX('Tracker Sheet'!BX:BX,19))</f>
        <v>Completed 23 day(s) early</v>
      </c>
      <c r="H20" s="328" t="str">
        <f ca="1">INDEX('Tracker Sheet'!BZ:BZ,19)</f>
        <v>Under budget by £0</v>
      </c>
      <c r="J20" s="23"/>
      <c r="K20" s="156"/>
      <c r="L20" s="153"/>
      <c r="N20" s="227" t="s">
        <v>299</v>
      </c>
      <c r="O20" s="140"/>
    </row>
    <row r="21" spans="1:15" ht="56.25" customHeight="1" thickTop="1" thickBot="1" x14ac:dyDescent="0.25">
      <c r="A21" s="122" t="str">
        <f>IF(INDEX('Tracker Sheet'!E:E,20)="","",INDEX('Tracker Sheet'!E:E,20))</f>
        <v>Martin Smith</v>
      </c>
      <c r="B21" s="317" t="str">
        <f>IF(INDEX('Tracker Sheet'!C:C,20)="","",INDEX('Tracker Sheet'!C:C,20))</f>
        <v>Templar House Basement Changeing Room for Chancery Lane Escalator Replacement Project</v>
      </c>
      <c r="C21" s="329" t="str">
        <f>IF(INDEX('Tracker Sheet'!K:K,20)="","",INDEX('Tracker Sheet'!K:K,20))</f>
        <v>Board Date
01/02/2016</v>
      </c>
      <c r="D21" s="328" t="str">
        <f ca="1">IF(INDEX('Tracker Sheet'!BR:BR,20)="Completed ",INDEX('Tracker Sheet'!BR:BR,20)&amp;INDEX('Tracker Sheet'!BS:BS,20),INDEX('Tracker Sheet'!BR:BR,20))</f>
        <v/>
      </c>
      <c r="E21" s="328" t="str">
        <f ca="1">IF(INDEX('Tracker Sheet'!BT:BT,20)="Completed ",INDEX('Tracker Sheet'!BS:BS,20)&amp;INDEX('Tracker Sheet'!BU:BU,20),INDEX('Tracker Sheet'!BT:BT,20))</f>
        <v/>
      </c>
      <c r="F21" s="328" t="str">
        <f ca="1">IF(INDEX('Tracker Sheet'!BV:BV,20)="Completed ",INDEX('Tracker Sheet'!BV:BV,20)&amp;INDEX('Tracker Sheet'!BW:BW,20),INDEX('Tracker Sheet'!BV:BV,20))</f>
        <v/>
      </c>
      <c r="G21" s="328" t="str">
        <f ca="1">IF(INDEX('Tracker Sheet'!BX:BX,20)="Completed ",INDEX('Tracker Sheet'!BX:BX,20)&amp;INDEX('Tracker Sheet'!BY:BY,20),INDEX('Tracker Sheet'!BX:BX,20))</f>
        <v/>
      </c>
      <c r="H21" s="328" t="str">
        <f ca="1">INDEX('Tracker Sheet'!BZ:BZ,20)</f>
        <v/>
      </c>
      <c r="J21" s="155"/>
      <c r="K21" s="156"/>
      <c r="L21" s="153"/>
      <c r="N21" s="229" t="s">
        <v>671</v>
      </c>
      <c r="O21" s="140"/>
    </row>
    <row r="22" spans="1:15" ht="56.25" customHeight="1" thickTop="1" thickBot="1" x14ac:dyDescent="0.25">
      <c r="A22" s="122" t="str">
        <f>IF(INDEX('Tracker Sheet'!E:E,21)="","",INDEX('Tracker Sheet'!E:E,21))</f>
        <v>John Cousins</v>
      </c>
      <c r="B22" s="317" t="str">
        <f>IF(INDEX('Tracker Sheet'!C:C,21)="","",INDEX('Tracker Sheet'!C:C,21))</f>
        <v>Griffith House Facade Repairs</v>
      </c>
      <c r="C22" s="329" t="str">
        <f>IF(INDEX('Tracker Sheet'!K:K,21)="","",INDEX('Tracker Sheet'!K:K,21))</f>
        <v>Board Date
18/01/2017</v>
      </c>
      <c r="D22" s="328" t="str">
        <f ca="1">IF(INDEX('Tracker Sheet'!BR:BR,21)="Completed ",INDEX('Tracker Sheet'!BR:BR,21)&amp;INDEX('Tracker Sheet'!BS:BS,21),INDEX('Tracker Sheet'!BR:BR,21))</f>
        <v/>
      </c>
      <c r="E22" s="328" t="str">
        <f ca="1">IF(INDEX('Tracker Sheet'!BT:BT,21)="Completed ",INDEX('Tracker Sheet'!BS:BS,21)&amp;INDEX('Tracker Sheet'!BU:BU,21),INDEX('Tracker Sheet'!BT:BT,21))</f>
        <v/>
      </c>
      <c r="F22" s="328" t="str">
        <f ca="1">IF(INDEX('Tracker Sheet'!BV:BV,21)="Completed ",INDEX('Tracker Sheet'!BV:BV,21)&amp;INDEX('Tracker Sheet'!BW:BW,21),INDEX('Tracker Sheet'!BV:BV,21))</f>
        <v/>
      </c>
      <c r="G22" s="328" t="str">
        <f ca="1">IF(INDEX('Tracker Sheet'!BX:BX,21)="Completed ",INDEX('Tracker Sheet'!BX:BX,21)&amp;INDEX('Tracker Sheet'!BY:BY,21),INDEX('Tracker Sheet'!BX:BX,21))</f>
        <v/>
      </c>
      <c r="H22" s="328" t="str">
        <f ca="1">INDEX('Tracker Sheet'!BZ:BZ,21)</f>
        <v>Current Forecast Spend £288000</v>
      </c>
      <c r="J22" s="155"/>
      <c r="K22" s="156"/>
      <c r="L22" s="153"/>
      <c r="N22" s="223" t="s">
        <v>634</v>
      </c>
      <c r="O22" s="142"/>
    </row>
    <row r="23" spans="1:15" ht="56.25" customHeight="1" thickTop="1" thickBot="1" x14ac:dyDescent="0.25">
      <c r="A23" s="122" t="str">
        <f>IF(INDEX('Tracker Sheet'!E:E,22)="","",INDEX('Tracker Sheet'!E:E,22))</f>
        <v>Helena Healy</v>
      </c>
      <c r="B23" s="317" t="str">
        <f>IF(INDEX('Tracker Sheet'!C:C,22)="","",INDEX('Tracker Sheet'!C:C,22))</f>
        <v>Broadway PA/VA system</v>
      </c>
      <c r="C23" s="329" t="str">
        <f>IF(INDEX('Tracker Sheet'!K:K,22)="","",INDEX('Tracker Sheet'!K:K,22))</f>
        <v>Completed
18/01/2017</v>
      </c>
      <c r="D23" s="328" t="str">
        <f ca="1">IF(INDEX('Tracker Sheet'!BR:BR,22)="Completed ",INDEX('Tracker Sheet'!BR:BR,22)&amp;INDEX('Tracker Sheet'!BS:BS,22),INDEX('Tracker Sheet'!BR:BR,22))</f>
        <v/>
      </c>
      <c r="E23" s="328" t="str">
        <f ca="1">IF(INDEX('Tracker Sheet'!BT:BT,22)="Completed ",INDEX('Tracker Sheet'!BS:BS,22)&amp;INDEX('Tracker Sheet'!BU:BU,22),INDEX('Tracker Sheet'!BT:BT,22))</f>
        <v/>
      </c>
      <c r="F23" s="328" t="str">
        <f ca="1">IF(INDEX('Tracker Sheet'!BV:BV,22)="Completed ",INDEX('Tracker Sheet'!BV:BV,22)&amp;INDEX('Tracker Sheet'!BW:BW,22),INDEX('Tracker Sheet'!BV:BV,22))</f>
        <v/>
      </c>
      <c r="G23" s="328" t="str">
        <f ca="1">IF(INDEX('Tracker Sheet'!BX:BX,22)="Completed ",INDEX('Tracker Sheet'!BX:BX,22)&amp;INDEX('Tracker Sheet'!BY:BY,22),INDEX('Tracker Sheet'!BX:BX,22))</f>
        <v>Forecast Completion on 4-4-2017
on time</v>
      </c>
      <c r="H23" s="328" t="str">
        <f ca="1">INDEX('Tracker Sheet'!BZ:BZ,22)</f>
        <v>Current Forecast Spend £84500</v>
      </c>
      <c r="J23" s="155"/>
      <c r="K23" s="156"/>
      <c r="L23" s="153"/>
      <c r="N23" s="223" t="s">
        <v>636</v>
      </c>
      <c r="O23" s="143"/>
    </row>
    <row r="24" spans="1:15" ht="56.25" customHeight="1" thickTop="1" thickBot="1" x14ac:dyDescent="0.25">
      <c r="A24" s="122" t="str">
        <f>IF(INDEX('Tracker Sheet'!E:E,23)="","",INDEX('Tracker Sheet'!E:E,23))</f>
        <v>Tony Hunter</v>
      </c>
      <c r="B24" s="317" t="str">
        <f>IF(INDEX('Tracker Sheet'!C:C,23)="","",INDEX('Tracker Sheet'!C:C,23))</f>
        <v>4L Emergancy Service Control Centre</v>
      </c>
      <c r="C24" s="329" t="str">
        <f>IF(INDEX('Tracker Sheet'!K:K,23)="","",INDEX('Tracker Sheet'!K:K,23))</f>
        <v>Board Date
05/02/2017</v>
      </c>
      <c r="D24" s="328" t="str">
        <f ca="1">IF(INDEX('Tracker Sheet'!BR:BR,23)="Completed ",INDEX('Tracker Sheet'!BR:BR,23)&amp;INDEX('Tracker Sheet'!BS:BS,23),INDEX('Tracker Sheet'!BR:BR,23))</f>
        <v/>
      </c>
      <c r="E24" s="328" t="str">
        <f ca="1">IF(INDEX('Tracker Sheet'!BT:BT,23)="Completed ",INDEX('Tracker Sheet'!BS:BS,23)&amp;INDEX('Tracker Sheet'!BU:BU,23),INDEX('Tracker Sheet'!BT:BT,23))</f>
        <v/>
      </c>
      <c r="F24" s="328" t="str">
        <f ca="1">IF(INDEX('Tracker Sheet'!BV:BV,23)="Completed ",INDEX('Tracker Sheet'!BV:BV,23)&amp;INDEX('Tracker Sheet'!BW:BW,23),INDEX('Tracker Sheet'!BV:BV,23))</f>
        <v/>
      </c>
      <c r="G24" s="328" t="str">
        <f ca="1">IF(INDEX('Tracker Sheet'!BX:BX,23)="Completed ",INDEX('Tracker Sheet'!BX:BX,23)&amp;INDEX('Tracker Sheet'!BY:BY,23),INDEX('Tracker Sheet'!BX:BX,23))</f>
        <v/>
      </c>
      <c r="H24" s="328" t="str">
        <f ca="1">INDEX('Tracker Sheet'!BZ:BZ,23)</f>
        <v>Current Forecast Spend £85368</v>
      </c>
      <c r="J24" s="155"/>
      <c r="K24" s="156"/>
      <c r="L24" s="153"/>
      <c r="N24" s="223"/>
      <c r="O24" s="142"/>
    </row>
    <row r="25" spans="1:15" ht="56.25" customHeight="1" thickTop="1" thickBot="1" x14ac:dyDescent="0.25">
      <c r="A25" s="122" t="str">
        <f>IF(INDEX('Tracker Sheet'!E:E,24)="","",INDEX('Tracker Sheet'!E:E,24))</f>
        <v>Martina Perkins</v>
      </c>
      <c r="B25" s="317" t="str">
        <f>IF(INDEX('Tracker Sheet'!C:C,24)="","",INDEX('Tracker Sheet'!C:C,24))</f>
        <v>Bringing Back to use Staircase/chained door leading to the track</v>
      </c>
      <c r="C25" s="329" t="str">
        <f>IF(INDEX('Tracker Sheet'!K:K,24)="","",INDEX('Tracker Sheet'!K:K,24))</f>
        <v/>
      </c>
      <c r="D25" s="328" t="str">
        <f ca="1">IF(INDEX('Tracker Sheet'!BR:BR,24)="Completed ",INDEX('Tracker Sheet'!BR:BR,24)&amp;INDEX('Tracker Sheet'!BS:BS,24),INDEX('Tracker Sheet'!BR:BR,24))</f>
        <v/>
      </c>
      <c r="E25" s="328" t="str">
        <f ca="1">IF(INDEX('Tracker Sheet'!BT:BT,24)="Completed ",INDEX('Tracker Sheet'!BS:BS,24)&amp;INDEX('Tracker Sheet'!BU:BU,24),INDEX('Tracker Sheet'!BT:BT,24))</f>
        <v/>
      </c>
      <c r="F25" s="328" t="str">
        <f ca="1">IF(INDEX('Tracker Sheet'!BV:BV,24)="Completed ",INDEX('Tracker Sheet'!BV:BV,24)&amp;INDEX('Tracker Sheet'!BW:BW,24),INDEX('Tracker Sheet'!BV:BV,24))</f>
        <v/>
      </c>
      <c r="G25" s="328" t="str">
        <f ca="1">IF(INDEX('Tracker Sheet'!BX:BX,24)="Completed ",INDEX('Tracker Sheet'!BX:BX,24)&amp;INDEX('Tracker Sheet'!BY:BY,24),INDEX('Tracker Sheet'!BX:BX,24))</f>
        <v>Forecast Completion on 3-4-2017
on time</v>
      </c>
      <c r="H25" s="328" t="str">
        <f ca="1">INDEX('Tracker Sheet'!BZ:BZ,24)</f>
        <v>Current Forecast Spend £107100</v>
      </c>
      <c r="J25" s="155"/>
      <c r="K25" s="156"/>
      <c r="L25" s="153"/>
      <c r="N25" s="223"/>
      <c r="O25" s="142"/>
    </row>
    <row r="26" spans="1:15" ht="56.25" customHeight="1" thickTop="1" thickBot="1" x14ac:dyDescent="0.25">
      <c r="A26" s="122" t="str">
        <f>IF(INDEX('Tracker Sheet'!E:E,25)="","",INDEX('Tracker Sheet'!E:E,25))</f>
        <v/>
      </c>
      <c r="B26" s="317" t="str">
        <f>IF(INDEX('Tracker Sheet'!C:C,25)="","",INDEX('Tracker Sheet'!C:C,25))</f>
        <v/>
      </c>
      <c r="C26" s="329" t="str">
        <f>IF(INDEX('Tracker Sheet'!K:K,25)="","",INDEX('Tracker Sheet'!K:K,25))</f>
        <v/>
      </c>
      <c r="D26" s="328" t="str">
        <f ca="1">IF(INDEX('Tracker Sheet'!BR:BR,25)="Completed ",INDEX('Tracker Sheet'!BR:BR,25)&amp;INDEX('Tracker Sheet'!BS:BS,25),INDEX('Tracker Sheet'!BR:BR,25))</f>
        <v/>
      </c>
      <c r="E26" s="328" t="str">
        <f ca="1">IF(INDEX('Tracker Sheet'!BT:BT,25)="Completed ",INDEX('Tracker Sheet'!BS:BS,25)&amp;INDEX('Tracker Sheet'!BU:BU,25),INDEX('Tracker Sheet'!BT:BT,25))</f>
        <v/>
      </c>
      <c r="F26" s="328" t="str">
        <f ca="1">IF(INDEX('Tracker Sheet'!BV:BV,25)="Completed ",INDEX('Tracker Sheet'!BV:BV,25)&amp;INDEX('Tracker Sheet'!BW:BW,25),INDEX('Tracker Sheet'!BV:BV,25))</f>
        <v/>
      </c>
      <c r="G26" s="328" t="str">
        <f ca="1">IF(INDEX('Tracker Sheet'!BX:BX,25)="Completed ",INDEX('Tracker Sheet'!BX:BX,25)&amp;INDEX('Tracker Sheet'!BY:BY,25),INDEX('Tracker Sheet'!BX:BX,25))</f>
        <v/>
      </c>
      <c r="H26" s="328" t="str">
        <f ca="1">INDEX('Tracker Sheet'!BZ:BZ,25)</f>
        <v/>
      </c>
      <c r="J26" s="155"/>
      <c r="K26" s="156"/>
      <c r="L26" s="153"/>
      <c r="N26" s="223"/>
      <c r="O26" s="144"/>
    </row>
    <row r="27" spans="1:15" ht="56.25" customHeight="1" thickTop="1" thickBot="1" x14ac:dyDescent="0.25">
      <c r="A27" s="122" t="str">
        <f>IF(INDEX('Tracker Sheet'!E:E,26)="","",INDEX('Tracker Sheet'!E:E,26))</f>
        <v/>
      </c>
      <c r="B27" s="317" t="str">
        <f>IF(INDEX('Tracker Sheet'!C:C,26)="","",INDEX('Tracker Sheet'!C:C,26))</f>
        <v/>
      </c>
      <c r="C27" s="329" t="str">
        <f>IF(INDEX('Tracker Sheet'!K:K,26)="","",INDEX('Tracker Sheet'!K:K,26))</f>
        <v/>
      </c>
      <c r="D27" s="328" t="str">
        <f ca="1">IF(INDEX('Tracker Sheet'!BR:BR,26)="Completed ",INDEX('Tracker Sheet'!BR:BR,26)&amp;INDEX('Tracker Sheet'!BS:BS,26),INDEX('Tracker Sheet'!BR:BR,26))</f>
        <v/>
      </c>
      <c r="E27" s="328" t="str">
        <f ca="1">IF(INDEX('Tracker Sheet'!BT:BT,26)="Completed ",INDEX('Tracker Sheet'!BS:BS,26)&amp;INDEX('Tracker Sheet'!BU:BU,26),INDEX('Tracker Sheet'!BT:BT,26))</f>
        <v/>
      </c>
      <c r="F27" s="328" t="str">
        <f ca="1">IF(INDEX('Tracker Sheet'!BV:BV,26)="Completed ",INDEX('Tracker Sheet'!BV:BV,26)&amp;INDEX('Tracker Sheet'!BW:BW,26),INDEX('Tracker Sheet'!BV:BV,26))</f>
        <v/>
      </c>
      <c r="G27" s="328" t="str">
        <f ca="1">IF(INDEX('Tracker Sheet'!BX:BX,26)="Completed ",INDEX('Tracker Sheet'!BX:BX,26)&amp;INDEX('Tracker Sheet'!BY:BY,26),INDEX('Tracker Sheet'!BX:BX,26))</f>
        <v/>
      </c>
      <c r="H27" s="328" t="str">
        <f ca="1">INDEX('Tracker Sheet'!BZ:BZ,26)</f>
        <v/>
      </c>
      <c r="J27" s="155"/>
      <c r="K27" s="156"/>
      <c r="L27" s="153"/>
      <c r="N27" s="223"/>
      <c r="O27" s="144"/>
    </row>
    <row r="28" spans="1:15" ht="56.25" customHeight="1" thickTop="1" thickBot="1" x14ac:dyDescent="0.25">
      <c r="A28" s="122" t="str">
        <f>IF(INDEX('Tracker Sheet'!E:E,27)="","",INDEX('Tracker Sheet'!E:E,27))</f>
        <v/>
      </c>
      <c r="B28" s="317" t="str">
        <f>IF(INDEX('Tracker Sheet'!C:C,27)="","",INDEX('Tracker Sheet'!C:C,27))</f>
        <v/>
      </c>
      <c r="C28" s="329" t="str">
        <f>IF(INDEX('Tracker Sheet'!K:K,27)="","",INDEX('Tracker Sheet'!K:K,27))</f>
        <v/>
      </c>
      <c r="D28" s="328" t="str">
        <f ca="1">IF(INDEX('Tracker Sheet'!BR:BR,27)="Completed ",INDEX('Tracker Sheet'!BR:BR,27)&amp;INDEX('Tracker Sheet'!BS:BS,27),INDEX('Tracker Sheet'!BR:BR,27))</f>
        <v/>
      </c>
      <c r="E28" s="328" t="str">
        <f ca="1">IF(INDEX('Tracker Sheet'!BT:BT,27)="Completed ",INDEX('Tracker Sheet'!BS:BS,27)&amp;INDEX('Tracker Sheet'!BU:BU,27),INDEX('Tracker Sheet'!BT:BT,27))</f>
        <v/>
      </c>
      <c r="F28" s="328" t="str">
        <f ca="1">IF(INDEX('Tracker Sheet'!BV:BV,27)="Completed ",INDEX('Tracker Sheet'!BV:BV,27)&amp;INDEX('Tracker Sheet'!BW:BW,27),INDEX('Tracker Sheet'!BV:BV,27))</f>
        <v/>
      </c>
      <c r="G28" s="328" t="str">
        <f ca="1">IF(INDEX('Tracker Sheet'!BX:BX,27)="Completed ",INDEX('Tracker Sheet'!BX:BX,27)&amp;INDEX('Tracker Sheet'!BY:BY,27),INDEX('Tracker Sheet'!BX:BX,27))</f>
        <v/>
      </c>
      <c r="H28" s="328" t="str">
        <f ca="1">INDEX('Tracker Sheet'!BZ:BZ,27)</f>
        <v/>
      </c>
      <c r="J28" s="155"/>
      <c r="K28" s="156"/>
      <c r="L28" s="153"/>
      <c r="N28" s="223"/>
      <c r="O28" s="144"/>
    </row>
    <row r="29" spans="1:15" ht="56.25" customHeight="1" thickTop="1" thickBot="1" x14ac:dyDescent="0.25">
      <c r="A29" s="122" t="str">
        <f>IF(INDEX('Tracker Sheet'!E:E,28)="","",INDEX('Tracker Sheet'!E:E,28))</f>
        <v/>
      </c>
      <c r="B29" s="317" t="str">
        <f>IF(INDEX('Tracker Sheet'!C:C,28)="","",INDEX('Tracker Sheet'!C:C,28))</f>
        <v/>
      </c>
      <c r="C29" s="329" t="str">
        <f>IF(INDEX('Tracker Sheet'!K:K,28)="","",INDEX('Tracker Sheet'!K:K,28))</f>
        <v/>
      </c>
      <c r="D29" s="328" t="str">
        <f ca="1">IF(INDEX('Tracker Sheet'!BR:BR,28)="Completed ",INDEX('Tracker Sheet'!BR:BR,28)&amp;INDEX('Tracker Sheet'!BS:BS,28),INDEX('Tracker Sheet'!BR:BR,28))</f>
        <v/>
      </c>
      <c r="E29" s="328" t="str">
        <f ca="1">IF(INDEX('Tracker Sheet'!BT:BT,28)="Completed ",INDEX('Tracker Sheet'!BS:BS,28)&amp;INDEX('Tracker Sheet'!BU:BU,28),INDEX('Tracker Sheet'!BT:BT,28))</f>
        <v/>
      </c>
      <c r="F29" s="328" t="str">
        <f ca="1">IF(INDEX('Tracker Sheet'!BV:BV,28)="Completed ",INDEX('Tracker Sheet'!BV:BV,28)&amp;INDEX('Tracker Sheet'!BW:BW,28),INDEX('Tracker Sheet'!BV:BV,28))</f>
        <v/>
      </c>
      <c r="G29" s="328" t="str">
        <f ca="1">IF(INDEX('Tracker Sheet'!BX:BX,28)="Completed ",INDEX('Tracker Sheet'!BX:BX,28)&amp;INDEX('Tracker Sheet'!BY:BY,28),INDEX('Tracker Sheet'!BX:BX,28))</f>
        <v/>
      </c>
      <c r="H29" s="328" t="str">
        <f ca="1">INDEX('Tracker Sheet'!BZ:BZ,28)</f>
        <v/>
      </c>
      <c r="J29" s="155"/>
      <c r="K29" s="156"/>
      <c r="L29" s="153"/>
      <c r="N29" s="223"/>
      <c r="O29" s="144"/>
    </row>
    <row r="30" spans="1:15" ht="56.25" customHeight="1" thickTop="1" thickBot="1" x14ac:dyDescent="0.25">
      <c r="A30" s="122" t="str">
        <f>IF(INDEX('Tracker Sheet'!E:E,29)="","",INDEX('Tracker Sheet'!E:E,29))</f>
        <v/>
      </c>
      <c r="B30" s="317" t="str">
        <f>IF(INDEX('Tracker Sheet'!C:C,29)="","",INDEX('Tracker Sheet'!C:C,29))</f>
        <v/>
      </c>
      <c r="C30" s="329" t="str">
        <f>IF(INDEX('Tracker Sheet'!K:K,29)="","",INDEX('Tracker Sheet'!K:K,29))</f>
        <v/>
      </c>
      <c r="D30" s="328" t="str">
        <f ca="1">IF(INDEX('Tracker Sheet'!BR:BR,29)="Completed ",INDEX('Tracker Sheet'!BR:BR,29)&amp;INDEX('Tracker Sheet'!BS:BS,29),INDEX('Tracker Sheet'!BR:BR,29))</f>
        <v/>
      </c>
      <c r="E30" s="328" t="str">
        <f ca="1">IF(INDEX('Tracker Sheet'!BT:BT,29)="Completed ",INDEX('Tracker Sheet'!BS:BS,29)&amp;INDEX('Tracker Sheet'!BU:BU,29),INDEX('Tracker Sheet'!BT:BT,29))</f>
        <v/>
      </c>
      <c r="F30" s="328" t="str">
        <f ca="1">IF(INDEX('Tracker Sheet'!BV:BV,29)="Completed ",INDEX('Tracker Sheet'!BV:BV,29)&amp;INDEX('Tracker Sheet'!BW:BW,29),INDEX('Tracker Sheet'!BV:BV,29))</f>
        <v/>
      </c>
      <c r="G30" s="328" t="str">
        <f ca="1">IF(INDEX('Tracker Sheet'!BX:BX,29)="Completed ",INDEX('Tracker Sheet'!BX:BX,29)&amp;INDEX('Tracker Sheet'!BY:BY,29),INDEX('Tracker Sheet'!BX:BX,29))</f>
        <v/>
      </c>
      <c r="H30" s="328" t="str">
        <f ca="1">INDEX('Tracker Sheet'!BZ:BZ,29)</f>
        <v/>
      </c>
      <c r="J30" s="155"/>
      <c r="K30" s="156"/>
      <c r="L30" s="153"/>
      <c r="N30" s="223"/>
      <c r="O30" s="144"/>
    </row>
    <row r="31" spans="1:15" ht="56.25" customHeight="1" thickTop="1" thickBot="1" x14ac:dyDescent="0.25">
      <c r="A31" s="122" t="str">
        <f>IF(INDEX('Tracker Sheet'!E:E,30)="","",INDEX('Tracker Sheet'!E:E,30))</f>
        <v/>
      </c>
      <c r="B31" s="317" t="str">
        <f>IF(INDEX('Tracker Sheet'!C:C,30)="","",INDEX('Tracker Sheet'!C:C,30))</f>
        <v/>
      </c>
      <c r="C31" s="329" t="str">
        <f>IF(INDEX('Tracker Sheet'!K:K,30)="","",INDEX('Tracker Sheet'!K:K,30))</f>
        <v/>
      </c>
      <c r="D31" s="328" t="str">
        <f ca="1">IF(INDEX('Tracker Sheet'!BR:BR,30)="Completed ",INDEX('Tracker Sheet'!BR:BR,30)&amp;INDEX('Tracker Sheet'!BS:BS,30),INDEX('Tracker Sheet'!BR:BR,30))</f>
        <v/>
      </c>
      <c r="E31" s="328" t="str">
        <f ca="1">IF(INDEX('Tracker Sheet'!BT:BT,30)="Completed ",INDEX('Tracker Sheet'!BS:BS,30)&amp;INDEX('Tracker Sheet'!BU:BU,30),INDEX('Tracker Sheet'!BT:BT,30))</f>
        <v/>
      </c>
      <c r="F31" s="328" t="str">
        <f ca="1">IF(INDEX('Tracker Sheet'!BV:BV,30)="Completed ",INDEX('Tracker Sheet'!BV:BV,30)&amp;INDEX('Tracker Sheet'!BW:BW,30),INDEX('Tracker Sheet'!BV:BV,30))</f>
        <v/>
      </c>
      <c r="G31" s="328" t="str">
        <f ca="1">IF(INDEX('Tracker Sheet'!BX:BX,30)="Completed ",INDEX('Tracker Sheet'!BX:BX,30)&amp;INDEX('Tracker Sheet'!BY:BY,30),INDEX('Tracker Sheet'!BX:BX,30))</f>
        <v/>
      </c>
      <c r="H31" s="328" t="str">
        <f ca="1">INDEX('Tracker Sheet'!BZ:BZ,30)</f>
        <v/>
      </c>
      <c r="J31" s="155"/>
      <c r="K31" s="156"/>
      <c r="L31" s="153"/>
      <c r="N31" s="223"/>
      <c r="O31" s="144"/>
    </row>
    <row r="32" spans="1:15" ht="56.25" customHeight="1" thickTop="1" thickBot="1" x14ac:dyDescent="0.25">
      <c r="A32" s="122" t="str">
        <f>IF(INDEX('Tracker Sheet'!E:E,31)="","",INDEX('Tracker Sheet'!E:E,31))</f>
        <v/>
      </c>
      <c r="B32" s="317" t="str">
        <f>IF(INDEX('Tracker Sheet'!C:C,31)="","",INDEX('Tracker Sheet'!C:C,31))</f>
        <v/>
      </c>
      <c r="C32" s="329" t="str">
        <f>IF(INDEX('Tracker Sheet'!K:K,31)="","",INDEX('Tracker Sheet'!K:K,31))</f>
        <v/>
      </c>
      <c r="D32" s="328" t="str">
        <f ca="1">IF(INDEX('Tracker Sheet'!BR:BR,31)="Completed ",INDEX('Tracker Sheet'!BR:BR,31)&amp;INDEX('Tracker Sheet'!BS:BS,31),INDEX('Tracker Sheet'!BR:BR,31))</f>
        <v/>
      </c>
      <c r="E32" s="328" t="str">
        <f ca="1">IF(INDEX('Tracker Sheet'!BT:BT,31)="Completed ",INDEX('Tracker Sheet'!BS:BS,31)&amp;INDEX('Tracker Sheet'!BU:BU,31),INDEX('Tracker Sheet'!BT:BT,31))</f>
        <v/>
      </c>
      <c r="F32" s="328" t="str">
        <f ca="1">IF(INDEX('Tracker Sheet'!BV:BV,31)="Completed ",INDEX('Tracker Sheet'!BV:BV,31)&amp;INDEX('Tracker Sheet'!BW:BW,31),INDEX('Tracker Sheet'!BV:BV,31))</f>
        <v/>
      </c>
      <c r="G32" s="328" t="str">
        <f ca="1">IF(INDEX('Tracker Sheet'!BX:BX,31)="Completed ",INDEX('Tracker Sheet'!BX:BX,31)&amp;INDEX('Tracker Sheet'!BY:BY,31),INDEX('Tracker Sheet'!BX:BX,31))</f>
        <v/>
      </c>
      <c r="H32" s="328" t="str">
        <f ca="1">INDEX('Tracker Sheet'!BZ:BZ,31)</f>
        <v/>
      </c>
      <c r="J32" s="155"/>
      <c r="K32" s="156"/>
      <c r="L32" s="153"/>
      <c r="N32" s="223"/>
      <c r="O32" s="144"/>
    </row>
    <row r="33" spans="1:15" ht="56.25" customHeight="1" thickTop="1" thickBot="1" x14ac:dyDescent="0.25">
      <c r="A33" s="122" t="str">
        <f>IF(INDEX('Tracker Sheet'!E:E,32)="","",INDEX('Tracker Sheet'!E:E,32))</f>
        <v/>
      </c>
      <c r="B33" s="317" t="str">
        <f>IF(INDEX('Tracker Sheet'!C:C,32)="","",INDEX('Tracker Sheet'!C:C,32))</f>
        <v/>
      </c>
      <c r="C33" s="329" t="str">
        <f>IF(INDEX('Tracker Sheet'!K:K,32)="","",INDEX('Tracker Sheet'!K:K,32))</f>
        <v/>
      </c>
      <c r="D33" s="328" t="str">
        <f ca="1">IF(INDEX('Tracker Sheet'!BR:BR,32)="Completed ",INDEX('Tracker Sheet'!BR:BR,32)&amp;INDEX('Tracker Sheet'!BS:BS,32),INDEX('Tracker Sheet'!BR:BR,32))</f>
        <v/>
      </c>
      <c r="E33" s="328" t="str">
        <f ca="1">IF(INDEX('Tracker Sheet'!BT:BT,32)="Completed ",INDEX('Tracker Sheet'!BS:BS,32)&amp;INDEX('Tracker Sheet'!BU:BU,32),INDEX('Tracker Sheet'!BT:BT,32))</f>
        <v/>
      </c>
      <c r="F33" s="328" t="str">
        <f ca="1">IF(INDEX('Tracker Sheet'!BV:BV,32)="Completed ",INDEX('Tracker Sheet'!BV:BV,32)&amp;INDEX('Tracker Sheet'!BW:BW,32),INDEX('Tracker Sheet'!BV:BV,32))</f>
        <v/>
      </c>
      <c r="G33" s="328" t="str">
        <f ca="1">IF(INDEX('Tracker Sheet'!BX:BX,32)="Completed ",INDEX('Tracker Sheet'!BX:BX,32)&amp;INDEX('Tracker Sheet'!BY:BY,32),INDEX('Tracker Sheet'!BX:BX,32))</f>
        <v/>
      </c>
      <c r="H33" s="328" t="str">
        <f ca="1">INDEX('Tracker Sheet'!BZ:BZ,32)</f>
        <v/>
      </c>
      <c r="J33" s="155"/>
      <c r="K33" s="156"/>
      <c r="L33" s="153"/>
      <c r="N33" s="223"/>
      <c r="O33" s="144"/>
    </row>
    <row r="34" spans="1:15" ht="56.25" customHeight="1" thickTop="1" thickBot="1" x14ac:dyDescent="0.25">
      <c r="A34" s="122" t="str">
        <f>IF(INDEX('Tracker Sheet'!E:E,33)="","",INDEX('Tracker Sheet'!E:E,33))</f>
        <v/>
      </c>
      <c r="B34" s="317" t="str">
        <f>IF(INDEX('Tracker Sheet'!C:C,33)="","",INDEX('Tracker Sheet'!C:C,33))</f>
        <v/>
      </c>
      <c r="C34" s="329" t="str">
        <f>IF(INDEX('Tracker Sheet'!K:K,33)="","",INDEX('Tracker Sheet'!K:K,33))</f>
        <v/>
      </c>
      <c r="D34" s="328" t="str">
        <f ca="1">IF(INDEX('Tracker Sheet'!BR:BR,33)="Completed ",INDEX('Tracker Sheet'!BR:BR,33)&amp;INDEX('Tracker Sheet'!BS:BS,33),INDEX('Tracker Sheet'!BR:BR,33))</f>
        <v/>
      </c>
      <c r="E34" s="328" t="str">
        <f ca="1">IF(INDEX('Tracker Sheet'!BT:BT,33)="Completed ",INDEX('Tracker Sheet'!BS:BS,33)&amp;INDEX('Tracker Sheet'!BU:BU,33),INDEX('Tracker Sheet'!BT:BT,33))</f>
        <v/>
      </c>
      <c r="F34" s="328" t="str">
        <f ca="1">IF(INDEX('Tracker Sheet'!BV:BV,33)="Completed ",INDEX('Tracker Sheet'!BV:BV,33)&amp;INDEX('Tracker Sheet'!BW:BW,33),INDEX('Tracker Sheet'!BV:BV,33))</f>
        <v/>
      </c>
      <c r="G34" s="328" t="str">
        <f ca="1">IF(INDEX('Tracker Sheet'!BX:BX,33)="Completed ",INDEX('Tracker Sheet'!BX:BX,33)&amp;INDEX('Tracker Sheet'!BY:BY,33),INDEX('Tracker Sheet'!BX:BX,33))</f>
        <v/>
      </c>
      <c r="H34" s="328" t="str">
        <f ca="1">INDEX('Tracker Sheet'!BZ:BZ,33)</f>
        <v/>
      </c>
      <c r="J34" s="155"/>
      <c r="K34" s="156"/>
      <c r="L34" s="153"/>
      <c r="N34" s="372"/>
      <c r="O34" s="144"/>
    </row>
    <row r="35" spans="1:15" ht="56.25" customHeight="1" thickTop="1" thickBot="1" x14ac:dyDescent="0.25">
      <c r="A35" s="122" t="str">
        <f>IF(INDEX('Tracker Sheet'!E:E,34)="","",INDEX('Tracker Sheet'!E:E,34))</f>
        <v/>
      </c>
      <c r="B35" s="317" t="str">
        <f>IF(INDEX('Tracker Sheet'!C:C,34)="","",INDEX('Tracker Sheet'!C:C,34))</f>
        <v/>
      </c>
      <c r="C35" s="329" t="str">
        <f>IF(INDEX('Tracker Sheet'!K:K,34)="","",INDEX('Tracker Sheet'!K:K,34))</f>
        <v/>
      </c>
      <c r="D35" s="328" t="str">
        <f ca="1">IF(INDEX('Tracker Sheet'!BR:BR,34)="Completed ",INDEX('Tracker Sheet'!BR:BR,34)&amp;INDEX('Tracker Sheet'!BS:BS,34),INDEX('Tracker Sheet'!BR:BR,34))</f>
        <v/>
      </c>
      <c r="E35" s="328" t="str">
        <f ca="1">IF(INDEX('Tracker Sheet'!BT:BT,34)="Completed ",INDEX('Tracker Sheet'!BS:BS,34)&amp;INDEX('Tracker Sheet'!BU:BU,34),INDEX('Tracker Sheet'!BT:BT,34))</f>
        <v/>
      </c>
      <c r="F35" s="328" t="str">
        <f ca="1">IF(INDEX('Tracker Sheet'!BV:BV,34)="Completed ",INDEX('Tracker Sheet'!BV:BV,34)&amp;INDEX('Tracker Sheet'!BW:BW,34),INDEX('Tracker Sheet'!BV:BV,34))</f>
        <v/>
      </c>
      <c r="G35" s="328" t="str">
        <f ca="1">IF(INDEX('Tracker Sheet'!BX:BX,34)="Completed ",INDEX('Tracker Sheet'!BX:BX,34)&amp;INDEX('Tracker Sheet'!BY:BY,34),INDEX('Tracker Sheet'!BX:BX,34))</f>
        <v/>
      </c>
      <c r="H35" s="328" t="str">
        <f ca="1">INDEX('Tracker Sheet'!BZ:BZ,34)</f>
        <v/>
      </c>
      <c r="J35" s="155"/>
      <c r="K35" s="156"/>
      <c r="L35" s="153"/>
      <c r="N35" s="372"/>
      <c r="O35" s="144"/>
    </row>
    <row r="36" spans="1:15" ht="56.25" customHeight="1" thickTop="1" thickBot="1" x14ac:dyDescent="0.25">
      <c r="A36" s="122"/>
      <c r="B36" s="317"/>
      <c r="C36" s="329"/>
      <c r="D36" s="328"/>
      <c r="E36" s="328"/>
      <c r="F36" s="328"/>
      <c r="G36" s="328"/>
      <c r="H36" s="328"/>
      <c r="J36" s="23"/>
      <c r="K36" s="156"/>
      <c r="L36" s="153"/>
      <c r="N36" s="372"/>
      <c r="O36" s="144"/>
    </row>
    <row r="37" spans="1:15" ht="56.25" customHeight="1" thickTop="1" thickBot="1" x14ac:dyDescent="0.25">
      <c r="A37" s="122"/>
      <c r="B37" s="317"/>
      <c r="C37" s="329"/>
      <c r="D37" s="328"/>
      <c r="E37" s="328"/>
      <c r="F37" s="328"/>
      <c r="G37" s="328"/>
      <c r="H37" s="328"/>
      <c r="I37" s="160"/>
      <c r="J37" s="154"/>
      <c r="K37" s="156"/>
      <c r="L37" s="153"/>
      <c r="N37" s="372"/>
      <c r="O37" s="144"/>
    </row>
    <row r="38" spans="1:15" ht="45" customHeight="1" thickTop="1" thickBot="1" x14ac:dyDescent="0.25">
      <c r="A38" s="122"/>
      <c r="B38" s="317"/>
      <c r="C38" s="329"/>
      <c r="D38" s="328"/>
      <c r="E38" s="328"/>
      <c r="F38" s="328"/>
      <c r="G38" s="328"/>
      <c r="H38" s="328"/>
    </row>
    <row r="39" spans="1:15" ht="45" customHeight="1" thickTop="1" thickBot="1" x14ac:dyDescent="0.25">
      <c r="A39" s="122"/>
      <c r="B39" s="317"/>
      <c r="C39" s="329"/>
      <c r="D39" s="328"/>
      <c r="E39" s="328"/>
      <c r="F39" s="328"/>
      <c r="G39" s="328"/>
      <c r="H39" s="328"/>
    </row>
    <row r="40" spans="1:15" ht="45" customHeight="1" thickTop="1" thickBot="1" x14ac:dyDescent="0.25">
      <c r="A40" s="122"/>
      <c r="B40" s="317"/>
      <c r="C40" s="329"/>
      <c r="D40" s="328"/>
      <c r="E40" s="328"/>
      <c r="F40" s="328"/>
      <c r="G40" s="328"/>
      <c r="H40" s="328"/>
    </row>
  </sheetData>
  <sheetProtection password="CC3D" sheet="1" objects="1" scenarios="1" autoFilter="0"/>
  <autoFilter ref="A3:N37">
    <filterColumn colId="8" hiddenButton="1"/>
    <filterColumn colId="10" hiddenButton="1"/>
    <filterColumn colId="12" hiddenButton="1"/>
  </autoFilter>
  <mergeCells count="1">
    <mergeCell ref="O1:P1"/>
  </mergeCells>
  <conditionalFormatting sqref="L4:L37">
    <cfRule type="cellIs" dxfId="274" priority="1" operator="equal">
      <formula>"YES"</formula>
    </cfRule>
  </conditionalFormatting>
  <pageMargins left="0.23622047244094491" right="0.23622047244094491" top="0.74803149606299213" bottom="0.74803149606299213" header="0.31496062992125984" footer="0.31496062992125984"/>
  <pageSetup paperSize="9" scale="73"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otect">
                <anchor moveWithCells="1" sizeWithCells="1">
                  <from>
                    <xdr:col>13</xdr:col>
                    <xdr:colOff>1609725</xdr:colOff>
                    <xdr:row>0</xdr:row>
                    <xdr:rowOff>57150</xdr:rowOff>
                  </from>
                  <to>
                    <xdr:col>13</xdr:col>
                    <xdr:colOff>2809875</xdr:colOff>
                    <xdr:row>1</xdr:row>
                    <xdr:rowOff>19050</xdr:rowOff>
                  </to>
                </anchor>
              </controlPr>
            </control>
          </mc:Choice>
        </mc:AlternateContent>
        <mc:AlternateContent xmlns:mc="http://schemas.openxmlformats.org/markup-compatibility/2006">
          <mc:Choice Requires="x14">
            <control shapeId="1026" r:id="rId5" name="Button 2">
              <controlPr defaultSize="0" print="0" autoFill="0" autoPict="0" macro="[0]!UnProtect">
                <anchor moveWithCells="1" sizeWithCells="1">
                  <from>
                    <xdr:col>13</xdr:col>
                    <xdr:colOff>1609725</xdr:colOff>
                    <xdr:row>1</xdr:row>
                    <xdr:rowOff>47625</xdr:rowOff>
                  </from>
                  <to>
                    <xdr:col>13</xdr:col>
                    <xdr:colOff>2809875</xdr:colOff>
                    <xdr:row>1</xdr:row>
                    <xdr:rowOff>457200</xdr:rowOff>
                  </to>
                </anchor>
              </controlPr>
            </control>
          </mc:Choice>
        </mc:AlternateContent>
        <mc:AlternateContent xmlns:mc="http://schemas.openxmlformats.org/markup-compatibility/2006">
          <mc:Choice Requires="x14">
            <control shapeId="1028" r:id="rId6" name="Button 4">
              <controlPr defaultSize="0" print="0" autoFill="0" autoPict="0" macro="[0]!UserForm1Button_Click">
                <anchor moveWithCells="1" sizeWithCells="1">
                  <from>
                    <xdr:col>13</xdr:col>
                    <xdr:colOff>2828925</xdr:colOff>
                    <xdr:row>0</xdr:row>
                    <xdr:rowOff>57150</xdr:rowOff>
                  </from>
                  <to>
                    <xdr:col>13</xdr:col>
                    <xdr:colOff>4029075</xdr:colOff>
                    <xdr:row>1</xdr:row>
                    <xdr:rowOff>19050</xdr:rowOff>
                  </to>
                </anchor>
              </controlPr>
            </control>
          </mc:Choice>
        </mc:AlternateContent>
        <mc:AlternateContent xmlns:mc="http://schemas.openxmlformats.org/markup-compatibility/2006">
          <mc:Choice Requires="x14">
            <control shapeId="1029" r:id="rId7" name="Button 5">
              <controlPr defaultSize="0" print="0" autoFill="0" autoPict="0" macro="[0]!UserForm2Button_Click">
                <anchor moveWithCells="1" sizeWithCells="1">
                  <from>
                    <xdr:col>13</xdr:col>
                    <xdr:colOff>2838450</xdr:colOff>
                    <xdr:row>1</xdr:row>
                    <xdr:rowOff>47625</xdr:rowOff>
                  </from>
                  <to>
                    <xdr:col>13</xdr:col>
                    <xdr:colOff>4029075</xdr:colOff>
                    <xdr:row>1</xdr:row>
                    <xdr:rowOff>457200</xdr:rowOff>
                  </to>
                </anchor>
              </controlPr>
            </control>
          </mc:Choice>
        </mc:AlternateContent>
        <mc:AlternateContent xmlns:mc="http://schemas.openxmlformats.org/markup-compatibility/2006">
          <mc:Choice Requires="x14">
            <control shapeId="1030" r:id="rId8" name="Button 6">
              <controlPr defaultSize="0" print="0" autoFill="0" autoPict="0" macro="[0]!UserForm3Button_Click">
                <anchor moveWithCells="1" sizeWithCells="1">
                  <from>
                    <xdr:col>13</xdr:col>
                    <xdr:colOff>2828925</xdr:colOff>
                    <xdr:row>1</xdr:row>
                    <xdr:rowOff>495300</xdr:rowOff>
                  </from>
                  <to>
                    <xdr:col>13</xdr:col>
                    <xdr:colOff>4029075</xdr:colOff>
                    <xdr:row>2</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6" id="{036B08CB-FEB7-492D-946D-983172441BC1}">
            <xm:f>'Tracker Sheet'!$BM3="A"</xm:f>
            <x14:dxf>
              <fill>
                <patternFill>
                  <bgColor rgb="FFFFB347"/>
                </patternFill>
              </fill>
            </x14:dxf>
          </x14:cfRule>
          <x14:cfRule type="expression" priority="17" id="{31556AED-2AC1-410D-82A6-657B88BB1B13}">
            <xm:f>'Tracker Sheet'!$BM3="R"</xm:f>
            <x14:dxf>
              <font>
                <color theme="0"/>
              </font>
              <fill>
                <patternFill>
                  <bgColor rgb="FFC23B22"/>
                </patternFill>
              </fill>
            </x14:dxf>
          </x14:cfRule>
          <x14:cfRule type="expression" priority="18" id="{24055086-8754-4986-909A-85CC1F466275}">
            <xm:f>'Tracker Sheet'!$BM3="G"</xm:f>
            <x14:dxf>
              <fill>
                <patternFill>
                  <bgColor rgb="FF77BE77"/>
                </patternFill>
              </fill>
            </x14:dxf>
          </x14:cfRule>
          <xm:sqref>H4:H37</xm:sqref>
        </x14:conditionalFormatting>
        <x14:conditionalFormatting xmlns:xm="http://schemas.microsoft.com/office/excel/2006/main">
          <x14:cfRule type="expression" priority="13" id="{91741DB8-19AD-43EA-B87A-66591987B775}">
            <xm:f>'Tracker Sheet'!$BE3="A"</xm:f>
            <x14:dxf>
              <fill>
                <patternFill>
                  <bgColor rgb="FFFFB347"/>
                </patternFill>
              </fill>
            </x14:dxf>
          </x14:cfRule>
          <x14:cfRule type="expression" priority="14" id="{FD1EBD51-0494-4855-9E16-0EB320AFFEAF}">
            <xm:f>'Tracker Sheet'!$BE3="R"</xm:f>
            <x14:dxf>
              <font>
                <color theme="0"/>
              </font>
              <fill>
                <patternFill>
                  <bgColor rgb="FFC23B22"/>
                </patternFill>
              </fill>
            </x14:dxf>
          </x14:cfRule>
          <x14:cfRule type="expression" priority="15" id="{473E3F57-2AA4-4D8C-9CF1-B31165D9E5B3}">
            <xm:f>'Tracker Sheet'!$BE3="G"</xm:f>
            <x14:dxf>
              <fill>
                <patternFill>
                  <bgColor rgb="FF77BE77"/>
                </patternFill>
              </fill>
            </x14:dxf>
          </x14:cfRule>
          <xm:sqref>G4:G37</xm:sqref>
        </x14:conditionalFormatting>
        <x14:conditionalFormatting xmlns:xm="http://schemas.microsoft.com/office/excel/2006/main">
          <x14:cfRule type="expression" priority="10" id="{271D4246-A353-4A32-8743-5723B9934D92}">
            <xm:f>'Tracker Sheet'!$AS3="A"</xm:f>
            <x14:dxf>
              <fill>
                <patternFill>
                  <bgColor rgb="FFFFB347"/>
                </patternFill>
              </fill>
            </x14:dxf>
          </x14:cfRule>
          <x14:cfRule type="expression" priority="11" id="{12CF4D19-6AE3-4DCA-92C0-0D03AEFF3958}">
            <xm:f>'Tracker Sheet'!$AS3="G"</xm:f>
            <x14:dxf>
              <fill>
                <patternFill>
                  <bgColor rgb="FF77BE77"/>
                </patternFill>
              </fill>
            </x14:dxf>
          </x14:cfRule>
          <x14:cfRule type="expression" priority="12" id="{DF39F356-D20F-441F-86D7-CB108D84B98D}">
            <xm:f>'Tracker Sheet'!$AS3="R"</xm:f>
            <x14:dxf>
              <font>
                <color theme="0"/>
              </font>
              <fill>
                <patternFill>
                  <bgColor rgb="FFC23B22"/>
                </patternFill>
              </fill>
            </x14:dxf>
          </x14:cfRule>
          <xm:sqref>F4:F37</xm:sqref>
        </x14:conditionalFormatting>
        <x14:conditionalFormatting xmlns:xm="http://schemas.microsoft.com/office/excel/2006/main">
          <x14:cfRule type="expression" priority="7" id="{B09B09AB-512C-4169-8193-7CA4D0BF61DC}">
            <xm:f>'Tracker Sheet'!$AH3="A"</xm:f>
            <x14:dxf>
              <fill>
                <patternFill>
                  <bgColor rgb="FFFFB347"/>
                </patternFill>
              </fill>
            </x14:dxf>
          </x14:cfRule>
          <x14:cfRule type="expression" priority="8" id="{34B587AD-5032-456B-ACE9-06A2C20713B0}">
            <xm:f>'Tracker Sheet'!$AH3="G"</xm:f>
            <x14:dxf>
              <fill>
                <patternFill>
                  <bgColor rgb="FF77BE77"/>
                </patternFill>
              </fill>
            </x14:dxf>
          </x14:cfRule>
          <x14:cfRule type="expression" priority="9" id="{BC2C3E5A-AE0F-4684-8599-229C794A1E28}">
            <xm:f>'Tracker Sheet'!$AH3="R"</xm:f>
            <x14:dxf>
              <font>
                <color theme="0"/>
              </font>
              <fill>
                <patternFill>
                  <bgColor rgb="FFC23B22"/>
                </patternFill>
              </fill>
            </x14:dxf>
          </x14:cfRule>
          <xm:sqref>E4:E37</xm:sqref>
        </x14:conditionalFormatting>
        <x14:conditionalFormatting xmlns:xm="http://schemas.microsoft.com/office/excel/2006/main">
          <x14:cfRule type="expression" priority="4" id="{1F55ABDB-6BED-4B41-A1B1-4D108C45C26F}">
            <xm:f>'Tracker Sheet'!$W3="A"</xm:f>
            <x14:dxf>
              <fill>
                <patternFill>
                  <bgColor rgb="FFFFB347"/>
                </patternFill>
              </fill>
            </x14:dxf>
          </x14:cfRule>
          <x14:cfRule type="expression" priority="5" id="{51EE5977-EEF5-4D62-A096-C6B25EB690BF}">
            <xm:f>'Tracker Sheet'!$W3="G"</xm:f>
            <x14:dxf>
              <fill>
                <patternFill>
                  <bgColor rgb="FF77BE77"/>
                </patternFill>
              </fill>
            </x14:dxf>
          </x14:cfRule>
          <x14:cfRule type="expression" priority="6" id="{E365E65D-AA0D-41AF-AB30-FC002EFD0535}">
            <xm:f>'Tracker Sheet'!$W3="R"</xm:f>
            <x14:dxf>
              <font>
                <color theme="0"/>
              </font>
              <fill>
                <patternFill>
                  <bgColor rgb="FFC23B22"/>
                </patternFill>
              </fill>
            </x14:dxf>
          </x14:cfRule>
          <xm:sqref>D4:D37</xm:sqref>
        </x14:conditionalFormatting>
        <x14:conditionalFormatting xmlns:xm="http://schemas.microsoft.com/office/excel/2006/main">
          <x14:cfRule type="expression" priority="2" id="{A07D8F78-9BA0-498C-BB9C-269D5E060D43}">
            <xm:f>'Tracker Sheet'!$L3="G"</xm:f>
            <x14:dxf>
              <fill>
                <patternFill>
                  <bgColor rgb="FF77BE77"/>
                </patternFill>
              </fill>
            </x14:dxf>
          </x14:cfRule>
          <x14:cfRule type="expression" priority="3" id="{ED05606C-7CF6-413B-83BE-9FD49FE9E77E}">
            <xm:f>'Tracker Sheet'!$L3="R"</xm:f>
            <x14:dxf>
              <font>
                <color theme="0"/>
              </font>
              <fill>
                <patternFill>
                  <bgColor rgb="FFC23B22"/>
                </patternFill>
              </fill>
            </x14:dxf>
          </x14:cfRule>
          <xm:sqref>C4:C37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C000"/>
  </sheetPr>
  <dimension ref="A1:CA44"/>
  <sheetViews>
    <sheetView zoomScaleNormal="100" workbookViewId="0">
      <pane xSplit="7" ySplit="2" topLeftCell="P18" activePane="bottomRight" state="frozen"/>
      <selection pane="topRight" activeCell="G1" sqref="G1"/>
      <selection pane="bottomLeft" activeCell="A3" sqref="A3"/>
      <selection pane="bottomRight" activeCell="A24" sqref="A24"/>
    </sheetView>
  </sheetViews>
  <sheetFormatPr defaultRowHeight="15" outlineLevelCol="1" x14ac:dyDescent="0.2"/>
  <cols>
    <col min="1" max="1" width="11.6640625" style="26" customWidth="1"/>
    <col min="2" max="2" width="8.109375" style="26" customWidth="1"/>
    <col min="3" max="3" width="9.6640625" style="26" customWidth="1"/>
    <col min="4" max="4" width="10" style="26" customWidth="1"/>
    <col min="5" max="5" width="8.88671875" style="26"/>
    <col min="6" max="6" width="11.109375" style="26" bestFit="1" customWidth="1"/>
    <col min="7" max="7" width="10" style="26" bestFit="1" customWidth="1"/>
    <col min="8" max="10" width="10" style="26" customWidth="1"/>
    <col min="11" max="11" width="10" style="26" hidden="1" customWidth="1" outlineLevel="1"/>
    <col min="12" max="12" width="7.21875" style="26" hidden="1" customWidth="1" outlineLevel="1"/>
    <col min="13" max="13" width="7.77734375" style="26" customWidth="1" collapsed="1"/>
    <col min="14" max="17" width="7.77734375" style="26" customWidth="1"/>
    <col min="18" max="18" width="9.77734375" style="26" bestFit="1" customWidth="1"/>
    <col min="19" max="19" width="7.77734375" style="26" customWidth="1"/>
    <col min="20" max="22" width="8.88671875" style="26" hidden="1" customWidth="1" outlineLevel="1"/>
    <col min="23" max="23" width="5.77734375" style="26" customWidth="1" collapsed="1"/>
    <col min="24" max="30" width="7.77734375" style="26" customWidth="1"/>
    <col min="31" max="33" width="8.88671875" style="26" hidden="1" customWidth="1" outlineLevel="1"/>
    <col min="34" max="34" width="5.77734375" style="26" customWidth="1" collapsed="1"/>
    <col min="35" max="41" width="7.77734375" style="26" customWidth="1"/>
    <col min="42" max="44" width="8.88671875" style="26" hidden="1" customWidth="1" outlineLevel="1"/>
    <col min="45" max="45" width="5.77734375" style="26" customWidth="1" collapsed="1"/>
    <col min="46" max="50" width="7.77734375" style="26" customWidth="1"/>
    <col min="51" max="51" width="12.33203125" style="26" customWidth="1"/>
    <col min="52" max="53" width="7.77734375" style="26" customWidth="1"/>
    <col min="54" max="56" width="8.88671875" style="26" hidden="1" customWidth="1" outlineLevel="1"/>
    <col min="57" max="57" width="5.77734375" style="26" customWidth="1" collapsed="1"/>
    <col min="58" max="58" width="8.33203125" style="368" customWidth="1"/>
    <col min="59" max="59" width="9.77734375" style="369" bestFit="1" customWidth="1"/>
    <col min="60" max="60" width="8.33203125" style="370" customWidth="1"/>
    <col min="61" max="61" width="10.44140625" style="26" customWidth="1" outlineLevel="1"/>
    <col min="62" max="62" width="7.77734375" style="26" customWidth="1" outlineLevel="1"/>
    <col min="63" max="64" width="8.88671875" style="26" customWidth="1" outlineLevel="1"/>
    <col min="65" max="65" width="5.77734375" style="26" customWidth="1"/>
    <col min="66" max="66" width="28.77734375" style="26" customWidth="1"/>
    <col min="67" max="67" width="51.6640625" style="128" customWidth="1"/>
    <col min="68" max="68" width="17" style="26" customWidth="1"/>
    <col min="69" max="69" width="17.44140625" style="26" customWidth="1"/>
    <col min="70" max="78" width="8.88671875" style="26" customWidth="1" outlineLevel="1"/>
    <col min="79" max="79" width="9.88671875" style="26" customWidth="1" outlineLevel="1"/>
    <col min="80" max="16384" width="8.88671875" style="26"/>
  </cols>
  <sheetData>
    <row r="1" spans="1:79" ht="15" customHeight="1" x14ac:dyDescent="0.2">
      <c r="A1" s="388" t="s">
        <v>11</v>
      </c>
      <c r="B1" s="389"/>
      <c r="C1" s="389"/>
      <c r="D1" s="389"/>
      <c r="E1" s="389"/>
      <c r="F1" s="389"/>
      <c r="G1" s="389"/>
      <c r="H1" s="404" t="s">
        <v>361</v>
      </c>
      <c r="I1" s="405"/>
      <c r="J1" s="406"/>
      <c r="K1" s="168" t="s">
        <v>583</v>
      </c>
      <c r="L1" s="169"/>
      <c r="M1" s="399" t="s">
        <v>6</v>
      </c>
      <c r="N1" s="399"/>
      <c r="O1" s="399"/>
      <c r="P1" s="399"/>
      <c r="Q1" s="399"/>
      <c r="R1" s="399"/>
      <c r="S1" s="399"/>
      <c r="T1" s="399"/>
      <c r="U1" s="399"/>
      <c r="V1" s="399"/>
      <c r="W1" s="400"/>
      <c r="X1" s="401" t="s">
        <v>186</v>
      </c>
      <c r="Y1" s="402"/>
      <c r="Z1" s="402"/>
      <c r="AA1" s="402"/>
      <c r="AB1" s="402"/>
      <c r="AC1" s="402"/>
      <c r="AD1" s="402"/>
      <c r="AE1" s="402"/>
      <c r="AF1" s="402"/>
      <c r="AG1" s="402"/>
      <c r="AH1" s="403"/>
      <c r="AI1" s="396" t="s">
        <v>185</v>
      </c>
      <c r="AJ1" s="397"/>
      <c r="AK1" s="397"/>
      <c r="AL1" s="397"/>
      <c r="AM1" s="397"/>
      <c r="AN1" s="397"/>
      <c r="AO1" s="397"/>
      <c r="AP1" s="397"/>
      <c r="AQ1" s="397"/>
      <c r="AR1" s="397"/>
      <c r="AS1" s="398"/>
      <c r="AT1" s="390" t="s">
        <v>5</v>
      </c>
      <c r="AU1" s="391"/>
      <c r="AV1" s="391"/>
      <c r="AW1" s="391"/>
      <c r="AX1" s="391"/>
      <c r="AY1" s="391"/>
      <c r="AZ1" s="391"/>
      <c r="BA1" s="391"/>
      <c r="BB1" s="391"/>
      <c r="BC1" s="391"/>
      <c r="BD1" s="391"/>
      <c r="BE1" s="392"/>
      <c r="BF1" s="393" t="s">
        <v>7</v>
      </c>
      <c r="BG1" s="393"/>
      <c r="BH1" s="393"/>
      <c r="BI1" s="393"/>
      <c r="BJ1" s="393"/>
      <c r="BK1" s="393"/>
      <c r="BL1" s="393"/>
      <c r="BM1" s="393"/>
      <c r="BN1" s="394" t="s">
        <v>14</v>
      </c>
      <c r="BO1" s="395"/>
      <c r="BP1" s="387" t="s">
        <v>114</v>
      </c>
      <c r="BQ1" s="387"/>
      <c r="BR1" s="386" t="s">
        <v>193</v>
      </c>
      <c r="BS1" s="386"/>
      <c r="BT1" s="386"/>
      <c r="BU1" s="386"/>
      <c r="BV1" s="386"/>
      <c r="BW1" s="386"/>
      <c r="BX1" s="386"/>
      <c r="BY1" s="386"/>
      <c r="BZ1" s="386"/>
      <c r="CA1" s="386"/>
    </row>
    <row r="2" spans="1:79" ht="45" x14ac:dyDescent="0.2">
      <c r="A2" s="42" t="s">
        <v>8</v>
      </c>
      <c r="B2" s="43" t="s">
        <v>9</v>
      </c>
      <c r="C2" s="43" t="s">
        <v>10</v>
      </c>
      <c r="D2" s="43" t="s">
        <v>18</v>
      </c>
      <c r="E2" s="43" t="s">
        <v>20</v>
      </c>
      <c r="F2" s="43" t="s">
        <v>262</v>
      </c>
      <c r="G2" s="43" t="s">
        <v>19</v>
      </c>
      <c r="H2" s="165" t="s">
        <v>566</v>
      </c>
      <c r="I2" s="166" t="s">
        <v>567</v>
      </c>
      <c r="J2" s="167" t="s">
        <v>364</v>
      </c>
      <c r="K2" s="166"/>
      <c r="L2" s="167" t="s">
        <v>368</v>
      </c>
      <c r="M2" s="22" t="s">
        <v>22</v>
      </c>
      <c r="N2" s="22" t="s">
        <v>23</v>
      </c>
      <c r="O2" s="22" t="s">
        <v>1</v>
      </c>
      <c r="P2" s="22" t="s">
        <v>0</v>
      </c>
      <c r="Q2" s="22" t="s">
        <v>24</v>
      </c>
      <c r="R2" s="22" t="s">
        <v>113</v>
      </c>
      <c r="S2" s="22" t="s">
        <v>117</v>
      </c>
      <c r="T2" s="22" t="s">
        <v>23</v>
      </c>
      <c r="U2" s="22" t="s">
        <v>0</v>
      </c>
      <c r="V2" s="22" t="s">
        <v>24</v>
      </c>
      <c r="W2" s="41" t="s">
        <v>3</v>
      </c>
      <c r="X2" s="40" t="s">
        <v>22</v>
      </c>
      <c r="Y2" s="22" t="s">
        <v>23</v>
      </c>
      <c r="Z2" s="22" t="s">
        <v>1</v>
      </c>
      <c r="AA2" s="22" t="s">
        <v>0</v>
      </c>
      <c r="AB2" s="22" t="s">
        <v>24</v>
      </c>
      <c r="AC2" s="22" t="s">
        <v>260</v>
      </c>
      <c r="AD2" s="22" t="s">
        <v>12</v>
      </c>
      <c r="AE2" s="22" t="s">
        <v>23</v>
      </c>
      <c r="AF2" s="22" t="s">
        <v>0</v>
      </c>
      <c r="AG2" s="22" t="s">
        <v>24</v>
      </c>
      <c r="AH2" s="41" t="s">
        <v>3</v>
      </c>
      <c r="AI2" s="40" t="s">
        <v>22</v>
      </c>
      <c r="AJ2" s="22" t="s">
        <v>23</v>
      </c>
      <c r="AK2" s="22" t="s">
        <v>1</v>
      </c>
      <c r="AL2" s="22" t="s">
        <v>0</v>
      </c>
      <c r="AM2" s="22" t="s">
        <v>24</v>
      </c>
      <c r="AN2" s="22" t="s">
        <v>4</v>
      </c>
      <c r="AO2" s="22" t="s">
        <v>12</v>
      </c>
      <c r="AP2" s="22" t="s">
        <v>23</v>
      </c>
      <c r="AQ2" s="22" t="s">
        <v>0</v>
      </c>
      <c r="AR2" s="22" t="s">
        <v>24</v>
      </c>
      <c r="AS2" s="41" t="s">
        <v>3</v>
      </c>
      <c r="AT2" s="46" t="s">
        <v>22</v>
      </c>
      <c r="AU2" s="47" t="s">
        <v>23</v>
      </c>
      <c r="AV2" s="47" t="s">
        <v>1</v>
      </c>
      <c r="AW2" s="47" t="s">
        <v>0</v>
      </c>
      <c r="AX2" s="47" t="s">
        <v>356</v>
      </c>
      <c r="AY2" s="47" t="s">
        <v>2</v>
      </c>
      <c r="AZ2" s="47"/>
      <c r="BA2" s="47" t="s">
        <v>13</v>
      </c>
      <c r="BB2" s="47" t="s">
        <v>23</v>
      </c>
      <c r="BC2" s="47" t="s">
        <v>0</v>
      </c>
      <c r="BD2" s="47" t="s">
        <v>24</v>
      </c>
      <c r="BE2" s="30" t="s">
        <v>3</v>
      </c>
      <c r="BF2" s="365" t="s">
        <v>25</v>
      </c>
      <c r="BG2" s="366" t="s">
        <v>112</v>
      </c>
      <c r="BH2" s="367" t="s">
        <v>259</v>
      </c>
      <c r="BI2" s="15" t="s">
        <v>111</v>
      </c>
      <c r="BJ2" s="15" t="s">
        <v>346</v>
      </c>
      <c r="BK2" s="16"/>
      <c r="BL2" s="16"/>
      <c r="BM2" s="13" t="s">
        <v>3</v>
      </c>
      <c r="BN2" s="17" t="s">
        <v>15</v>
      </c>
      <c r="BO2" s="17" t="s">
        <v>16</v>
      </c>
      <c r="BP2" s="14" t="s">
        <v>17</v>
      </c>
      <c r="BQ2" s="14" t="s">
        <v>21</v>
      </c>
      <c r="BR2" s="38" t="s">
        <v>118</v>
      </c>
      <c r="BS2" s="38" t="s">
        <v>120</v>
      </c>
      <c r="BT2" s="38" t="s">
        <v>188</v>
      </c>
      <c r="BU2" s="38" t="s">
        <v>120</v>
      </c>
      <c r="BV2" s="38" t="s">
        <v>187</v>
      </c>
      <c r="BW2" s="38" t="s">
        <v>120</v>
      </c>
      <c r="BX2" s="38" t="s">
        <v>119</v>
      </c>
      <c r="BY2" s="38" t="s">
        <v>120</v>
      </c>
      <c r="BZ2" s="38" t="s">
        <v>29</v>
      </c>
      <c r="CA2" s="38" t="s">
        <v>597</v>
      </c>
    </row>
    <row r="3" spans="1:79" s="66" customFormat="1" ht="123.75" customHeight="1" x14ac:dyDescent="0.2">
      <c r="A3" s="228" t="s">
        <v>121</v>
      </c>
      <c r="B3" s="21" t="s">
        <v>122</v>
      </c>
      <c r="C3" s="21" t="s">
        <v>123</v>
      </c>
      <c r="D3" s="20" t="s">
        <v>96</v>
      </c>
      <c r="E3" s="20" t="s">
        <v>108</v>
      </c>
      <c r="F3" s="100" t="s">
        <v>599</v>
      </c>
      <c r="G3" s="100" t="s">
        <v>99</v>
      </c>
      <c r="H3" s="258">
        <v>40938</v>
      </c>
      <c r="I3" s="230">
        <f>IF(H3="","",DATE(YEAR(H3),MONTH(H3)+1,DAY(H3)))</f>
        <v>40969</v>
      </c>
      <c r="J3" s="235"/>
      <c r="K3" s="327" t="str">
        <f t="shared" ref="K3:K21" si="0">IF(H3="","",IF(J3="","Board Date"&amp;CHAR(10)&amp;TEXT(I3,"dd/mm/yyyy"),"Completed"&amp;CHAR(10)&amp;TEXT(J3,"dd/mm/yyyy")))</f>
        <v>Board Date
01/03/2012</v>
      </c>
      <c r="L3" s="54" t="str">
        <f t="shared" ref="L3:L21" ca="1" si="1">IF(AND(J3="",I3=""),"",IF(AND(J3="",I3&lt;TODAY()),"R","G"))</f>
        <v>R</v>
      </c>
      <c r="M3" s="148"/>
      <c r="N3" s="120"/>
      <c r="O3" s="52"/>
      <c r="P3" s="120"/>
      <c r="Q3" s="120"/>
      <c r="R3" s="28"/>
      <c r="S3" s="28"/>
      <c r="T3" s="53" t="str">
        <f t="shared" ref="T3:T40" si="2">IFERROR(IF(1-(N3-M3)/(O3-M3)&gt;0.9,"G",IF(1-(N3-M3)/(O3-M3)&gt;0.85,"A","R")),"")</f>
        <v/>
      </c>
      <c r="U3" s="53" t="str">
        <f t="shared" ref="U3:U40" si="3">IF(P3="","",IF((O3-M3)/(P3-M3)&gt;0.9,"G",(IF((O3-M3)/(P3-M3)&gt;0.85,"A","R"))))</f>
        <v/>
      </c>
      <c r="V3" s="53" t="str">
        <f t="shared" ref="V3:V40" si="4">IF(Q3="","",IF((O3-M3)/(Q3-M3)&gt;0.9,"G",(IF((O3-M3)/(Q3-M3)&gt;0.85,"A","R"))))</f>
        <v/>
      </c>
      <c r="W3" s="54" t="str">
        <f>IF(M3="N/A","B",IF(V3="",IF(U3="",T3,U3),V3))</f>
        <v/>
      </c>
      <c r="X3" s="51"/>
      <c r="Y3" s="120"/>
      <c r="Z3" s="52"/>
      <c r="AA3" s="120"/>
      <c r="AB3" s="120"/>
      <c r="AC3" s="52"/>
      <c r="AD3" s="52"/>
      <c r="AE3" s="53" t="str">
        <f t="shared" ref="AE3:AE40" si="5">IFERROR(IF(1-(Y3-X3)/(Z3-X3)&gt;0.9,"G",IF(1-(Y3-X3)/(Z3-X3)&gt;0.85,"A","R")),"")</f>
        <v/>
      </c>
      <c r="AF3" s="53" t="str">
        <f t="shared" ref="AF3:AF40" si="6">IF(AA3="","",IF((Z3-X3)/(AA3-X3)&gt;0.9,"G",(IF((Z3-X3)/(AA3-X3)&gt;0.85,"A","R"))))</f>
        <v/>
      </c>
      <c r="AG3" s="53" t="str">
        <f t="shared" ref="AG3:AG40" si="7">IF(AB3="","",IF((Z3-X3)/(AB3-X3)&gt;0.9,"G",(IF((Z3-X3)/(AB3-X3)&gt;0.85,"A","R"))))</f>
        <v/>
      </c>
      <c r="AH3" s="54" t="str">
        <f t="shared" ref="AH3:AH40" si="8">IF(AG3="",IF(AF3="",AE3,AF3),AG3)</f>
        <v/>
      </c>
      <c r="AI3" s="51"/>
      <c r="AJ3" s="120"/>
      <c r="AK3" s="52"/>
      <c r="AL3" s="120"/>
      <c r="AM3" s="120"/>
      <c r="AN3" s="52"/>
      <c r="AO3" s="52"/>
      <c r="AP3" s="53" t="str">
        <f t="shared" ref="AP3:AP21" si="9">IFERROR(IF(1-(AJ3-AI3)/(AK3-AI3)&gt;0.9,"G",IF(1-(AJ3-AI3)/(AK3-AI3)&gt;0.85,"A","R")),"")</f>
        <v/>
      </c>
      <c r="AQ3" s="53" t="str">
        <f t="shared" ref="AQ3:AQ21" si="10">IF(AL3="","",IF((AK3-AI3)/(AL3-AI3)&gt;0.9,"G",(IF((AK3-AI3)/(AL3-AI3)&gt;0.85,"A","R"))))</f>
        <v/>
      </c>
      <c r="AR3" s="53" t="str">
        <f t="shared" ref="AR3:AR21" si="11">IF(AM3="","",IF((AK3-AI3)/(AM3-AI3)&gt;0.9,"G",(IF((AK3-AI3)/(AM3-AI3)&gt;0.85,"A","R"))))</f>
        <v/>
      </c>
      <c r="AS3" s="54" t="str">
        <f t="shared" ref="AS3:AS21" si="12">IF(AR3="",IF(AQ3="",AP3,AQ3),AR3)</f>
        <v/>
      </c>
      <c r="AT3" s="55">
        <v>42073</v>
      </c>
      <c r="AU3" s="121">
        <v>42080</v>
      </c>
      <c r="AV3" s="56">
        <v>42613</v>
      </c>
      <c r="AW3" s="121">
        <v>42783</v>
      </c>
      <c r="AX3" s="121"/>
      <c r="AY3" s="45" t="str">
        <f t="shared" ref="AY3:AY40" si="13">IF(AX3="","",DATE(YEAR(AX3),MONTH(AX3)+3,DAY(AX3)))</f>
        <v/>
      </c>
      <c r="AZ3" s="45"/>
      <c r="BA3" s="45" t="s">
        <v>132</v>
      </c>
      <c r="BB3" s="57" t="str">
        <f t="shared" ref="BB3:BB40" si="14">IFERROR(IF(1-(AU3-AT3)/(AV3-AT3)&gt;0.9,"G",IF(1-(AU3-AT3)/(AV3-AT3)&gt;0.85,"A","R")),"")</f>
        <v>G</v>
      </c>
      <c r="BC3" s="57" t="str">
        <f t="shared" ref="BC3:BC40" si="15">IF(AW3="","",IF((AV3-AT3)/(AW3-AT3)&gt;0.9,"G",(IF((AV3-AT3)/(AW3-AT3)&gt;0.85,"A","R"))))</f>
        <v>R</v>
      </c>
      <c r="BD3" s="57" t="str">
        <f t="shared" ref="BD3:BD40" si="16">IF(AX3="","",IF((AV3-AT3)/(AX3-AT3)&gt;0.9,"G",(IF((AV3-AT3)/(AX3-AT3)&gt;0.85,"A","R"))))</f>
        <v/>
      </c>
      <c r="BE3" s="58" t="str">
        <f t="shared" ref="BE3:BE21" si="17">IF(BD3="",IF(BC3="",BB3,BC3),BD3)</f>
        <v>R</v>
      </c>
      <c r="BF3" s="350">
        <v>300775</v>
      </c>
      <c r="BG3" s="351">
        <v>300775</v>
      </c>
      <c r="BH3" s="352">
        <f>VLOOKUP(A3,Finance!$A$3:$J$45,8,FALSE)</f>
        <v>53779</v>
      </c>
      <c r="BI3" s="62">
        <v>89500</v>
      </c>
      <c r="BJ3" s="60"/>
      <c r="BK3" s="63">
        <f t="shared" ref="BK3:BK21" si="18">(BG3-BF3)/BF3</f>
        <v>0</v>
      </c>
      <c r="BL3" s="63">
        <f t="shared" ref="BL3:BL21" si="19">(BH3-BF3)/BF3</f>
        <v>-0.82119857035990362</v>
      </c>
      <c r="BM3" s="64" t="str">
        <f t="shared" ref="BM3:BM40" si="20">IF(BF3="","",IF(AND(BK3&lt;0.025,BL3&lt;0.025),"G",IF(OR(BK3&gt;0.05,BL3&gt;0.05),"R",IF(AND(BK3&gt;0.025,BL3&gt;0.025),"A","G"))))</f>
        <v>G</v>
      </c>
      <c r="BN3" s="18" t="s">
        <v>333</v>
      </c>
      <c r="BO3" s="29" t="s">
        <v>334</v>
      </c>
      <c r="BP3" s="65" t="str">
        <f>IF(AND(BM3="",BE3="",AS3="",W3=""),"",IF(AND(BM3="G",BE3="G",AS3="G",W3="G"),"G",IF(OR(BM3="R",BE3="R",AS3="R",W3="R"),"R",VLOOKUP(CONCATENATE(W3,AS3,BE3,BM3),'Rag Coding'!A:B,2,FALSE))))</f>
        <v>R</v>
      </c>
      <c r="BQ3" s="37" t="str">
        <f>'Dashboard Page'!N4</f>
        <v>Change request was submitted to the board 26/11/2016
Extra information submitted
specific meeting to discuss change request</v>
      </c>
      <c r="BR3" s="39" t="str">
        <f t="shared" ref="BR3:BR40" ca="1" si="21">IF(M3="","",IF(V3&lt;&gt;"","Completed ",IF(AND(U3&lt;&gt;"",P3&gt;TODAY()),"Forecast Completion on "&amp;DAY(P3)&amp;"-"&amp;MONTH(P3)&amp;"-"&amp;YEAR(P3)&amp;CHAR(10)&amp;IF(P3-O3&gt;0,(P3-O3)&amp;" day(s) late",(IF(P3-O3=0,"on time",(O3-P3)&amp;" day(s) early"))),IF(P3&lt;TODAY(),"Forecast Completion in the past, please update","Baseline Complete"))))</f>
        <v/>
      </c>
      <c r="BS3" s="39" t="str">
        <f t="shared" ref="BS3:BS40" ca="1" si="22">IF(BR3="Completed ",IF(Q3-O3&gt;0,Q3-O3&amp;" day(s) late",(IF(Q3-O3=0,"on time",O3-Q3&amp;" day(s) early"))),"")</f>
        <v/>
      </c>
      <c r="BT3" s="39" t="str">
        <f t="shared" ref="BT3:BT40" ca="1" si="23">IF(X3="","",IF(AG3&lt;&gt;"","Completed ",IF(AND(AF3&lt;&gt;"",AA3&gt;TODAY()),"Forecast Completion on "&amp;DAY(AA3)&amp;"-"&amp;MONTH(AA3)&amp;"-"&amp;YEAR(AA3)&amp;CHAR(10)&amp;IF(AA3-Z3&gt;0,(AA3-Z3)&amp;" day(s) late",(IF(AA3-Z3=0,"on time",(Z3-AA3)&amp;" day(s) early"))),IF(AA3&lt;TODAY(),"Forecast Completion in the past, please update","Baseline Complete"))))</f>
        <v/>
      </c>
      <c r="BU3" s="39" t="str">
        <f t="shared" ref="BU3:BU40" ca="1" si="24">IF(BT3="Completed ",IF(AB3-Z3&gt;0,AB3-Z3&amp;" day(s) late",(IF(AB3-Z3=0,"on time",Z3-AB3&amp;" day(s) early"))),"")</f>
        <v/>
      </c>
      <c r="BV3" s="39" t="str">
        <f t="shared" ref="BV3:BV40" ca="1" si="25">IF(AI3="","",IF(AR3&lt;&gt;"","Completed ",IF(AND(AQ3&lt;&gt;"",AL3&gt;TODAY()),"Forecast Completion on "&amp;DAY(AL3)&amp;"-"&amp;MONTH(AL3)&amp;"-"&amp;YEAR(AL3)&amp;CHAR(10)&amp;IF(AL3-AK3&gt;0,(AL3-AK3)&amp;" day(s) late",(IF(AL3-AK3=0,"on time",(AK3-AL3)&amp;" day(s) early"))),IF(AL3&lt;TODAY(),"Forecast Completion in the past, please update","Baseline Complete"))))</f>
        <v/>
      </c>
      <c r="BW3" s="39" t="str">
        <f t="shared" ref="BW3:BW40" ca="1" si="26">IF(BV3="Completed ",IF(AM3-AK3&gt;0,AM3-AK3&amp;" day(s) late",(IF(AM3-AK3=0,"on time",AK3-AM3&amp;" day(s) early"))),"")</f>
        <v/>
      </c>
      <c r="BX3" s="39" t="str">
        <f t="shared" ref="BX3:BX40" ca="1" si="27">IF(AT3="","",IF(BD3&lt;&gt;"","Completed ",IF(AND(BC3&lt;&gt;"",AW3&gt;TODAY()),"Forecast Completion on "&amp;DAY(AW3)&amp;"-"&amp;MONTH(AW3)&amp;"-"&amp;YEAR(AW3)&amp;CHAR(10)&amp;IF(AW3-AV3&gt;0,(AW3-AV3)&amp;" day(s) late",(IF(AW3-AV3=0,"on time",(AV3-AW3)&amp;" day(s) early"))),IF(AW3&lt;TODAY(),"Forecast Completion in the past, please update","Baseline Complete"))))</f>
        <v>Forecast Completion on 17-2-2017
170 day(s) late</v>
      </c>
      <c r="BY3" s="39" t="str">
        <f t="shared" ref="BY3:BY40" ca="1" si="28">IF(BX3="Completed ",IF(AX3-AV3&gt;0,AX3-AV3&amp;" day(s) late",(IF(AX3-AV3=0,"on time",AV3-AX3&amp;" day(s) early"))),"")</f>
        <v/>
      </c>
      <c r="BZ3" s="39" t="str">
        <f t="shared" ref="BZ3:BZ40" ca="1" si="29">IF(BX3="Completed ",IF(BG3-BF3&gt;0,"Over budget by £"&amp;(BG3-BF3),"Under budget by £"&amp;BF3-BG3),IF(BG3="","","Current Forecast Spend £"&amp;BG3))</f>
        <v>Current Forecast Spend £300775</v>
      </c>
      <c r="CA3" s="39" t="str">
        <f>IF(COUNTA(AT3:AX3),"Stage Gate 5",IF(COUNTA(AI3:AM3),"Stage Gate 4", IF(COUNTA(X3:AB3),"Stage Gate 3",  IF(COUNTA(M3:Q3),"Stage Gate 2", "Stage Gate 1"))))</f>
        <v>Stage Gate 5</v>
      </c>
    </row>
    <row r="4" spans="1:79" ht="56.25" customHeight="1" x14ac:dyDescent="0.2">
      <c r="A4" s="228" t="s">
        <v>128</v>
      </c>
      <c r="B4" s="21" t="s">
        <v>129</v>
      </c>
      <c r="C4" s="21" t="s">
        <v>130</v>
      </c>
      <c r="D4" s="20" t="s">
        <v>85</v>
      </c>
      <c r="E4" s="20" t="s">
        <v>108</v>
      </c>
      <c r="F4" s="100" t="s">
        <v>599</v>
      </c>
      <c r="G4" s="100" t="s">
        <v>99</v>
      </c>
      <c r="H4" s="232">
        <v>41183</v>
      </c>
      <c r="I4" s="230">
        <f t="shared" ref="I4:I20" si="30">IF(H4="","",DATE(YEAR(H4),MONTH(H4)+1,DAY(H4)))</f>
        <v>41214</v>
      </c>
      <c r="J4" s="235"/>
      <c r="K4" s="162" t="str">
        <f t="shared" si="0"/>
        <v>Board Date
01/11/2012</v>
      </c>
      <c r="L4" s="54" t="str">
        <f t="shared" ca="1" si="1"/>
        <v>R</v>
      </c>
      <c r="M4" s="148"/>
      <c r="N4" s="120"/>
      <c r="O4" s="52"/>
      <c r="P4" s="121"/>
      <c r="Q4" s="120"/>
      <c r="R4" s="28"/>
      <c r="S4" s="28"/>
      <c r="T4" s="53" t="str">
        <f t="shared" si="2"/>
        <v/>
      </c>
      <c r="U4" s="53" t="str">
        <f t="shared" si="3"/>
        <v/>
      </c>
      <c r="V4" s="53" t="str">
        <f t="shared" si="4"/>
        <v/>
      </c>
      <c r="W4" s="54" t="str">
        <f>IF(M4="N/A","B",IF(V4="",IF(U4="",T4,U4),V4))</f>
        <v/>
      </c>
      <c r="X4" s="51"/>
      <c r="Y4" s="120"/>
      <c r="Z4" s="52"/>
      <c r="AA4" s="120"/>
      <c r="AB4" s="120"/>
      <c r="AC4" s="52"/>
      <c r="AD4" s="52"/>
      <c r="AE4" s="53" t="str">
        <f t="shared" si="5"/>
        <v/>
      </c>
      <c r="AF4" s="53" t="str">
        <f t="shared" si="6"/>
        <v/>
      </c>
      <c r="AG4" s="53" t="str">
        <f t="shared" si="7"/>
        <v/>
      </c>
      <c r="AH4" s="54" t="str">
        <f t="shared" si="8"/>
        <v/>
      </c>
      <c r="AI4" s="51"/>
      <c r="AJ4" s="120"/>
      <c r="AK4" s="52"/>
      <c r="AL4" s="120"/>
      <c r="AM4" s="120"/>
      <c r="AN4" s="52"/>
      <c r="AO4" s="52"/>
      <c r="AP4" s="53" t="str">
        <f t="shared" si="9"/>
        <v/>
      </c>
      <c r="AQ4" s="53" t="str">
        <f t="shared" si="10"/>
        <v/>
      </c>
      <c r="AR4" s="53" t="str">
        <f t="shared" si="11"/>
        <v/>
      </c>
      <c r="AS4" s="54" t="str">
        <f t="shared" si="12"/>
        <v/>
      </c>
      <c r="AT4" s="55">
        <v>42193</v>
      </c>
      <c r="AU4" s="121">
        <v>42193</v>
      </c>
      <c r="AV4" s="56">
        <v>42643</v>
      </c>
      <c r="AW4" s="121">
        <v>42855</v>
      </c>
      <c r="AX4" s="121"/>
      <c r="AY4" s="45" t="str">
        <f t="shared" si="13"/>
        <v/>
      </c>
      <c r="AZ4" s="45"/>
      <c r="BA4" s="45" t="s">
        <v>131</v>
      </c>
      <c r="BB4" s="57" t="str">
        <f t="shared" si="14"/>
        <v>G</v>
      </c>
      <c r="BC4" s="57" t="str">
        <f t="shared" si="15"/>
        <v>R</v>
      </c>
      <c r="BD4" s="57" t="str">
        <f t="shared" si="16"/>
        <v/>
      </c>
      <c r="BE4" s="58" t="str">
        <f t="shared" si="17"/>
        <v>R</v>
      </c>
      <c r="BF4" s="350">
        <v>1506239</v>
      </c>
      <c r="BG4" s="351">
        <v>1506239</v>
      </c>
      <c r="BH4" s="352">
        <f>VLOOKUP(A4,Finance!$A$3:$J$45,8,FALSE)</f>
        <v>379574</v>
      </c>
      <c r="BI4" s="62">
        <v>1107958</v>
      </c>
      <c r="BJ4" s="60"/>
      <c r="BK4" s="63">
        <f t="shared" si="18"/>
        <v>0</v>
      </c>
      <c r="BL4" s="63">
        <f t="shared" si="19"/>
        <v>-0.74799882355987335</v>
      </c>
      <c r="BM4" s="64" t="str">
        <f t="shared" si="20"/>
        <v>G</v>
      </c>
      <c r="BN4" s="18"/>
      <c r="BO4" s="19"/>
      <c r="BP4" s="65" t="str">
        <f>IF(AND(BM4="",BE4="",AS4="",W4=""),"",IF(AND(BM4="G",BE4="G",AS4="G",W4="G"),"G",IF(OR(BM4="R",BE4="R",AS4="R",W4="R"),"R",VLOOKUP(CONCATENATE(W4,AS4,BE4,BM4),'Rag Coding'!A:B,2,FALSE))))</f>
        <v>R</v>
      </c>
      <c r="BQ4" s="37" t="str">
        <f>'Dashboard Page'!N5</f>
        <v>Change request was submitted to the board 26/11/2016
Extra information submitted
specific meeting to discuss change request</v>
      </c>
      <c r="BR4" s="39" t="str">
        <f t="shared" ca="1" si="21"/>
        <v/>
      </c>
      <c r="BS4" s="39" t="str">
        <f t="shared" ca="1" si="22"/>
        <v/>
      </c>
      <c r="BT4" s="39" t="str">
        <f t="shared" ca="1" si="23"/>
        <v/>
      </c>
      <c r="BU4" s="39" t="str">
        <f t="shared" ca="1" si="24"/>
        <v/>
      </c>
      <c r="BV4" s="39" t="str">
        <f t="shared" ca="1" si="25"/>
        <v/>
      </c>
      <c r="BW4" s="39" t="str">
        <f t="shared" ca="1" si="26"/>
        <v/>
      </c>
      <c r="BX4" s="39" t="str">
        <f t="shared" ca="1" si="27"/>
        <v>Forecast Completion on 30-4-2017
212 day(s) late</v>
      </c>
      <c r="BY4" s="39" t="str">
        <f t="shared" ca="1" si="28"/>
        <v/>
      </c>
      <c r="BZ4" s="39" t="str">
        <f t="shared" ca="1" si="29"/>
        <v>Current Forecast Spend £1506239</v>
      </c>
      <c r="CA4" s="39" t="str">
        <f t="shared" ref="CA4:CA40" si="31">IF(COUNTA(AT4:AX4),"Stage Gate 5",IF(COUNTA(AI4:AM4),"Stage Gate 4", IF(COUNTA(X4:AB4),"Stage Gate 3",  IF(COUNTA(M4:Q4),"Stage Gate 2", "Stage Gate 1"))))</f>
        <v>Stage Gate 5</v>
      </c>
    </row>
    <row r="5" spans="1:79" ht="56.25" customHeight="1" x14ac:dyDescent="0.2">
      <c r="A5" s="228" t="s">
        <v>115</v>
      </c>
      <c r="B5" s="21" t="s">
        <v>116</v>
      </c>
      <c r="C5" s="21" t="s">
        <v>133</v>
      </c>
      <c r="D5" s="20" t="s">
        <v>91</v>
      </c>
      <c r="E5" s="20" t="s">
        <v>101</v>
      </c>
      <c r="F5" s="100" t="s">
        <v>598</v>
      </c>
      <c r="G5" s="100" t="s">
        <v>99</v>
      </c>
      <c r="H5" s="232">
        <v>42571</v>
      </c>
      <c r="I5" s="230">
        <f t="shared" si="30"/>
        <v>42602</v>
      </c>
      <c r="J5" s="231"/>
      <c r="K5" s="162" t="str">
        <f t="shared" si="0"/>
        <v>Board Date
20/08/2016</v>
      </c>
      <c r="L5" s="54" t="str">
        <f t="shared" ca="1" si="1"/>
        <v>R</v>
      </c>
      <c r="M5" s="148">
        <v>42491</v>
      </c>
      <c r="N5" s="120">
        <v>42491</v>
      </c>
      <c r="O5" s="52">
        <v>42669</v>
      </c>
      <c r="P5" s="121">
        <v>42671</v>
      </c>
      <c r="Q5" s="120">
        <v>42671</v>
      </c>
      <c r="R5" s="28">
        <v>42669</v>
      </c>
      <c r="S5" s="28" t="s">
        <v>296</v>
      </c>
      <c r="T5" s="53" t="str">
        <f t="shared" si="2"/>
        <v>G</v>
      </c>
      <c r="U5" s="53" t="str">
        <f t="shared" si="3"/>
        <v>G</v>
      </c>
      <c r="V5" s="53" t="str">
        <f t="shared" si="4"/>
        <v>G</v>
      </c>
      <c r="W5" s="54" t="str">
        <f>IF(M5="N/A","B",IF(V5="",IF(U5="",T5,U5),V5))</f>
        <v>G</v>
      </c>
      <c r="X5" s="51"/>
      <c r="Y5" s="120"/>
      <c r="Z5" s="52"/>
      <c r="AA5" s="121"/>
      <c r="AB5" s="120"/>
      <c r="AC5" s="52"/>
      <c r="AD5" s="52" t="s">
        <v>355</v>
      </c>
      <c r="AE5" s="53" t="str">
        <f t="shared" si="5"/>
        <v/>
      </c>
      <c r="AF5" s="53" t="str">
        <f t="shared" si="6"/>
        <v/>
      </c>
      <c r="AG5" s="53" t="str">
        <f t="shared" si="7"/>
        <v/>
      </c>
      <c r="AH5" s="54" t="str">
        <f t="shared" si="8"/>
        <v/>
      </c>
      <c r="AI5" s="51">
        <v>42739</v>
      </c>
      <c r="AJ5" s="120">
        <v>42739</v>
      </c>
      <c r="AK5" s="52">
        <v>42908</v>
      </c>
      <c r="AL5" s="121">
        <v>42908</v>
      </c>
      <c r="AM5" s="120"/>
      <c r="AN5" s="52"/>
      <c r="AO5" s="52"/>
      <c r="AP5" s="53" t="str">
        <f t="shared" si="9"/>
        <v>G</v>
      </c>
      <c r="AQ5" s="53" t="str">
        <f t="shared" si="10"/>
        <v>G</v>
      </c>
      <c r="AR5" s="53" t="str">
        <f t="shared" si="11"/>
        <v/>
      </c>
      <c r="AS5" s="54" t="str">
        <f t="shared" si="12"/>
        <v>G</v>
      </c>
      <c r="AT5" s="55"/>
      <c r="AU5" s="121"/>
      <c r="AV5" s="56"/>
      <c r="AW5" s="121"/>
      <c r="AX5" s="121"/>
      <c r="AY5" s="45" t="str">
        <f t="shared" si="13"/>
        <v/>
      </c>
      <c r="AZ5" s="45"/>
      <c r="BA5" s="45"/>
      <c r="BB5" s="57" t="str">
        <f t="shared" si="14"/>
        <v/>
      </c>
      <c r="BC5" s="57" t="str">
        <f t="shared" si="15"/>
        <v/>
      </c>
      <c r="BD5" s="57" t="str">
        <f t="shared" si="16"/>
        <v/>
      </c>
      <c r="BE5" s="58" t="str">
        <f t="shared" si="17"/>
        <v/>
      </c>
      <c r="BF5" s="350">
        <v>180000</v>
      </c>
      <c r="BG5" s="351">
        <v>180000</v>
      </c>
      <c r="BH5" s="352">
        <f>VLOOKUP(A5,Finance!$A$3:$J$45,8,FALSE)</f>
        <v>7500</v>
      </c>
      <c r="BI5" s="62">
        <v>180000</v>
      </c>
      <c r="BJ5" s="60"/>
      <c r="BK5" s="63">
        <f t="shared" si="18"/>
        <v>0</v>
      </c>
      <c r="BL5" s="63">
        <f t="shared" si="19"/>
        <v>-0.95833333333333337</v>
      </c>
      <c r="BM5" s="64" t="str">
        <f t="shared" si="20"/>
        <v>G</v>
      </c>
      <c r="BN5" s="130" t="s">
        <v>631</v>
      </c>
      <c r="BO5" s="129" t="s">
        <v>632</v>
      </c>
      <c r="BP5" s="65" t="str">
        <f>IF(AND(BM5="",BE5="",AS5="",W5=""),"",IF(AND(BM5="G",BE5="G",AS5="G",W5="G"),"G",IF(OR(BM5="R",BE5="R",AS5="R",W5="R"),"R",VLOOKUP(CONCATENATE(W5,AS5,BE5,BM5),'Rag Coding'!A:B,2,FALSE))))</f>
        <v>G</v>
      </c>
      <c r="BQ5" s="37" t="str">
        <f>'Dashboard Page'!N6</f>
        <v>No Issue</v>
      </c>
      <c r="BR5" s="39" t="str">
        <f t="shared" ca="1" si="21"/>
        <v xml:space="preserve">Completed </v>
      </c>
      <c r="BS5" s="39" t="str">
        <f t="shared" ca="1" si="22"/>
        <v>2 day(s) late</v>
      </c>
      <c r="BT5" s="39" t="str">
        <f t="shared" ca="1" si="23"/>
        <v/>
      </c>
      <c r="BU5" s="39" t="str">
        <f t="shared" ca="1" si="24"/>
        <v/>
      </c>
      <c r="BV5" s="39" t="str">
        <f t="shared" ca="1" si="25"/>
        <v>Forecast Completion on 22-6-2017
on time</v>
      </c>
      <c r="BW5" s="39" t="str">
        <f t="shared" ca="1" si="26"/>
        <v/>
      </c>
      <c r="BX5" s="39" t="str">
        <f t="shared" ca="1" si="27"/>
        <v/>
      </c>
      <c r="BY5" s="39" t="str">
        <f t="shared" ca="1" si="28"/>
        <v/>
      </c>
      <c r="BZ5" s="39" t="str">
        <f t="shared" ca="1" si="29"/>
        <v>Current Forecast Spend £180000</v>
      </c>
      <c r="CA5" s="39" t="str">
        <f t="shared" si="31"/>
        <v>Stage Gate 4</v>
      </c>
    </row>
    <row r="6" spans="1:79" ht="67.5" x14ac:dyDescent="0.2">
      <c r="A6" s="228" t="s">
        <v>134</v>
      </c>
      <c r="B6" s="21" t="s">
        <v>135</v>
      </c>
      <c r="C6" s="21" t="s">
        <v>136</v>
      </c>
      <c r="D6" s="20" t="s">
        <v>90</v>
      </c>
      <c r="E6" s="20" t="s">
        <v>101</v>
      </c>
      <c r="F6" s="100" t="s">
        <v>602</v>
      </c>
      <c r="G6" s="100" t="s">
        <v>99</v>
      </c>
      <c r="H6" s="232">
        <v>42305</v>
      </c>
      <c r="I6" s="230">
        <f t="shared" si="30"/>
        <v>42336</v>
      </c>
      <c r="J6" s="231"/>
      <c r="K6" s="162" t="str">
        <f t="shared" si="0"/>
        <v>Board Date
28/11/2015</v>
      </c>
      <c r="L6" s="54" t="str">
        <f t="shared" ca="1" si="1"/>
        <v>R</v>
      </c>
      <c r="M6" s="148">
        <v>42275</v>
      </c>
      <c r="N6" s="120">
        <v>42283</v>
      </c>
      <c r="O6" s="52">
        <v>42316</v>
      </c>
      <c r="P6" s="121">
        <v>42650</v>
      </c>
      <c r="Q6" s="120">
        <v>42650</v>
      </c>
      <c r="R6" s="28"/>
      <c r="S6" s="28" t="s">
        <v>137</v>
      </c>
      <c r="T6" s="53" t="str">
        <f t="shared" si="2"/>
        <v>R</v>
      </c>
      <c r="U6" s="53" t="str">
        <f t="shared" si="3"/>
        <v>R</v>
      </c>
      <c r="V6" s="53" t="str">
        <f t="shared" si="4"/>
        <v>R</v>
      </c>
      <c r="W6" s="54" t="str">
        <f>IF(M6="N/A","B",IF(V6="",IF(U6="",T6,U6),V6))</f>
        <v>R</v>
      </c>
      <c r="X6" s="51"/>
      <c r="Y6" s="120"/>
      <c r="Z6" s="52"/>
      <c r="AA6" s="120"/>
      <c r="AB6" s="120"/>
      <c r="AC6" s="52"/>
      <c r="AD6" s="52"/>
      <c r="AE6" s="53" t="str">
        <f t="shared" si="5"/>
        <v/>
      </c>
      <c r="AF6" s="53" t="str">
        <f t="shared" si="6"/>
        <v/>
      </c>
      <c r="AG6" s="53" t="str">
        <f t="shared" si="7"/>
        <v/>
      </c>
      <c r="AH6" s="54" t="str">
        <f t="shared" si="8"/>
        <v/>
      </c>
      <c r="AI6" s="51"/>
      <c r="AJ6" s="120"/>
      <c r="AK6" s="52"/>
      <c r="AL6" s="120"/>
      <c r="AM6" s="120"/>
      <c r="AN6" s="52"/>
      <c r="AO6" s="52"/>
      <c r="AP6" s="53" t="str">
        <f t="shared" si="9"/>
        <v/>
      </c>
      <c r="AQ6" s="53" t="str">
        <f t="shared" si="10"/>
        <v/>
      </c>
      <c r="AR6" s="53" t="str">
        <f t="shared" si="11"/>
        <v/>
      </c>
      <c r="AS6" s="54" t="str">
        <f t="shared" si="12"/>
        <v/>
      </c>
      <c r="AT6" s="55"/>
      <c r="AU6" s="121"/>
      <c r="AV6" s="56"/>
      <c r="AW6" s="121"/>
      <c r="AX6" s="121"/>
      <c r="AY6" s="45" t="str">
        <f t="shared" si="13"/>
        <v/>
      </c>
      <c r="AZ6" s="45"/>
      <c r="BA6" s="45"/>
      <c r="BB6" s="57" t="str">
        <f t="shared" si="14"/>
        <v/>
      </c>
      <c r="BC6" s="57" t="str">
        <f t="shared" si="15"/>
        <v/>
      </c>
      <c r="BD6" s="57" t="str">
        <f t="shared" si="16"/>
        <v/>
      </c>
      <c r="BE6" s="58" t="str">
        <f t="shared" si="17"/>
        <v/>
      </c>
      <c r="BF6" s="350">
        <v>419345</v>
      </c>
      <c r="BG6" s="351">
        <v>419345</v>
      </c>
      <c r="BH6" s="352">
        <f>VLOOKUP(A6,Finance!$A$3:$J$45,8,FALSE)</f>
        <v>17500</v>
      </c>
      <c r="BI6" s="62">
        <v>419345</v>
      </c>
      <c r="BJ6" s="60"/>
      <c r="BK6" s="63">
        <f t="shared" si="18"/>
        <v>0</v>
      </c>
      <c r="BL6" s="63">
        <f t="shared" si="19"/>
        <v>-0.9582682516782125</v>
      </c>
      <c r="BM6" s="64" t="str">
        <f t="shared" si="20"/>
        <v>G</v>
      </c>
      <c r="BN6" s="130" t="s">
        <v>301</v>
      </c>
      <c r="BO6" s="129" t="s">
        <v>633</v>
      </c>
      <c r="BP6" s="65" t="str">
        <f>IF(AND(BM6="",BE6="",AS6="",W6=""),"",IF(AND(BM6="G",BE6="G",AS6="G",W6="G"),"G",IF(OR(BM6="R",BE6="R",AS6="R",W6="R"),"R",VLOOKUP(CONCATENATE(W6,AS6,BE6,BM6),'Rag Coding'!A:B,2,FALSE))))</f>
        <v>R</v>
      </c>
      <c r="BQ6" s="37" t="str">
        <f>'Dashboard Page'!N7</f>
        <v xml:space="preserve">Stage Gate 2: Was put on hold to redefine scope of works.
</v>
      </c>
      <c r="BR6" s="39" t="str">
        <f t="shared" ca="1" si="21"/>
        <v xml:space="preserve">Completed </v>
      </c>
      <c r="BS6" s="39" t="str">
        <f t="shared" ca="1" si="22"/>
        <v>334 day(s) late</v>
      </c>
      <c r="BT6" s="39" t="str">
        <f t="shared" ca="1" si="23"/>
        <v/>
      </c>
      <c r="BU6" s="39" t="str">
        <f t="shared" ca="1" si="24"/>
        <v/>
      </c>
      <c r="BV6" s="39" t="str">
        <f t="shared" ca="1" si="25"/>
        <v/>
      </c>
      <c r="BW6" s="39" t="str">
        <f t="shared" ca="1" si="26"/>
        <v/>
      </c>
      <c r="BX6" s="39" t="str">
        <f t="shared" ca="1" si="27"/>
        <v/>
      </c>
      <c r="BY6" s="39" t="str">
        <f t="shared" ca="1" si="28"/>
        <v/>
      </c>
      <c r="BZ6" s="39" t="str">
        <f t="shared" ca="1" si="29"/>
        <v>Current Forecast Spend £419345</v>
      </c>
      <c r="CA6" s="39" t="str">
        <f t="shared" si="31"/>
        <v>Stage Gate 2</v>
      </c>
    </row>
    <row r="7" spans="1:79" ht="135" customHeight="1" x14ac:dyDescent="0.2">
      <c r="A7" s="228" t="s">
        <v>138</v>
      </c>
      <c r="B7" s="21" t="s">
        <v>139</v>
      </c>
      <c r="C7" s="21" t="s">
        <v>140</v>
      </c>
      <c r="D7" s="20" t="s">
        <v>91</v>
      </c>
      <c r="E7" s="20" t="s">
        <v>264</v>
      </c>
      <c r="F7" s="100" t="s">
        <v>603</v>
      </c>
      <c r="G7" s="100" t="s">
        <v>99</v>
      </c>
      <c r="H7" s="232">
        <v>41645</v>
      </c>
      <c r="I7" s="230">
        <f t="shared" si="30"/>
        <v>41676</v>
      </c>
      <c r="J7" s="231"/>
      <c r="K7" s="162" t="str">
        <f t="shared" si="0"/>
        <v>Board Date
06/02/2014</v>
      </c>
      <c r="L7" s="54" t="str">
        <f t="shared" ca="1" si="1"/>
        <v>R</v>
      </c>
      <c r="M7" s="148"/>
      <c r="N7" s="120"/>
      <c r="O7" s="52"/>
      <c r="P7" s="121"/>
      <c r="Q7" s="120"/>
      <c r="R7" s="28"/>
      <c r="S7" s="28" t="s">
        <v>149</v>
      </c>
      <c r="T7" s="53" t="str">
        <f t="shared" si="2"/>
        <v/>
      </c>
      <c r="U7" s="53" t="str">
        <f t="shared" si="3"/>
        <v/>
      </c>
      <c r="V7" s="53" t="str">
        <f t="shared" si="4"/>
        <v/>
      </c>
      <c r="W7" s="54" t="str">
        <f>IF(M7="N/A","B",IF(V7="",IF(U7="",T7,U7),V7))</f>
        <v/>
      </c>
      <c r="X7" s="51"/>
      <c r="Y7" s="120"/>
      <c r="Z7" s="52"/>
      <c r="AA7" s="120"/>
      <c r="AB7" s="120"/>
      <c r="AC7" s="52"/>
      <c r="AD7" s="52"/>
      <c r="AE7" s="53" t="str">
        <f t="shared" si="5"/>
        <v/>
      </c>
      <c r="AF7" s="53" t="str">
        <f t="shared" si="6"/>
        <v/>
      </c>
      <c r="AG7" s="53" t="str">
        <f t="shared" si="7"/>
        <v/>
      </c>
      <c r="AH7" s="54" t="str">
        <f t="shared" si="8"/>
        <v/>
      </c>
      <c r="AI7" s="51"/>
      <c r="AJ7" s="120"/>
      <c r="AK7" s="52"/>
      <c r="AL7" s="120"/>
      <c r="AM7" s="120"/>
      <c r="AN7" s="52"/>
      <c r="AO7" s="52" t="s">
        <v>132</v>
      </c>
      <c r="AP7" s="53" t="str">
        <f t="shared" si="9"/>
        <v/>
      </c>
      <c r="AQ7" s="53" t="str">
        <f t="shared" si="10"/>
        <v/>
      </c>
      <c r="AR7" s="53" t="str">
        <f t="shared" si="11"/>
        <v/>
      </c>
      <c r="AS7" s="54" t="str">
        <f t="shared" si="12"/>
        <v/>
      </c>
      <c r="AT7" s="55">
        <v>42268</v>
      </c>
      <c r="AU7" s="121">
        <v>42268</v>
      </c>
      <c r="AV7" s="56">
        <v>42814</v>
      </c>
      <c r="AW7" s="121">
        <v>42814</v>
      </c>
      <c r="AX7" s="121"/>
      <c r="AY7" s="45" t="str">
        <f t="shared" si="13"/>
        <v/>
      </c>
      <c r="AZ7" s="45"/>
      <c r="BA7" s="45" t="s">
        <v>132</v>
      </c>
      <c r="BB7" s="57" t="str">
        <f t="shared" si="14"/>
        <v>G</v>
      </c>
      <c r="BC7" s="57" t="str">
        <f t="shared" si="15"/>
        <v>G</v>
      </c>
      <c r="BD7" s="57" t="str">
        <f t="shared" si="16"/>
        <v/>
      </c>
      <c r="BE7" s="58" t="str">
        <f t="shared" si="17"/>
        <v>G</v>
      </c>
      <c r="BF7" s="350">
        <v>1115001</v>
      </c>
      <c r="BG7" s="351">
        <v>1027000</v>
      </c>
      <c r="BH7" s="352">
        <f>VLOOKUP(A7,Finance!$A$3:$J$45,8,FALSE)</f>
        <v>168974</v>
      </c>
      <c r="BI7" s="62">
        <v>301200</v>
      </c>
      <c r="BJ7" s="60"/>
      <c r="BK7" s="63">
        <f t="shared" si="18"/>
        <v>-7.8924592892741799E-2</v>
      </c>
      <c r="BL7" s="63">
        <f t="shared" si="19"/>
        <v>-0.84845394757493486</v>
      </c>
      <c r="BM7" s="64" t="str">
        <f t="shared" si="20"/>
        <v>G</v>
      </c>
      <c r="BN7" s="130" t="s">
        <v>665</v>
      </c>
      <c r="BO7" s="129" t="s">
        <v>666</v>
      </c>
      <c r="BP7" s="65" t="str">
        <f>IF(AND(BM7="",BE7="",AS7="",W7=""),"",IF(AND(BM7="G",BE7="G",AS7="G",W7="G"),"G",IF(OR(BM7="R",BE7="R",AS7="R",W7="R"),"R",VLOOKUP(CONCATENATE(W7,AS7,BE7,BM7),'Rag Coding'!A:B,2,FALSE))))</f>
        <v>G</v>
      </c>
      <c r="BQ7" s="37" t="str">
        <f>'Dashboard Page'!N8</f>
        <v>No Issue</v>
      </c>
      <c r="BR7" s="39" t="str">
        <f t="shared" ca="1" si="21"/>
        <v/>
      </c>
      <c r="BS7" s="39" t="str">
        <f t="shared" ca="1" si="22"/>
        <v/>
      </c>
      <c r="BT7" s="39" t="str">
        <f t="shared" ca="1" si="23"/>
        <v/>
      </c>
      <c r="BU7" s="39" t="str">
        <f t="shared" ca="1" si="24"/>
        <v/>
      </c>
      <c r="BV7" s="39" t="str">
        <f t="shared" ca="1" si="25"/>
        <v/>
      </c>
      <c r="BW7" s="39" t="str">
        <f t="shared" ca="1" si="26"/>
        <v/>
      </c>
      <c r="BX7" s="39" t="str">
        <f t="shared" ca="1" si="27"/>
        <v>Forecast Completion on 20-3-2017
on time</v>
      </c>
      <c r="BY7" s="39" t="str">
        <f t="shared" ca="1" si="28"/>
        <v/>
      </c>
      <c r="BZ7" s="39" t="str">
        <f t="shared" ca="1" si="29"/>
        <v>Current Forecast Spend £1027000</v>
      </c>
      <c r="CA7" s="39" t="str">
        <f t="shared" si="31"/>
        <v>Stage Gate 5</v>
      </c>
    </row>
    <row r="8" spans="1:79" ht="90" customHeight="1" x14ac:dyDescent="0.2">
      <c r="A8" s="228" t="s">
        <v>141</v>
      </c>
      <c r="B8" s="21" t="s">
        <v>142</v>
      </c>
      <c r="C8" s="21" t="s">
        <v>143</v>
      </c>
      <c r="D8" s="20" t="s">
        <v>92</v>
      </c>
      <c r="E8" s="20" t="s">
        <v>264</v>
      </c>
      <c r="F8" s="100" t="s">
        <v>600</v>
      </c>
      <c r="G8" s="100" t="s">
        <v>99</v>
      </c>
      <c r="H8" s="232">
        <v>42262</v>
      </c>
      <c r="I8" s="230">
        <f t="shared" si="30"/>
        <v>42292</v>
      </c>
      <c r="J8" s="231"/>
      <c r="K8" s="162" t="str">
        <f t="shared" si="0"/>
        <v>Board Date
15/10/2015</v>
      </c>
      <c r="L8" s="54" t="str">
        <f t="shared" ca="1" si="1"/>
        <v>R</v>
      </c>
      <c r="M8" s="148"/>
      <c r="N8" s="120"/>
      <c r="O8" s="52"/>
      <c r="P8" s="121"/>
      <c r="Q8" s="120"/>
      <c r="R8" s="28"/>
      <c r="S8" s="28" t="s">
        <v>147</v>
      </c>
      <c r="T8" s="53" t="str">
        <f t="shared" si="2"/>
        <v/>
      </c>
      <c r="U8" s="53" t="str">
        <f t="shared" si="3"/>
        <v/>
      </c>
      <c r="V8" s="53" t="str">
        <f t="shared" si="4"/>
        <v/>
      </c>
      <c r="W8" s="54" t="str">
        <f t="shared" ref="W8:W40" si="32">IF(V8="",IF(U8="",T8,U8),V8)</f>
        <v/>
      </c>
      <c r="X8" s="51"/>
      <c r="Y8" s="120"/>
      <c r="Z8" s="52"/>
      <c r="AA8" s="120"/>
      <c r="AB8" s="120"/>
      <c r="AC8" s="52"/>
      <c r="AD8" s="52"/>
      <c r="AE8" s="53" t="str">
        <f t="shared" si="5"/>
        <v/>
      </c>
      <c r="AF8" s="53" t="str">
        <f t="shared" si="6"/>
        <v/>
      </c>
      <c r="AG8" s="53" t="str">
        <f t="shared" si="7"/>
        <v/>
      </c>
      <c r="AH8" s="54" t="str">
        <f t="shared" si="8"/>
        <v/>
      </c>
      <c r="AI8" s="51"/>
      <c r="AJ8" s="120"/>
      <c r="AK8" s="52"/>
      <c r="AL8" s="120"/>
      <c r="AM8" s="120"/>
      <c r="AN8" s="52"/>
      <c r="AO8" s="52" t="s">
        <v>147</v>
      </c>
      <c r="AP8" s="53" t="str">
        <f t="shared" si="9"/>
        <v/>
      </c>
      <c r="AQ8" s="53" t="str">
        <f t="shared" si="10"/>
        <v/>
      </c>
      <c r="AR8" s="53" t="str">
        <f t="shared" si="11"/>
        <v/>
      </c>
      <c r="AS8" s="54" t="str">
        <f t="shared" si="12"/>
        <v/>
      </c>
      <c r="AT8" s="55">
        <v>42573</v>
      </c>
      <c r="AU8" s="121">
        <v>42573</v>
      </c>
      <c r="AV8" s="56">
        <v>42720</v>
      </c>
      <c r="AW8" s="121">
        <v>42720</v>
      </c>
      <c r="AX8" s="121">
        <v>42720</v>
      </c>
      <c r="AY8" s="45">
        <f t="shared" si="13"/>
        <v>42810</v>
      </c>
      <c r="AZ8" s="45"/>
      <c r="BA8" s="45" t="s">
        <v>132</v>
      </c>
      <c r="BB8" s="57" t="str">
        <f t="shared" si="14"/>
        <v>G</v>
      </c>
      <c r="BC8" s="57" t="str">
        <f t="shared" si="15"/>
        <v>G</v>
      </c>
      <c r="BD8" s="57" t="str">
        <f t="shared" si="16"/>
        <v>G</v>
      </c>
      <c r="BE8" s="58" t="str">
        <f t="shared" si="17"/>
        <v>G</v>
      </c>
      <c r="BF8" s="350">
        <v>131343</v>
      </c>
      <c r="BG8" s="351">
        <v>113674</v>
      </c>
      <c r="BH8" s="352">
        <f>VLOOKUP(A8,Finance!$A$3:$J$45,8,FALSE)</f>
        <v>96973</v>
      </c>
      <c r="BI8" s="62">
        <v>81430</v>
      </c>
      <c r="BJ8" s="60"/>
      <c r="BK8" s="63">
        <f t="shared" si="18"/>
        <v>-0.13452563136215862</v>
      </c>
      <c r="BL8" s="63">
        <f t="shared" si="19"/>
        <v>-0.2616812468117829</v>
      </c>
      <c r="BM8" s="64" t="str">
        <f t="shared" si="20"/>
        <v>G</v>
      </c>
      <c r="BN8" s="130" t="s">
        <v>300</v>
      </c>
      <c r="BO8" s="129" t="s">
        <v>605</v>
      </c>
      <c r="BP8" s="65" t="str">
        <f>IF(AND(BM8="",BE8="",AS8="",W8=""),"",IF(AND(BM8="G",BE8="G",AS8="G",W8="G"),"G",IF(OR(BM8="R",BE8="R",AS8="R",W8="R"),"R",VLOOKUP(CONCATENATE(W8,AS8,BE8,BM8),'Rag Coding'!A:B,2,FALSE))))</f>
        <v>G</v>
      </c>
      <c r="BQ8" s="37" t="str">
        <f>'Dashboard Page'!N9</f>
        <v>Practical completion envisaged 12/12/2016</v>
      </c>
      <c r="BR8" s="39" t="str">
        <f t="shared" ca="1" si="21"/>
        <v/>
      </c>
      <c r="BS8" s="39" t="str">
        <f t="shared" ca="1" si="22"/>
        <v/>
      </c>
      <c r="BT8" s="39" t="str">
        <f t="shared" ca="1" si="23"/>
        <v/>
      </c>
      <c r="BU8" s="39" t="str">
        <f t="shared" ca="1" si="24"/>
        <v/>
      </c>
      <c r="BV8" s="39" t="str">
        <f t="shared" ca="1" si="25"/>
        <v/>
      </c>
      <c r="BW8" s="39" t="str">
        <f t="shared" ca="1" si="26"/>
        <v/>
      </c>
      <c r="BX8" s="39" t="str">
        <f t="shared" ca="1" si="27"/>
        <v xml:space="preserve">Completed </v>
      </c>
      <c r="BY8" s="39" t="str">
        <f t="shared" ca="1" si="28"/>
        <v>on time</v>
      </c>
      <c r="BZ8" s="39" t="str">
        <f t="shared" ca="1" si="29"/>
        <v>Under budget by £17669</v>
      </c>
      <c r="CA8" s="39" t="str">
        <f t="shared" si="31"/>
        <v>Stage Gate 5</v>
      </c>
    </row>
    <row r="9" spans="1:79" ht="67.5" customHeight="1" x14ac:dyDescent="0.2">
      <c r="A9" s="228" t="s">
        <v>144</v>
      </c>
      <c r="B9" s="21" t="s">
        <v>145</v>
      </c>
      <c r="C9" s="21" t="s">
        <v>146</v>
      </c>
      <c r="D9" s="20" t="s">
        <v>92</v>
      </c>
      <c r="E9" s="20" t="s">
        <v>264</v>
      </c>
      <c r="F9" s="100" t="s">
        <v>600</v>
      </c>
      <c r="G9" s="100" t="s">
        <v>99</v>
      </c>
      <c r="H9" s="232">
        <v>42262</v>
      </c>
      <c r="I9" s="230">
        <f t="shared" si="30"/>
        <v>42292</v>
      </c>
      <c r="J9" s="231"/>
      <c r="K9" s="162" t="str">
        <f t="shared" si="0"/>
        <v>Board Date
15/10/2015</v>
      </c>
      <c r="L9" s="54" t="str">
        <f t="shared" ca="1" si="1"/>
        <v>R</v>
      </c>
      <c r="M9" s="148"/>
      <c r="N9" s="120"/>
      <c r="O9" s="52"/>
      <c r="P9" s="121"/>
      <c r="Q9" s="120"/>
      <c r="R9" s="28"/>
      <c r="S9" s="28" t="s">
        <v>148</v>
      </c>
      <c r="T9" s="53" t="str">
        <f t="shared" si="2"/>
        <v/>
      </c>
      <c r="U9" s="53" t="str">
        <f t="shared" si="3"/>
        <v/>
      </c>
      <c r="V9" s="53" t="str">
        <f t="shared" si="4"/>
        <v/>
      </c>
      <c r="W9" s="54" t="str">
        <f t="shared" si="32"/>
        <v/>
      </c>
      <c r="X9" s="51"/>
      <c r="Y9" s="120"/>
      <c r="Z9" s="52"/>
      <c r="AA9" s="120"/>
      <c r="AB9" s="120"/>
      <c r="AC9" s="52"/>
      <c r="AD9" s="52"/>
      <c r="AE9" s="53" t="str">
        <f t="shared" si="5"/>
        <v/>
      </c>
      <c r="AF9" s="53" t="str">
        <f t="shared" si="6"/>
        <v/>
      </c>
      <c r="AG9" s="53" t="str">
        <f t="shared" si="7"/>
        <v/>
      </c>
      <c r="AH9" s="54" t="str">
        <f t="shared" si="8"/>
        <v/>
      </c>
      <c r="AI9" s="51">
        <v>42522</v>
      </c>
      <c r="AJ9" s="120">
        <v>42522</v>
      </c>
      <c r="AK9" s="52">
        <v>42592</v>
      </c>
      <c r="AL9" s="120">
        <v>42592</v>
      </c>
      <c r="AM9" s="120">
        <v>42592</v>
      </c>
      <c r="AN9" s="52"/>
      <c r="AO9" s="52" t="s">
        <v>148</v>
      </c>
      <c r="AP9" s="53" t="str">
        <f t="shared" si="9"/>
        <v>G</v>
      </c>
      <c r="AQ9" s="53" t="str">
        <f t="shared" si="10"/>
        <v>G</v>
      </c>
      <c r="AR9" s="53" t="str">
        <f t="shared" si="11"/>
        <v>G</v>
      </c>
      <c r="AS9" s="54" t="str">
        <f t="shared" si="12"/>
        <v>G</v>
      </c>
      <c r="AT9" s="55"/>
      <c r="AU9" s="121"/>
      <c r="AV9" s="56"/>
      <c r="AW9" s="121"/>
      <c r="AX9" s="121"/>
      <c r="AY9" s="45" t="str">
        <f t="shared" si="13"/>
        <v/>
      </c>
      <c r="AZ9" s="45"/>
      <c r="BA9" s="45"/>
      <c r="BB9" s="57" t="str">
        <f t="shared" si="14"/>
        <v/>
      </c>
      <c r="BC9" s="57" t="str">
        <f t="shared" si="15"/>
        <v/>
      </c>
      <c r="BD9" s="57" t="str">
        <f t="shared" si="16"/>
        <v/>
      </c>
      <c r="BE9" s="58" t="str">
        <f t="shared" si="17"/>
        <v/>
      </c>
      <c r="BF9" s="350">
        <v>126000</v>
      </c>
      <c r="BG9" s="351">
        <v>409317</v>
      </c>
      <c r="BH9" s="352">
        <f>VLOOKUP(A9,Finance!$A$3:$J$45,8,FALSE)</f>
        <v>18935</v>
      </c>
      <c r="BI9" s="62">
        <v>126000</v>
      </c>
      <c r="BJ9" s="60"/>
      <c r="BK9" s="63">
        <f t="shared" si="18"/>
        <v>2.2485476190476192</v>
      </c>
      <c r="BL9" s="63">
        <f t="shared" si="19"/>
        <v>-0.84972222222222227</v>
      </c>
      <c r="BM9" s="64" t="str">
        <f t="shared" si="20"/>
        <v>R</v>
      </c>
      <c r="BN9" s="18" t="s">
        <v>298</v>
      </c>
      <c r="BO9" s="129" t="s">
        <v>664</v>
      </c>
      <c r="BP9" s="65" t="str">
        <f>IF(AND(BM9="",BE9="",AS9="",W9=""),"",IF(AND(BM9="G",BE9="G",AS9="G",W9="G"),"G",IF(OR(BM9="R",BE9="R",AS9="R",W9="R"),"R",VLOOKUP(CONCATENATE(W9,AS9,BE9,BM9),'Rag Coding'!A:B,2,FALSE))))</f>
        <v>R</v>
      </c>
      <c r="BQ9" s="37" t="str">
        <f>'Dashboard Page'!N10</f>
        <v>Permission given to proceed to tender</v>
      </c>
      <c r="BR9" s="39" t="str">
        <f t="shared" ca="1" si="21"/>
        <v/>
      </c>
      <c r="BS9" s="39" t="str">
        <f t="shared" ca="1" si="22"/>
        <v/>
      </c>
      <c r="BT9" s="39" t="str">
        <f t="shared" ca="1" si="23"/>
        <v/>
      </c>
      <c r="BU9" s="39" t="str">
        <f t="shared" ca="1" si="24"/>
        <v/>
      </c>
      <c r="BV9" s="39" t="str">
        <f t="shared" ca="1" si="25"/>
        <v xml:space="preserve">Completed </v>
      </c>
      <c r="BW9" s="39" t="str">
        <f t="shared" ca="1" si="26"/>
        <v>on time</v>
      </c>
      <c r="BX9" s="39" t="str">
        <f t="shared" ca="1" si="27"/>
        <v/>
      </c>
      <c r="BY9" s="39" t="str">
        <f t="shared" ca="1" si="28"/>
        <v/>
      </c>
      <c r="BZ9" s="39" t="str">
        <f t="shared" ca="1" si="29"/>
        <v>Current Forecast Spend £409317</v>
      </c>
      <c r="CA9" s="39" t="str">
        <f t="shared" si="31"/>
        <v>Stage Gate 4</v>
      </c>
    </row>
    <row r="10" spans="1:79" ht="78.75" customHeight="1" x14ac:dyDescent="0.2">
      <c r="A10" s="228" t="s">
        <v>150</v>
      </c>
      <c r="B10" s="21" t="s">
        <v>151</v>
      </c>
      <c r="C10" s="21" t="s">
        <v>152</v>
      </c>
      <c r="D10" s="20" t="s">
        <v>93</v>
      </c>
      <c r="E10" s="20" t="s">
        <v>101</v>
      </c>
      <c r="F10" s="100" t="s">
        <v>601</v>
      </c>
      <c r="G10" s="100" t="s">
        <v>99</v>
      </c>
      <c r="H10" s="232">
        <v>42199</v>
      </c>
      <c r="I10" s="230">
        <f t="shared" si="30"/>
        <v>42230</v>
      </c>
      <c r="J10" s="231"/>
      <c r="K10" s="162" t="str">
        <f t="shared" si="0"/>
        <v>Board Date
14/08/2015</v>
      </c>
      <c r="L10" s="54" t="str">
        <f t="shared" ca="1" si="1"/>
        <v>R</v>
      </c>
      <c r="M10" s="148"/>
      <c r="N10" s="120"/>
      <c r="O10" s="52"/>
      <c r="P10" s="121"/>
      <c r="Q10" s="120"/>
      <c r="R10" s="28"/>
      <c r="S10" s="28" t="s">
        <v>149</v>
      </c>
      <c r="T10" s="53" t="str">
        <f t="shared" si="2"/>
        <v/>
      </c>
      <c r="U10" s="53" t="str">
        <f t="shared" si="3"/>
        <v/>
      </c>
      <c r="V10" s="53" t="str">
        <f t="shared" si="4"/>
        <v/>
      </c>
      <c r="W10" s="54" t="str">
        <f t="shared" si="32"/>
        <v/>
      </c>
      <c r="X10" s="51"/>
      <c r="Y10" s="120"/>
      <c r="Z10" s="52"/>
      <c r="AA10" s="120"/>
      <c r="AB10" s="120"/>
      <c r="AC10" s="52"/>
      <c r="AD10" s="52"/>
      <c r="AE10" s="53" t="str">
        <f t="shared" si="5"/>
        <v/>
      </c>
      <c r="AF10" s="53" t="str">
        <f t="shared" si="6"/>
        <v/>
      </c>
      <c r="AG10" s="53" t="str">
        <f t="shared" si="7"/>
        <v/>
      </c>
      <c r="AH10" s="54" t="str">
        <f t="shared" si="8"/>
        <v/>
      </c>
      <c r="AI10" s="51"/>
      <c r="AJ10" s="119"/>
      <c r="AK10" s="52"/>
      <c r="AL10" s="120"/>
      <c r="AM10" s="120"/>
      <c r="AN10" s="52"/>
      <c r="AO10" s="52"/>
      <c r="AP10" s="53" t="str">
        <f t="shared" si="9"/>
        <v/>
      </c>
      <c r="AQ10" s="53" t="str">
        <f t="shared" si="10"/>
        <v/>
      </c>
      <c r="AR10" s="53" t="str">
        <f t="shared" si="11"/>
        <v/>
      </c>
      <c r="AS10" s="54" t="str">
        <f t="shared" si="12"/>
        <v/>
      </c>
      <c r="AT10" s="55">
        <v>42436</v>
      </c>
      <c r="AU10" s="121">
        <v>42436</v>
      </c>
      <c r="AV10" s="56">
        <v>42716</v>
      </c>
      <c r="AW10" s="121">
        <v>42716</v>
      </c>
      <c r="AX10" s="121">
        <v>42716</v>
      </c>
      <c r="AY10" s="45">
        <f t="shared" si="13"/>
        <v>42806</v>
      </c>
      <c r="AZ10" s="45"/>
      <c r="BA10" s="45" t="s">
        <v>163</v>
      </c>
      <c r="BB10" s="57" t="str">
        <f t="shared" si="14"/>
        <v>G</v>
      </c>
      <c r="BC10" s="57" t="str">
        <f t="shared" si="15"/>
        <v>G</v>
      </c>
      <c r="BD10" s="57" t="str">
        <f t="shared" si="16"/>
        <v>G</v>
      </c>
      <c r="BE10" s="58" t="str">
        <f t="shared" si="17"/>
        <v>G</v>
      </c>
      <c r="BF10" s="350">
        <v>179311</v>
      </c>
      <c r="BG10" s="351">
        <v>179311</v>
      </c>
      <c r="BH10" s="352">
        <f>VLOOKUP(A10,Finance!$A$3:$J$45,8,FALSE)</f>
        <v>124370</v>
      </c>
      <c r="BI10" s="62"/>
      <c r="BJ10" s="60"/>
      <c r="BK10" s="63">
        <f t="shared" si="18"/>
        <v>0</v>
      </c>
      <c r="BL10" s="63">
        <f t="shared" si="19"/>
        <v>-0.3064006112285359</v>
      </c>
      <c r="BM10" s="64" t="str">
        <f t="shared" si="20"/>
        <v>G</v>
      </c>
      <c r="BN10" s="130" t="s">
        <v>497</v>
      </c>
      <c r="BO10" s="129" t="s">
        <v>662</v>
      </c>
      <c r="BP10" s="65" t="str">
        <f>IF(AND(BM10="",BE10="",AS10="",W10=""),"",IF(AND(BM10="G",BE10="G",AS10="G",W10="G"),"G",IF(OR(BM10="R",BE10="R",AS10="R",W10="R"),"R",VLOOKUP(CONCATENATE(W10,AS10,BE10,BM10),'Rag Coding'!A:B,2,FALSE))))</f>
        <v>G</v>
      </c>
      <c r="BQ10" s="37" t="str">
        <f>'Dashboard Page'!N11</f>
        <v>BMS to be address by FacOps</v>
      </c>
      <c r="BR10" s="39" t="str">
        <f t="shared" ca="1" si="21"/>
        <v/>
      </c>
      <c r="BS10" s="39" t="str">
        <f t="shared" ca="1" si="22"/>
        <v/>
      </c>
      <c r="BT10" s="39" t="str">
        <f t="shared" ca="1" si="23"/>
        <v/>
      </c>
      <c r="BU10" s="39" t="str">
        <f t="shared" ca="1" si="24"/>
        <v/>
      </c>
      <c r="BV10" s="39" t="str">
        <f t="shared" ca="1" si="25"/>
        <v/>
      </c>
      <c r="BW10" s="39" t="str">
        <f t="shared" ca="1" si="26"/>
        <v/>
      </c>
      <c r="BX10" s="39" t="str">
        <f t="shared" ca="1" si="27"/>
        <v xml:space="preserve">Completed </v>
      </c>
      <c r="BY10" s="39" t="str">
        <f t="shared" ca="1" si="28"/>
        <v>on time</v>
      </c>
      <c r="BZ10" s="39" t="str">
        <f t="shared" ca="1" si="29"/>
        <v>Under budget by £0</v>
      </c>
      <c r="CA10" s="39" t="str">
        <f t="shared" si="31"/>
        <v>Stage Gate 5</v>
      </c>
    </row>
    <row r="11" spans="1:79" ht="101.25" customHeight="1" x14ac:dyDescent="0.2">
      <c r="A11" s="228" t="s">
        <v>153</v>
      </c>
      <c r="B11" s="21" t="s">
        <v>154</v>
      </c>
      <c r="C11" s="21" t="s">
        <v>155</v>
      </c>
      <c r="D11" s="20" t="s">
        <v>94</v>
      </c>
      <c r="E11" s="20" t="s">
        <v>264</v>
      </c>
      <c r="F11" s="100" t="s">
        <v>602</v>
      </c>
      <c r="G11" s="100" t="s">
        <v>99</v>
      </c>
      <c r="H11" s="232">
        <v>42269</v>
      </c>
      <c r="I11" s="230">
        <f t="shared" si="30"/>
        <v>42299</v>
      </c>
      <c r="J11" s="231"/>
      <c r="K11" s="162" t="str">
        <f t="shared" si="0"/>
        <v>Board Date
22/10/2015</v>
      </c>
      <c r="L11" s="54" t="str">
        <f t="shared" ca="1" si="1"/>
        <v>R</v>
      </c>
      <c r="M11" s="148"/>
      <c r="N11" s="120"/>
      <c r="O11" s="52"/>
      <c r="P11" s="121"/>
      <c r="Q11" s="120"/>
      <c r="R11" s="28"/>
      <c r="S11" s="28" t="s">
        <v>166</v>
      </c>
      <c r="T11" s="53" t="str">
        <f t="shared" si="2"/>
        <v/>
      </c>
      <c r="U11" s="53" t="str">
        <f t="shared" si="3"/>
        <v/>
      </c>
      <c r="V11" s="53" t="str">
        <f t="shared" si="4"/>
        <v/>
      </c>
      <c r="W11" s="54" t="str">
        <f t="shared" si="32"/>
        <v/>
      </c>
      <c r="X11" s="51"/>
      <c r="Y11" s="120"/>
      <c r="Z11" s="52"/>
      <c r="AA11" s="120"/>
      <c r="AB11" s="120"/>
      <c r="AC11" s="52"/>
      <c r="AD11" s="52"/>
      <c r="AE11" s="53" t="str">
        <f t="shared" si="5"/>
        <v/>
      </c>
      <c r="AF11" s="53" t="str">
        <f t="shared" si="6"/>
        <v/>
      </c>
      <c r="AG11" s="53" t="str">
        <f t="shared" si="7"/>
        <v/>
      </c>
      <c r="AH11" s="54" t="str">
        <f t="shared" si="8"/>
        <v/>
      </c>
      <c r="AI11" s="51">
        <v>42663</v>
      </c>
      <c r="AJ11" s="120">
        <v>42663</v>
      </c>
      <c r="AK11" s="52">
        <v>42870</v>
      </c>
      <c r="AL11" s="120">
        <v>42870</v>
      </c>
      <c r="AM11" s="120"/>
      <c r="AN11" s="52"/>
      <c r="AO11" s="52" t="s">
        <v>166</v>
      </c>
      <c r="AP11" s="53" t="str">
        <f t="shared" si="9"/>
        <v>G</v>
      </c>
      <c r="AQ11" s="53" t="str">
        <f t="shared" si="10"/>
        <v>G</v>
      </c>
      <c r="AR11" s="53" t="str">
        <f t="shared" si="11"/>
        <v/>
      </c>
      <c r="AS11" s="54" t="str">
        <f t="shared" si="12"/>
        <v>G</v>
      </c>
      <c r="AT11" s="55"/>
      <c r="AU11" s="121"/>
      <c r="AV11" s="56"/>
      <c r="AW11" s="121"/>
      <c r="AX11" s="121"/>
      <c r="AY11" s="45" t="str">
        <f t="shared" si="13"/>
        <v/>
      </c>
      <c r="AZ11" s="45"/>
      <c r="BA11" s="45"/>
      <c r="BB11" s="57" t="str">
        <f t="shared" si="14"/>
        <v/>
      </c>
      <c r="BC11" s="57" t="str">
        <f t="shared" si="15"/>
        <v/>
      </c>
      <c r="BD11" s="57" t="str">
        <f t="shared" si="16"/>
        <v/>
      </c>
      <c r="BE11" s="58" t="str">
        <f t="shared" si="17"/>
        <v/>
      </c>
      <c r="BF11" s="350">
        <v>571000</v>
      </c>
      <c r="BG11" s="351">
        <v>571000</v>
      </c>
      <c r="BH11" s="352">
        <f>VLOOKUP(A11,Finance!$A$3:$J$45,8,FALSE)</f>
        <v>7451</v>
      </c>
      <c r="BI11" s="62"/>
      <c r="BJ11" s="60"/>
      <c r="BK11" s="63">
        <f t="shared" si="18"/>
        <v>0</v>
      </c>
      <c r="BL11" s="63">
        <f t="shared" si="19"/>
        <v>-0.98695096322241682</v>
      </c>
      <c r="BM11" s="64" t="str">
        <f t="shared" si="20"/>
        <v>G</v>
      </c>
      <c r="BN11" s="130" t="s">
        <v>573</v>
      </c>
      <c r="BO11" s="129" t="s">
        <v>607</v>
      </c>
      <c r="BP11" s="65" t="str">
        <f>IF(AND(BM11="",BE11="",AS11="",W11=""),"",IF(AND(BM11="G",BE11="G",AS11="G",W11="G"),"G",IF(OR(BM11="R",BE11="R",AS11="R",W11="R"),"R",VLOOKUP(CONCATENATE(W11,AS11,BE11,BM11),'Rag Coding'!A:B,2,FALSE))))</f>
        <v>G</v>
      </c>
      <c r="BQ11" s="37" t="str">
        <f>'Dashboard Page'!N12</f>
        <v>Construction work to be started in 2017 financial year
A variation to brief cost, and programme</v>
      </c>
      <c r="BR11" s="39" t="str">
        <f t="shared" ca="1" si="21"/>
        <v/>
      </c>
      <c r="BS11" s="39" t="str">
        <f t="shared" ca="1" si="22"/>
        <v/>
      </c>
      <c r="BT11" s="39" t="str">
        <f t="shared" ca="1" si="23"/>
        <v/>
      </c>
      <c r="BU11" s="39" t="str">
        <f t="shared" ca="1" si="24"/>
        <v/>
      </c>
      <c r="BV11" s="39" t="str">
        <f t="shared" ca="1" si="25"/>
        <v>Forecast Completion on 15-5-2017
on time</v>
      </c>
      <c r="BW11" s="39" t="str">
        <f t="shared" ca="1" si="26"/>
        <v/>
      </c>
      <c r="BX11" s="39" t="str">
        <f t="shared" ca="1" si="27"/>
        <v/>
      </c>
      <c r="BY11" s="39" t="str">
        <f t="shared" ca="1" si="28"/>
        <v/>
      </c>
      <c r="BZ11" s="39" t="str">
        <f t="shared" ca="1" si="29"/>
        <v>Current Forecast Spend £571000</v>
      </c>
      <c r="CA11" s="39" t="str">
        <f t="shared" si="31"/>
        <v>Stage Gate 4</v>
      </c>
    </row>
    <row r="12" spans="1:79" ht="258.75" customHeight="1" x14ac:dyDescent="0.2">
      <c r="A12" s="228" t="s">
        <v>156</v>
      </c>
      <c r="B12" s="21" t="s">
        <v>154</v>
      </c>
      <c r="C12" s="21" t="s">
        <v>157</v>
      </c>
      <c r="D12" s="20" t="s">
        <v>89</v>
      </c>
      <c r="E12" s="20" t="s">
        <v>106</v>
      </c>
      <c r="F12" s="100"/>
      <c r="G12" s="100" t="s">
        <v>99</v>
      </c>
      <c r="H12" s="232">
        <v>42355</v>
      </c>
      <c r="I12" s="230">
        <f t="shared" si="30"/>
        <v>42386</v>
      </c>
      <c r="J12" s="231"/>
      <c r="K12" s="162" t="str">
        <f t="shared" si="0"/>
        <v>Board Date
17/01/2016</v>
      </c>
      <c r="L12" s="54" t="str">
        <f t="shared" ca="1" si="1"/>
        <v>R</v>
      </c>
      <c r="M12" s="148"/>
      <c r="N12" s="120"/>
      <c r="O12" s="52"/>
      <c r="P12" s="121"/>
      <c r="Q12" s="120"/>
      <c r="R12" s="28"/>
      <c r="S12" s="28" t="s">
        <v>166</v>
      </c>
      <c r="T12" s="53" t="str">
        <f t="shared" si="2"/>
        <v/>
      </c>
      <c r="U12" s="53" t="str">
        <f t="shared" si="3"/>
        <v/>
      </c>
      <c r="V12" s="53" t="str">
        <f t="shared" si="4"/>
        <v/>
      </c>
      <c r="W12" s="54" t="str">
        <f t="shared" si="32"/>
        <v/>
      </c>
      <c r="X12" s="51"/>
      <c r="Y12" s="120"/>
      <c r="Z12" s="52"/>
      <c r="AA12" s="120"/>
      <c r="AB12" s="120"/>
      <c r="AC12" s="52"/>
      <c r="AD12" s="52"/>
      <c r="AE12" s="53" t="str">
        <f t="shared" si="5"/>
        <v/>
      </c>
      <c r="AF12" s="53" t="str">
        <f t="shared" si="6"/>
        <v/>
      </c>
      <c r="AG12" s="53" t="str">
        <f t="shared" si="7"/>
        <v/>
      </c>
      <c r="AH12" s="54" t="str">
        <f t="shared" si="8"/>
        <v/>
      </c>
      <c r="AI12" s="51">
        <v>42474</v>
      </c>
      <c r="AJ12" s="120">
        <v>42588</v>
      </c>
      <c r="AK12" s="52">
        <v>42727</v>
      </c>
      <c r="AL12" s="120">
        <v>42727</v>
      </c>
      <c r="AM12" s="120">
        <v>42740</v>
      </c>
      <c r="AN12" s="52"/>
      <c r="AO12" s="52" t="s">
        <v>166</v>
      </c>
      <c r="AP12" s="53" t="str">
        <f t="shared" si="9"/>
        <v>R</v>
      </c>
      <c r="AQ12" s="53" t="str">
        <f t="shared" si="10"/>
        <v>G</v>
      </c>
      <c r="AR12" s="53" t="str">
        <f t="shared" si="11"/>
        <v>G</v>
      </c>
      <c r="AS12" s="54" t="str">
        <f t="shared" si="12"/>
        <v>G</v>
      </c>
      <c r="AT12" s="55"/>
      <c r="AU12" s="121"/>
      <c r="AV12" s="56"/>
      <c r="AW12" s="121"/>
      <c r="AX12" s="121"/>
      <c r="AY12" s="45" t="str">
        <f t="shared" si="13"/>
        <v/>
      </c>
      <c r="AZ12" s="45"/>
      <c r="BA12" s="45"/>
      <c r="BB12" s="57" t="str">
        <f t="shared" si="14"/>
        <v/>
      </c>
      <c r="BC12" s="57" t="str">
        <f t="shared" si="15"/>
        <v/>
      </c>
      <c r="BD12" s="57" t="str">
        <f t="shared" si="16"/>
        <v/>
      </c>
      <c r="BE12" s="58" t="str">
        <f t="shared" si="17"/>
        <v/>
      </c>
      <c r="BF12" s="350">
        <v>61226</v>
      </c>
      <c r="BG12" s="351">
        <v>61226</v>
      </c>
      <c r="BH12" s="352">
        <f>VLOOKUP(A12,Finance!$A$3:$J$45,8,FALSE)</f>
        <v>50529</v>
      </c>
      <c r="BI12" s="62">
        <v>61226</v>
      </c>
      <c r="BJ12" s="60"/>
      <c r="BK12" s="63">
        <f t="shared" si="18"/>
        <v>0</v>
      </c>
      <c r="BL12" s="63">
        <f t="shared" si="19"/>
        <v>-0.1747133570705256</v>
      </c>
      <c r="BM12" s="64" t="str">
        <f t="shared" si="20"/>
        <v>G</v>
      </c>
      <c r="BN12" s="130" t="s">
        <v>335</v>
      </c>
      <c r="BO12" s="19" t="s">
        <v>336</v>
      </c>
      <c r="BP12" s="65" t="str">
        <f>IF(AND(BM12="",BE12="",AS12="",W12=""),"",IF(AND(BM12="G",BE12="G",AS12="G",W12="G"),"G",IF(OR(BM12="R",BE12="R",AS12="R",W12="R"),"R",VLOOKUP(CONCATENATE(W12,AS12,BE12,BM12),'Rag Coding'!A:B,2,FALSE))))</f>
        <v>G</v>
      </c>
      <c r="BQ12" s="37" t="str">
        <f>'Dashboard Page'!N13</f>
        <v>Tender Package to be sent out by 31st Janaury 2017.</v>
      </c>
      <c r="BR12" s="39" t="str">
        <f t="shared" ca="1" si="21"/>
        <v/>
      </c>
      <c r="BS12" s="39" t="str">
        <f t="shared" ca="1" si="22"/>
        <v/>
      </c>
      <c r="BT12" s="39" t="str">
        <f t="shared" ca="1" si="23"/>
        <v/>
      </c>
      <c r="BU12" s="39" t="str">
        <f t="shared" ca="1" si="24"/>
        <v/>
      </c>
      <c r="BV12" s="39" t="str">
        <f t="shared" ca="1" si="25"/>
        <v xml:space="preserve">Completed </v>
      </c>
      <c r="BW12" s="39" t="str">
        <f t="shared" ca="1" si="26"/>
        <v>13 day(s) late</v>
      </c>
      <c r="BX12" s="39" t="str">
        <f t="shared" ca="1" si="27"/>
        <v/>
      </c>
      <c r="BY12" s="39" t="str">
        <f t="shared" ca="1" si="28"/>
        <v/>
      </c>
      <c r="BZ12" s="39" t="str">
        <f t="shared" ca="1" si="29"/>
        <v>Current Forecast Spend £61226</v>
      </c>
      <c r="CA12" s="39" t="str">
        <f t="shared" si="31"/>
        <v>Stage Gate 4</v>
      </c>
    </row>
    <row r="13" spans="1:79" ht="45" customHeight="1" x14ac:dyDescent="0.2">
      <c r="A13" s="228" t="s">
        <v>158</v>
      </c>
      <c r="B13" s="21" t="s">
        <v>159</v>
      </c>
      <c r="C13" s="21" t="s">
        <v>160</v>
      </c>
      <c r="D13" s="20" t="s">
        <v>89</v>
      </c>
      <c r="E13" s="20" t="s">
        <v>101</v>
      </c>
      <c r="F13" s="100" t="s">
        <v>602</v>
      </c>
      <c r="G13" s="100" t="s">
        <v>99</v>
      </c>
      <c r="H13" s="232">
        <v>42571</v>
      </c>
      <c r="I13" s="230">
        <f t="shared" si="30"/>
        <v>42602</v>
      </c>
      <c r="J13" s="231"/>
      <c r="K13" s="162" t="str">
        <f t="shared" si="0"/>
        <v>Board Date
20/08/2016</v>
      </c>
      <c r="L13" s="54" t="str">
        <f t="shared" ca="1" si="1"/>
        <v>R</v>
      </c>
      <c r="M13" s="148"/>
      <c r="N13" s="120"/>
      <c r="O13" s="52"/>
      <c r="P13" s="121"/>
      <c r="Q13" s="120"/>
      <c r="R13" s="28"/>
      <c r="S13" s="28" t="s">
        <v>165</v>
      </c>
      <c r="T13" s="53" t="str">
        <f t="shared" si="2"/>
        <v/>
      </c>
      <c r="U13" s="53" t="str">
        <f t="shared" si="3"/>
        <v/>
      </c>
      <c r="V13" s="53" t="str">
        <f t="shared" si="4"/>
        <v/>
      </c>
      <c r="W13" s="54" t="str">
        <f t="shared" si="32"/>
        <v/>
      </c>
      <c r="X13" s="51"/>
      <c r="Y13" s="120"/>
      <c r="Z13" s="52"/>
      <c r="AA13" s="120"/>
      <c r="AB13" s="120"/>
      <c r="AC13" s="52"/>
      <c r="AD13" s="52"/>
      <c r="AE13" s="53" t="str">
        <f t="shared" si="5"/>
        <v/>
      </c>
      <c r="AF13" s="53" t="str">
        <f t="shared" si="6"/>
        <v/>
      </c>
      <c r="AG13" s="53" t="str">
        <f t="shared" si="7"/>
        <v/>
      </c>
      <c r="AH13" s="54" t="str">
        <f t="shared" si="8"/>
        <v/>
      </c>
      <c r="AI13" s="51"/>
      <c r="AJ13" s="120"/>
      <c r="AK13" s="52"/>
      <c r="AL13" s="120"/>
      <c r="AM13" s="120"/>
      <c r="AN13" s="52"/>
      <c r="AO13" s="52"/>
      <c r="AP13" s="53" t="str">
        <f t="shared" si="9"/>
        <v/>
      </c>
      <c r="AQ13" s="53" t="str">
        <f t="shared" si="10"/>
        <v/>
      </c>
      <c r="AR13" s="53" t="str">
        <f t="shared" si="11"/>
        <v/>
      </c>
      <c r="AS13" s="54" t="str">
        <f t="shared" si="12"/>
        <v/>
      </c>
      <c r="AT13" s="55">
        <v>42583</v>
      </c>
      <c r="AU13" s="121">
        <v>42583</v>
      </c>
      <c r="AV13" s="56">
        <v>42705</v>
      </c>
      <c r="AW13" s="121">
        <v>42705</v>
      </c>
      <c r="AX13" s="371">
        <v>42705</v>
      </c>
      <c r="AY13" s="45">
        <f t="shared" si="13"/>
        <v>42795</v>
      </c>
      <c r="AZ13" s="45"/>
      <c r="BA13" s="45" t="s">
        <v>165</v>
      </c>
      <c r="BB13" s="57" t="str">
        <f t="shared" si="14"/>
        <v>G</v>
      </c>
      <c r="BC13" s="57" t="str">
        <f t="shared" si="15"/>
        <v>G</v>
      </c>
      <c r="BD13" s="57" t="str">
        <f t="shared" si="16"/>
        <v>G</v>
      </c>
      <c r="BE13" s="58" t="str">
        <f t="shared" si="17"/>
        <v>G</v>
      </c>
      <c r="BF13" s="350">
        <v>175000</v>
      </c>
      <c r="BG13" s="351">
        <v>175000</v>
      </c>
      <c r="BH13" s="352">
        <f>VLOOKUP(A13,Finance!$A$3:$J$45,8,FALSE)</f>
        <v>126281</v>
      </c>
      <c r="BI13" s="62"/>
      <c r="BJ13" s="60"/>
      <c r="BK13" s="63">
        <f t="shared" si="18"/>
        <v>0</v>
      </c>
      <c r="BL13" s="63">
        <f t="shared" si="19"/>
        <v>-0.27839428571428571</v>
      </c>
      <c r="BM13" s="64" t="str">
        <f t="shared" si="20"/>
        <v>G</v>
      </c>
      <c r="BN13" s="130" t="s">
        <v>300</v>
      </c>
      <c r="BO13" s="129" t="s">
        <v>637</v>
      </c>
      <c r="BP13" s="65" t="str">
        <f>IF(AND(BM13="",BE13="",AS13="",W13=""),"",IF(AND(BM13="G",BE13="G",AS13="G",W13="G"),"G",IF(OR(BM13="R",BE13="R",AS13="R",W13="R"),"R",VLOOKUP(CONCATENATE(W13,AS13,BE13,BM13),'Rag Coding'!A:B,2,FALSE))))</f>
        <v>G</v>
      </c>
      <c r="BQ13" s="37" t="str">
        <f>'Dashboard Page'!N14</f>
        <v>No Issue</v>
      </c>
      <c r="BR13" s="39" t="str">
        <f t="shared" ca="1" si="21"/>
        <v/>
      </c>
      <c r="BS13" s="39" t="str">
        <f t="shared" ca="1" si="22"/>
        <v/>
      </c>
      <c r="BT13" s="39" t="str">
        <f t="shared" ca="1" si="23"/>
        <v/>
      </c>
      <c r="BU13" s="39" t="str">
        <f t="shared" ca="1" si="24"/>
        <v/>
      </c>
      <c r="BV13" s="39" t="str">
        <f t="shared" ca="1" si="25"/>
        <v/>
      </c>
      <c r="BW13" s="39" t="str">
        <f t="shared" ca="1" si="26"/>
        <v/>
      </c>
      <c r="BX13" s="39" t="str">
        <f t="shared" ca="1" si="27"/>
        <v xml:space="preserve">Completed </v>
      </c>
      <c r="BY13" s="39" t="str">
        <f t="shared" ca="1" si="28"/>
        <v>on time</v>
      </c>
      <c r="BZ13" s="39" t="str">
        <f t="shared" ca="1" si="29"/>
        <v>Under budget by £0</v>
      </c>
      <c r="CA13" s="39" t="str">
        <f t="shared" si="31"/>
        <v>Stage Gate 5</v>
      </c>
    </row>
    <row r="14" spans="1:79" ht="225" customHeight="1" x14ac:dyDescent="0.2">
      <c r="A14" s="228" t="s">
        <v>318</v>
      </c>
      <c r="B14" s="21" t="s">
        <v>568</v>
      </c>
      <c r="C14" s="21" t="s">
        <v>168</v>
      </c>
      <c r="D14" s="20" t="s">
        <v>90</v>
      </c>
      <c r="E14" s="20" t="s">
        <v>103</v>
      </c>
      <c r="F14" s="100" t="s">
        <v>598</v>
      </c>
      <c r="G14" s="100" t="s">
        <v>100</v>
      </c>
      <c r="H14" s="232">
        <v>42398</v>
      </c>
      <c r="I14" s="230">
        <f t="shared" si="30"/>
        <v>42429</v>
      </c>
      <c r="J14" s="231"/>
      <c r="K14" s="162" t="str">
        <f t="shared" si="0"/>
        <v>Board Date
29/02/2016</v>
      </c>
      <c r="L14" s="54" t="str">
        <f t="shared" ca="1" si="1"/>
        <v>R</v>
      </c>
      <c r="M14" s="148"/>
      <c r="N14" s="120"/>
      <c r="O14" s="52"/>
      <c r="P14" s="121"/>
      <c r="Q14" s="120"/>
      <c r="R14" s="28"/>
      <c r="S14" s="28" t="s">
        <v>170</v>
      </c>
      <c r="T14" s="53" t="str">
        <f t="shared" si="2"/>
        <v/>
      </c>
      <c r="U14" s="53" t="str">
        <f t="shared" si="3"/>
        <v/>
      </c>
      <c r="V14" s="53" t="str">
        <f t="shared" si="4"/>
        <v/>
      </c>
      <c r="W14" s="54" t="str">
        <f t="shared" si="32"/>
        <v/>
      </c>
      <c r="X14" s="51"/>
      <c r="Y14" s="120"/>
      <c r="Z14" s="52"/>
      <c r="AA14" s="120"/>
      <c r="AB14" s="120"/>
      <c r="AC14" s="52"/>
      <c r="AD14" s="52"/>
      <c r="AE14" s="53" t="str">
        <f t="shared" si="5"/>
        <v/>
      </c>
      <c r="AF14" s="53" t="str">
        <f t="shared" si="6"/>
        <v/>
      </c>
      <c r="AG14" s="53" t="str">
        <f t="shared" si="7"/>
        <v/>
      </c>
      <c r="AH14" s="54" t="str">
        <f t="shared" si="8"/>
        <v/>
      </c>
      <c r="AI14" s="51"/>
      <c r="AJ14" s="120"/>
      <c r="AK14" s="52"/>
      <c r="AL14" s="120"/>
      <c r="AM14" s="120"/>
      <c r="AN14" s="52"/>
      <c r="AO14" s="52"/>
      <c r="AP14" s="53" t="str">
        <f t="shared" si="9"/>
        <v/>
      </c>
      <c r="AQ14" s="53" t="str">
        <f t="shared" si="10"/>
        <v/>
      </c>
      <c r="AR14" s="53" t="str">
        <f t="shared" si="11"/>
        <v/>
      </c>
      <c r="AS14" s="54" t="str">
        <f t="shared" si="12"/>
        <v/>
      </c>
      <c r="AT14" s="55">
        <v>42585</v>
      </c>
      <c r="AU14" s="121">
        <v>42585</v>
      </c>
      <c r="AV14" s="56">
        <v>42657</v>
      </c>
      <c r="AW14" s="121">
        <v>42709</v>
      </c>
      <c r="AX14" s="121">
        <v>42706</v>
      </c>
      <c r="AY14" s="45">
        <f t="shared" si="13"/>
        <v>42796</v>
      </c>
      <c r="AZ14" s="45"/>
      <c r="BA14" s="45" t="s">
        <v>169</v>
      </c>
      <c r="BB14" s="57" t="str">
        <f t="shared" si="14"/>
        <v>G</v>
      </c>
      <c r="BC14" s="57" t="str">
        <f t="shared" si="15"/>
        <v>R</v>
      </c>
      <c r="BD14" s="57" t="str">
        <f t="shared" si="16"/>
        <v>R</v>
      </c>
      <c r="BE14" s="58" t="str">
        <f t="shared" si="17"/>
        <v>R</v>
      </c>
      <c r="BF14" s="350">
        <v>135000</v>
      </c>
      <c r="BG14" s="351">
        <v>135000</v>
      </c>
      <c r="BH14" s="352">
        <f>VLOOKUP(A14,Finance!$A$3:$J$45,8,FALSE)</f>
        <v>0</v>
      </c>
      <c r="BI14" s="62">
        <v>135000</v>
      </c>
      <c r="BJ14" s="60"/>
      <c r="BK14" s="63">
        <f t="shared" si="18"/>
        <v>0</v>
      </c>
      <c r="BL14" s="63">
        <f t="shared" si="19"/>
        <v>-1</v>
      </c>
      <c r="BM14" s="64" t="str">
        <f t="shared" si="20"/>
        <v>G</v>
      </c>
      <c r="BN14" s="18" t="s">
        <v>343</v>
      </c>
      <c r="BO14" s="19" t="s">
        <v>571</v>
      </c>
      <c r="BP14" s="65" t="str">
        <f>IF(AND(BM14="",BE14="",AS14="",W14=""),"",IF(AND(BM14="G",BE14="G",AS14="G",W14="G"),"G",IF(OR(BM14="R",BE14="R",AS14="R",W14="R"),"R",VLOOKUP(CONCATENATE(W14,AS14,BE14,BM14),'Rag Coding'!A:B,2,FALSE))))</f>
        <v>R</v>
      </c>
      <c r="BQ14" s="37" t="str">
        <f>'Dashboard Page'!N15</f>
        <v>PM to finalise costs</v>
      </c>
      <c r="BR14" s="39" t="str">
        <f t="shared" ca="1" si="21"/>
        <v/>
      </c>
      <c r="BS14" s="39" t="str">
        <f t="shared" ca="1" si="22"/>
        <v/>
      </c>
      <c r="BT14" s="39" t="str">
        <f t="shared" ca="1" si="23"/>
        <v/>
      </c>
      <c r="BU14" s="39" t="str">
        <f t="shared" ca="1" si="24"/>
        <v/>
      </c>
      <c r="BV14" s="39" t="str">
        <f t="shared" ca="1" si="25"/>
        <v/>
      </c>
      <c r="BW14" s="39" t="str">
        <f t="shared" ca="1" si="26"/>
        <v/>
      </c>
      <c r="BX14" s="39" t="str">
        <f t="shared" ca="1" si="27"/>
        <v xml:space="preserve">Completed </v>
      </c>
      <c r="BY14" s="39" t="str">
        <f t="shared" ca="1" si="28"/>
        <v>49 day(s) late</v>
      </c>
      <c r="BZ14" s="39" t="str">
        <f t="shared" ca="1" si="29"/>
        <v>Under budget by £0</v>
      </c>
      <c r="CA14" s="39" t="str">
        <f t="shared" si="31"/>
        <v>Stage Gate 5</v>
      </c>
    </row>
    <row r="15" spans="1:79" ht="123.75" customHeight="1" x14ac:dyDescent="0.2">
      <c r="A15" s="228" t="s">
        <v>560</v>
      </c>
      <c r="B15" s="21" t="s">
        <v>171</v>
      </c>
      <c r="C15" s="21" t="s">
        <v>172</v>
      </c>
      <c r="D15" s="20" t="s">
        <v>86</v>
      </c>
      <c r="E15" s="20" t="s">
        <v>106</v>
      </c>
      <c r="F15" s="100"/>
      <c r="G15" s="100" t="s">
        <v>100</v>
      </c>
      <c r="H15" s="232">
        <v>42569</v>
      </c>
      <c r="I15" s="230">
        <f t="shared" si="30"/>
        <v>42600</v>
      </c>
      <c r="J15" s="231"/>
      <c r="K15" s="162" t="str">
        <f t="shared" si="0"/>
        <v>Board Date
18/08/2016</v>
      </c>
      <c r="L15" s="54" t="str">
        <f t="shared" ca="1" si="1"/>
        <v>R</v>
      </c>
      <c r="M15" s="148"/>
      <c r="N15" s="120"/>
      <c r="O15" s="52"/>
      <c r="P15" s="121"/>
      <c r="Q15" s="120"/>
      <c r="R15" s="28"/>
      <c r="S15" s="28" t="s">
        <v>173</v>
      </c>
      <c r="T15" s="53" t="str">
        <f t="shared" si="2"/>
        <v/>
      </c>
      <c r="U15" s="53" t="str">
        <f t="shared" si="3"/>
        <v/>
      </c>
      <c r="V15" s="53" t="str">
        <f t="shared" si="4"/>
        <v/>
      </c>
      <c r="W15" s="54" t="str">
        <f t="shared" si="32"/>
        <v/>
      </c>
      <c r="X15" s="51"/>
      <c r="Y15" s="120"/>
      <c r="Z15" s="52"/>
      <c r="AA15" s="120"/>
      <c r="AB15" s="120"/>
      <c r="AC15" s="52"/>
      <c r="AD15" s="52"/>
      <c r="AE15" s="53" t="str">
        <f t="shared" si="5"/>
        <v/>
      </c>
      <c r="AF15" s="53" t="str">
        <f t="shared" si="6"/>
        <v/>
      </c>
      <c r="AG15" s="53" t="str">
        <f t="shared" si="7"/>
        <v/>
      </c>
      <c r="AH15" s="54" t="str">
        <f t="shared" si="8"/>
        <v/>
      </c>
      <c r="AI15" s="51"/>
      <c r="AJ15" s="120"/>
      <c r="AK15" s="52"/>
      <c r="AL15" s="120"/>
      <c r="AM15" s="120"/>
      <c r="AN15" s="52"/>
      <c r="AO15" s="52"/>
      <c r="AP15" s="53" t="str">
        <f t="shared" si="9"/>
        <v/>
      </c>
      <c r="AQ15" s="53" t="str">
        <f t="shared" si="10"/>
        <v/>
      </c>
      <c r="AR15" s="53" t="str">
        <f t="shared" si="11"/>
        <v/>
      </c>
      <c r="AS15" s="54" t="str">
        <f t="shared" si="12"/>
        <v/>
      </c>
      <c r="AT15" s="55">
        <v>42606</v>
      </c>
      <c r="AU15" s="121">
        <v>42646</v>
      </c>
      <c r="AV15" s="56">
        <v>42683</v>
      </c>
      <c r="AW15" s="121">
        <v>42692</v>
      </c>
      <c r="AX15" s="121">
        <v>42692</v>
      </c>
      <c r="AY15" s="45">
        <f t="shared" si="13"/>
        <v>42784</v>
      </c>
      <c r="AZ15" s="45"/>
      <c r="BA15" s="45"/>
      <c r="BB15" s="57" t="str">
        <f t="shared" si="14"/>
        <v>R</v>
      </c>
      <c r="BC15" s="57" t="str">
        <f t="shared" si="15"/>
        <v>A</v>
      </c>
      <c r="BD15" s="57" t="str">
        <f t="shared" si="16"/>
        <v>A</v>
      </c>
      <c r="BE15" s="58" t="str">
        <f t="shared" si="17"/>
        <v>A</v>
      </c>
      <c r="BF15" s="350">
        <v>174000</v>
      </c>
      <c r="BG15" s="351">
        <v>174000</v>
      </c>
      <c r="BH15" s="352">
        <f>VLOOKUP(A15,Finance!$A$3:$J$45,8,FALSE)</f>
        <v>0</v>
      </c>
      <c r="BI15" s="62">
        <v>174000</v>
      </c>
      <c r="BJ15" s="60"/>
      <c r="BK15" s="63">
        <f t="shared" si="18"/>
        <v>0</v>
      </c>
      <c r="BL15" s="63">
        <f t="shared" si="19"/>
        <v>-1</v>
      </c>
      <c r="BM15" s="64" t="str">
        <f t="shared" si="20"/>
        <v>G</v>
      </c>
      <c r="BN15" s="18" t="s">
        <v>562</v>
      </c>
      <c r="BO15" s="19" t="s">
        <v>561</v>
      </c>
      <c r="BP15" s="65" t="str">
        <f>IF(AND(BM15="",BE15="",AS15="",W15=""),"",IF(AND(BM15="G",BE15="G",AS15="G",W15="G"),"G",IF(OR(BM15="R",BE15="R",AS15="R",W15="R"),"R",VLOOKUP(CONCATENATE(W15,AS15,BE15,BM15),'Rag Coding'!A:B,2,FALSE))))</f>
        <v>G</v>
      </c>
      <c r="BQ15" s="37" t="str">
        <f>'Dashboard Page'!N16</f>
        <v>PM to finalise costs</v>
      </c>
      <c r="BR15" s="39" t="str">
        <f t="shared" ca="1" si="21"/>
        <v/>
      </c>
      <c r="BS15" s="39" t="str">
        <f t="shared" ca="1" si="22"/>
        <v/>
      </c>
      <c r="BT15" s="39" t="str">
        <f t="shared" ca="1" si="23"/>
        <v/>
      </c>
      <c r="BU15" s="39" t="str">
        <f t="shared" ca="1" si="24"/>
        <v/>
      </c>
      <c r="BV15" s="39" t="str">
        <f t="shared" ca="1" si="25"/>
        <v/>
      </c>
      <c r="BW15" s="39" t="str">
        <f t="shared" ca="1" si="26"/>
        <v/>
      </c>
      <c r="BX15" s="39" t="str">
        <f t="shared" ca="1" si="27"/>
        <v xml:space="preserve">Completed </v>
      </c>
      <c r="BY15" s="39" t="str">
        <f t="shared" ca="1" si="28"/>
        <v>9 day(s) late</v>
      </c>
      <c r="BZ15" s="39" t="str">
        <f t="shared" ca="1" si="29"/>
        <v>Under budget by £0</v>
      </c>
      <c r="CA15" s="39" t="str">
        <f t="shared" si="31"/>
        <v>Stage Gate 5</v>
      </c>
    </row>
    <row r="16" spans="1:79" ht="78.75" customHeight="1" x14ac:dyDescent="0.2">
      <c r="A16" s="228" t="s">
        <v>174</v>
      </c>
      <c r="B16" s="21" t="s">
        <v>175</v>
      </c>
      <c r="C16" s="21" t="s">
        <v>176</v>
      </c>
      <c r="D16" s="20" t="s">
        <v>84</v>
      </c>
      <c r="E16" s="20" t="s">
        <v>106</v>
      </c>
      <c r="F16" s="100"/>
      <c r="G16" s="100" t="s">
        <v>100</v>
      </c>
      <c r="H16" s="232">
        <v>42611</v>
      </c>
      <c r="I16" s="230">
        <f t="shared" si="30"/>
        <v>42642</v>
      </c>
      <c r="J16" s="231"/>
      <c r="K16" s="162" t="str">
        <f t="shared" si="0"/>
        <v>Board Date
29/09/2016</v>
      </c>
      <c r="L16" s="54" t="str">
        <f t="shared" ca="1" si="1"/>
        <v>R</v>
      </c>
      <c r="M16" s="148"/>
      <c r="N16" s="120"/>
      <c r="O16" s="52"/>
      <c r="P16" s="121"/>
      <c r="Q16" s="120"/>
      <c r="R16" s="28"/>
      <c r="S16" s="28"/>
      <c r="T16" s="53" t="str">
        <f t="shared" si="2"/>
        <v/>
      </c>
      <c r="U16" s="53" t="str">
        <f t="shared" si="3"/>
        <v/>
      </c>
      <c r="V16" s="53" t="str">
        <f t="shared" si="4"/>
        <v/>
      </c>
      <c r="W16" s="54" t="str">
        <f t="shared" si="32"/>
        <v/>
      </c>
      <c r="X16" s="51"/>
      <c r="Y16" s="120"/>
      <c r="Z16" s="52"/>
      <c r="AA16" s="120"/>
      <c r="AB16" s="120"/>
      <c r="AC16" s="52"/>
      <c r="AD16" s="52"/>
      <c r="AE16" s="53" t="str">
        <f t="shared" si="5"/>
        <v/>
      </c>
      <c r="AF16" s="53" t="str">
        <f t="shared" si="6"/>
        <v/>
      </c>
      <c r="AG16" s="53" t="str">
        <f t="shared" si="7"/>
        <v/>
      </c>
      <c r="AH16" s="54" t="str">
        <f t="shared" si="8"/>
        <v/>
      </c>
      <c r="AI16" s="51"/>
      <c r="AJ16" s="120"/>
      <c r="AK16" s="52"/>
      <c r="AL16" s="120"/>
      <c r="AM16" s="120"/>
      <c r="AN16" s="52"/>
      <c r="AO16" s="52"/>
      <c r="AP16" s="53" t="str">
        <f t="shared" si="9"/>
        <v/>
      </c>
      <c r="AQ16" s="53" t="str">
        <f t="shared" si="10"/>
        <v/>
      </c>
      <c r="AR16" s="53" t="str">
        <f t="shared" si="11"/>
        <v/>
      </c>
      <c r="AS16" s="54" t="str">
        <f t="shared" si="12"/>
        <v/>
      </c>
      <c r="AT16" s="55">
        <v>42671</v>
      </c>
      <c r="AU16" s="121">
        <v>42675</v>
      </c>
      <c r="AV16" s="56">
        <v>42727</v>
      </c>
      <c r="AW16" s="121">
        <v>42727</v>
      </c>
      <c r="AX16" s="121">
        <v>42724</v>
      </c>
      <c r="AY16" s="45">
        <f t="shared" si="13"/>
        <v>42814</v>
      </c>
      <c r="AZ16" s="45"/>
      <c r="BA16" s="45"/>
      <c r="BB16" s="57" t="str">
        <f t="shared" si="14"/>
        <v>G</v>
      </c>
      <c r="BC16" s="57" t="str">
        <f t="shared" si="15"/>
        <v>G</v>
      </c>
      <c r="BD16" s="57" t="str">
        <f t="shared" si="16"/>
        <v>G</v>
      </c>
      <c r="BE16" s="58" t="str">
        <f t="shared" si="17"/>
        <v>G</v>
      </c>
      <c r="BF16" s="350">
        <v>1333000</v>
      </c>
      <c r="BG16" s="351">
        <v>1333000</v>
      </c>
      <c r="BH16" s="352">
        <f>VLOOKUP(A16,Finance!$A$3:$J$45,8,FALSE)</f>
        <v>0</v>
      </c>
      <c r="BI16" s="62">
        <v>1333000</v>
      </c>
      <c r="BJ16" s="60"/>
      <c r="BK16" s="63">
        <f t="shared" si="18"/>
        <v>0</v>
      </c>
      <c r="BL16" s="63">
        <f t="shared" si="19"/>
        <v>-1</v>
      </c>
      <c r="BM16" s="64" t="str">
        <f t="shared" si="20"/>
        <v>G</v>
      </c>
      <c r="BN16" s="18" t="s">
        <v>337</v>
      </c>
      <c r="BO16" s="19" t="s">
        <v>338</v>
      </c>
      <c r="BP16" s="65" t="str">
        <f>IF(AND(BM16="",BE16="",AS16="",W16=""),"",IF(AND(BM16="G",BE16="G",AS16="G",W16="G"),"G",IF(OR(BM16="R",BE16="R",AS16="R",W16="R"),"R",VLOOKUP(CONCATENATE(W16,AS16,BE16,BM16),'Rag Coding'!A:B,2,FALSE))))</f>
        <v>G</v>
      </c>
      <c r="BQ16" s="37" t="str">
        <f>'Dashboard Page'!N17</f>
        <v>PM to finalise costs</v>
      </c>
      <c r="BR16" s="39" t="str">
        <f t="shared" ca="1" si="21"/>
        <v/>
      </c>
      <c r="BS16" s="39" t="str">
        <f t="shared" ca="1" si="22"/>
        <v/>
      </c>
      <c r="BT16" s="39" t="str">
        <f t="shared" ca="1" si="23"/>
        <v/>
      </c>
      <c r="BU16" s="39" t="str">
        <f t="shared" ca="1" si="24"/>
        <v/>
      </c>
      <c r="BV16" s="39" t="str">
        <f t="shared" ca="1" si="25"/>
        <v/>
      </c>
      <c r="BW16" s="39" t="str">
        <f t="shared" ca="1" si="26"/>
        <v/>
      </c>
      <c r="BX16" s="39" t="str">
        <f t="shared" ca="1" si="27"/>
        <v xml:space="preserve">Completed </v>
      </c>
      <c r="BY16" s="39" t="str">
        <f t="shared" ca="1" si="28"/>
        <v>3 day(s) early</v>
      </c>
      <c r="BZ16" s="39" t="str">
        <f t="shared" ca="1" si="29"/>
        <v>Under budget by £0</v>
      </c>
      <c r="CA16" s="39" t="str">
        <f t="shared" si="31"/>
        <v>Stage Gate 5</v>
      </c>
    </row>
    <row r="17" spans="1:79" ht="101.25" customHeight="1" x14ac:dyDescent="0.2">
      <c r="A17" s="228" t="s">
        <v>312</v>
      </c>
      <c r="B17" s="21"/>
      <c r="C17" s="21" t="s">
        <v>180</v>
      </c>
      <c r="D17" s="20" t="s">
        <v>92</v>
      </c>
      <c r="E17" s="20" t="s">
        <v>104</v>
      </c>
      <c r="F17" s="100"/>
      <c r="G17" s="100" t="s">
        <v>178</v>
      </c>
      <c r="H17" s="232">
        <v>42005</v>
      </c>
      <c r="I17" s="230">
        <f t="shared" si="30"/>
        <v>42036</v>
      </c>
      <c r="J17" s="231"/>
      <c r="K17" s="162" t="str">
        <f t="shared" si="0"/>
        <v>Board Date
01/02/2015</v>
      </c>
      <c r="L17" s="54" t="str">
        <f t="shared" ca="1" si="1"/>
        <v>R</v>
      </c>
      <c r="M17" s="148"/>
      <c r="N17" s="120"/>
      <c r="O17" s="52"/>
      <c r="P17" s="121"/>
      <c r="Q17" s="120"/>
      <c r="R17" s="28"/>
      <c r="S17" s="28" t="s">
        <v>181</v>
      </c>
      <c r="T17" s="53" t="str">
        <f t="shared" si="2"/>
        <v/>
      </c>
      <c r="U17" s="53" t="str">
        <f t="shared" si="3"/>
        <v/>
      </c>
      <c r="V17" s="53" t="str">
        <f t="shared" si="4"/>
        <v/>
      </c>
      <c r="W17" s="54" t="str">
        <f t="shared" si="32"/>
        <v/>
      </c>
      <c r="X17" s="51"/>
      <c r="Y17" s="120"/>
      <c r="Z17" s="52"/>
      <c r="AA17" s="120"/>
      <c r="AB17" s="120"/>
      <c r="AC17" s="52"/>
      <c r="AD17" s="52"/>
      <c r="AE17" s="53" t="str">
        <f t="shared" si="5"/>
        <v/>
      </c>
      <c r="AF17" s="53" t="str">
        <f t="shared" si="6"/>
        <v/>
      </c>
      <c r="AG17" s="53" t="str">
        <f t="shared" si="7"/>
        <v/>
      </c>
      <c r="AH17" s="54" t="str">
        <f t="shared" si="8"/>
        <v/>
      </c>
      <c r="AI17" s="51"/>
      <c r="AJ17" s="120"/>
      <c r="AK17" s="52"/>
      <c r="AL17" s="120"/>
      <c r="AM17" s="120"/>
      <c r="AN17" s="52"/>
      <c r="AO17" s="52"/>
      <c r="AP17" s="53" t="str">
        <f t="shared" si="9"/>
        <v/>
      </c>
      <c r="AQ17" s="53" t="str">
        <f t="shared" si="10"/>
        <v/>
      </c>
      <c r="AR17" s="53" t="str">
        <f t="shared" si="11"/>
        <v/>
      </c>
      <c r="AS17" s="54" t="str">
        <f t="shared" si="12"/>
        <v/>
      </c>
      <c r="AT17" s="55">
        <v>42189</v>
      </c>
      <c r="AU17" s="121">
        <v>42189</v>
      </c>
      <c r="AV17" s="56">
        <v>42697</v>
      </c>
      <c r="AW17" s="121">
        <v>42697</v>
      </c>
      <c r="AX17" s="121">
        <v>42593</v>
      </c>
      <c r="AY17" s="45">
        <f t="shared" si="13"/>
        <v>42685</v>
      </c>
      <c r="AZ17" s="45"/>
      <c r="BA17" s="45" t="s">
        <v>182</v>
      </c>
      <c r="BB17" s="57" t="str">
        <f t="shared" si="14"/>
        <v>G</v>
      </c>
      <c r="BC17" s="57" t="str">
        <f t="shared" si="15"/>
        <v>G</v>
      </c>
      <c r="BD17" s="57" t="str">
        <f t="shared" si="16"/>
        <v>G</v>
      </c>
      <c r="BE17" s="58" t="str">
        <f t="shared" si="17"/>
        <v>G</v>
      </c>
      <c r="BF17" s="350">
        <v>647000</v>
      </c>
      <c r="BG17" s="351">
        <v>479000</v>
      </c>
      <c r="BH17" s="352">
        <f>VLOOKUP(A17,Finance!$A$3:$J$45,8,FALSE)</f>
        <v>0</v>
      </c>
      <c r="BI17" s="62"/>
      <c r="BJ17" s="60"/>
      <c r="BK17" s="63">
        <f t="shared" si="18"/>
        <v>-0.25965996908809891</v>
      </c>
      <c r="BL17" s="63">
        <f t="shared" si="19"/>
        <v>-1</v>
      </c>
      <c r="BM17" s="64" t="str">
        <f t="shared" si="20"/>
        <v>G</v>
      </c>
      <c r="BN17" s="18"/>
      <c r="BO17" s="29" t="s">
        <v>630</v>
      </c>
      <c r="BP17" s="65" t="str">
        <f>IF(AND(BM17="",BE17="",AS17="",W17=""),"",IF(AND(BM17="G",BE17="G",AS17="G",W17="G"),"G",IF(OR(BM17="R",BE17="R",AS17="R",W17="R"),"R",VLOOKUP(CONCATENATE(W17,AS17,BE17,BM17),'Rag Coding'!A:B,2,FALSE))))</f>
        <v>G</v>
      </c>
      <c r="BQ17" s="37" t="str">
        <f>'Dashboard Page'!N18</f>
        <v>Stage Gate 5 over due by 39 days</v>
      </c>
      <c r="BR17" s="39" t="str">
        <f t="shared" ca="1" si="21"/>
        <v/>
      </c>
      <c r="BS17" s="39" t="str">
        <f t="shared" ca="1" si="22"/>
        <v/>
      </c>
      <c r="BT17" s="39" t="str">
        <f t="shared" ca="1" si="23"/>
        <v/>
      </c>
      <c r="BU17" s="39" t="str">
        <f t="shared" ca="1" si="24"/>
        <v/>
      </c>
      <c r="BV17" s="39" t="str">
        <f t="shared" ca="1" si="25"/>
        <v/>
      </c>
      <c r="BW17" s="39" t="str">
        <f t="shared" ca="1" si="26"/>
        <v/>
      </c>
      <c r="BX17" s="39" t="str">
        <f t="shared" ca="1" si="27"/>
        <v xml:space="preserve">Completed </v>
      </c>
      <c r="BY17" s="39" t="str">
        <f t="shared" ca="1" si="28"/>
        <v>104 day(s) early</v>
      </c>
      <c r="BZ17" s="39" t="str">
        <f t="shared" ca="1" si="29"/>
        <v>Under budget by £168000</v>
      </c>
      <c r="CA17" s="39" t="str">
        <f t="shared" si="31"/>
        <v>Stage Gate 5</v>
      </c>
    </row>
    <row r="18" spans="1:79" ht="45" customHeight="1" x14ac:dyDescent="0.2">
      <c r="A18" s="228" t="s">
        <v>320</v>
      </c>
      <c r="B18" s="21" t="s">
        <v>347</v>
      </c>
      <c r="C18" s="21" t="s">
        <v>348</v>
      </c>
      <c r="D18" s="20" t="s">
        <v>92</v>
      </c>
      <c r="E18" s="20" t="s">
        <v>109</v>
      </c>
      <c r="F18" s="100"/>
      <c r="G18" s="100" t="s">
        <v>178</v>
      </c>
      <c r="H18" s="232">
        <v>42478</v>
      </c>
      <c r="I18" s="230">
        <f t="shared" si="30"/>
        <v>42508</v>
      </c>
      <c r="J18" s="231"/>
      <c r="K18" s="162" t="str">
        <f t="shared" si="0"/>
        <v>Board Date
18/05/2016</v>
      </c>
      <c r="L18" s="54" t="str">
        <f t="shared" ca="1" si="1"/>
        <v>R</v>
      </c>
      <c r="M18" s="148"/>
      <c r="N18" s="120"/>
      <c r="O18" s="52"/>
      <c r="P18" s="121"/>
      <c r="Q18" s="120"/>
      <c r="R18" s="28"/>
      <c r="S18" s="28"/>
      <c r="T18" s="53" t="str">
        <f t="shared" si="2"/>
        <v/>
      </c>
      <c r="U18" s="53" t="str">
        <f t="shared" si="3"/>
        <v/>
      </c>
      <c r="V18" s="53" t="str">
        <f t="shared" si="4"/>
        <v/>
      </c>
      <c r="W18" s="54" t="str">
        <f t="shared" si="32"/>
        <v/>
      </c>
      <c r="X18" s="51"/>
      <c r="Y18" s="120"/>
      <c r="Z18" s="52"/>
      <c r="AA18" s="120"/>
      <c r="AB18" s="120"/>
      <c r="AC18" s="52"/>
      <c r="AD18" s="52"/>
      <c r="AE18" s="53" t="str">
        <f t="shared" si="5"/>
        <v/>
      </c>
      <c r="AF18" s="53" t="str">
        <f t="shared" si="6"/>
        <v/>
      </c>
      <c r="AG18" s="53" t="str">
        <f t="shared" si="7"/>
        <v/>
      </c>
      <c r="AH18" s="54" t="str">
        <f t="shared" si="8"/>
        <v/>
      </c>
      <c r="AI18" s="51"/>
      <c r="AJ18" s="120"/>
      <c r="AK18" s="52"/>
      <c r="AL18" s="120"/>
      <c r="AM18" s="120"/>
      <c r="AN18" s="52"/>
      <c r="AO18" s="52"/>
      <c r="AP18" s="53" t="str">
        <f t="shared" si="9"/>
        <v/>
      </c>
      <c r="AQ18" s="53" t="str">
        <f t="shared" si="10"/>
        <v/>
      </c>
      <c r="AR18" s="53" t="str">
        <f t="shared" si="11"/>
        <v/>
      </c>
      <c r="AS18" s="54" t="str">
        <f t="shared" si="12"/>
        <v/>
      </c>
      <c r="AT18" s="55">
        <v>42692</v>
      </c>
      <c r="AU18" s="121">
        <v>42326</v>
      </c>
      <c r="AV18" s="56">
        <v>42711</v>
      </c>
      <c r="AW18" s="121">
        <v>42711</v>
      </c>
      <c r="AX18" s="121">
        <v>42711</v>
      </c>
      <c r="AY18" s="45">
        <f t="shared" si="13"/>
        <v>42801</v>
      </c>
      <c r="AZ18" s="45"/>
      <c r="BA18" s="45"/>
      <c r="BB18" s="57" t="str">
        <f t="shared" si="14"/>
        <v>G</v>
      </c>
      <c r="BC18" s="57" t="str">
        <f t="shared" si="15"/>
        <v>G</v>
      </c>
      <c r="BD18" s="57" t="str">
        <f t="shared" si="16"/>
        <v>G</v>
      </c>
      <c r="BE18" s="58" t="str">
        <f t="shared" si="17"/>
        <v>G</v>
      </c>
      <c r="BF18" s="350">
        <v>215160</v>
      </c>
      <c r="BG18" s="351">
        <v>155871</v>
      </c>
      <c r="BH18" s="352">
        <f>VLOOKUP(A18,Finance!$A$3:$J$45,8,FALSE)</f>
        <v>0</v>
      </c>
      <c r="BI18" s="62"/>
      <c r="BJ18" s="60"/>
      <c r="BK18" s="63">
        <f t="shared" si="18"/>
        <v>-0.27555772448410487</v>
      </c>
      <c r="BL18" s="63">
        <f t="shared" si="19"/>
        <v>-1</v>
      </c>
      <c r="BM18" s="64" t="str">
        <f t="shared" si="20"/>
        <v>G</v>
      </c>
      <c r="BN18" s="18"/>
      <c r="BO18" s="19" t="s">
        <v>575</v>
      </c>
      <c r="BP18" s="65" t="str">
        <f>IF(AND(BM18="",BE18="",AS18="",W18=""),"",IF(AND(BM18="G",BE18="G",AS18="G",W18="G"),"G",IF(OR(BM18="R",BE18="R",AS18="R",W18="R"),"R",VLOOKUP(CONCATENATE(W18,AS18,BE18,BM18),'Rag Coding'!A:B,2,FALSE))))</f>
        <v>G</v>
      </c>
      <c r="BQ18" s="37" t="str">
        <f>'Dashboard Page'!N19</f>
        <v>No Issue</v>
      </c>
      <c r="BR18" s="39" t="str">
        <f t="shared" ca="1" si="21"/>
        <v/>
      </c>
      <c r="BS18" s="39" t="str">
        <f t="shared" ca="1" si="22"/>
        <v/>
      </c>
      <c r="BT18" s="39" t="str">
        <f t="shared" ca="1" si="23"/>
        <v/>
      </c>
      <c r="BU18" s="39" t="str">
        <f t="shared" ca="1" si="24"/>
        <v/>
      </c>
      <c r="BV18" s="39" t="str">
        <f t="shared" ca="1" si="25"/>
        <v/>
      </c>
      <c r="BW18" s="39" t="str">
        <f t="shared" ca="1" si="26"/>
        <v/>
      </c>
      <c r="BX18" s="39" t="str">
        <f t="shared" ca="1" si="27"/>
        <v xml:space="preserve">Completed </v>
      </c>
      <c r="BY18" s="39" t="str">
        <f t="shared" ca="1" si="28"/>
        <v>on time</v>
      </c>
      <c r="BZ18" s="39" t="str">
        <f t="shared" ca="1" si="29"/>
        <v>Under budget by £59289</v>
      </c>
      <c r="CA18" s="39" t="str">
        <f t="shared" si="31"/>
        <v>Stage Gate 5</v>
      </c>
    </row>
    <row r="19" spans="1:79" ht="56.25" customHeight="1" x14ac:dyDescent="0.2">
      <c r="A19" s="228" t="s">
        <v>331</v>
      </c>
      <c r="B19" s="21" t="s">
        <v>517</v>
      </c>
      <c r="C19" s="21" t="s">
        <v>349</v>
      </c>
      <c r="D19" s="20" t="s">
        <v>92</v>
      </c>
      <c r="E19" s="20" t="s">
        <v>109</v>
      </c>
      <c r="F19" s="100"/>
      <c r="G19" s="100" t="s">
        <v>99</v>
      </c>
      <c r="H19" s="232">
        <v>42576</v>
      </c>
      <c r="I19" s="230">
        <f t="shared" si="30"/>
        <v>42607</v>
      </c>
      <c r="J19" s="231"/>
      <c r="K19" s="162" t="str">
        <f t="shared" si="0"/>
        <v>Board Date
25/08/2016</v>
      </c>
      <c r="L19" s="54" t="str">
        <f t="shared" ca="1" si="1"/>
        <v>R</v>
      </c>
      <c r="M19" s="148"/>
      <c r="N19" s="120"/>
      <c r="O19" s="52"/>
      <c r="P19" s="121"/>
      <c r="Q19" s="120"/>
      <c r="R19" s="28"/>
      <c r="S19" s="28"/>
      <c r="T19" s="53" t="str">
        <f t="shared" si="2"/>
        <v/>
      </c>
      <c r="U19" s="53" t="str">
        <f t="shared" si="3"/>
        <v/>
      </c>
      <c r="V19" s="53" t="str">
        <f t="shared" si="4"/>
        <v/>
      </c>
      <c r="W19" s="54" t="str">
        <f t="shared" si="32"/>
        <v/>
      </c>
      <c r="X19" s="51"/>
      <c r="Y19" s="120"/>
      <c r="Z19" s="52"/>
      <c r="AA19" s="120"/>
      <c r="AB19" s="120"/>
      <c r="AC19" s="52"/>
      <c r="AD19" s="52"/>
      <c r="AE19" s="53" t="str">
        <f t="shared" si="5"/>
        <v/>
      </c>
      <c r="AF19" s="53" t="str">
        <f t="shared" si="6"/>
        <v/>
      </c>
      <c r="AG19" s="53" t="str">
        <f t="shared" si="7"/>
        <v/>
      </c>
      <c r="AH19" s="54" t="str">
        <f t="shared" si="8"/>
        <v/>
      </c>
      <c r="AI19" s="51"/>
      <c r="AJ19" s="120"/>
      <c r="AK19" s="52"/>
      <c r="AL19" s="120"/>
      <c r="AM19" s="120"/>
      <c r="AN19" s="52"/>
      <c r="AO19" s="52"/>
      <c r="AP19" s="53" t="str">
        <f t="shared" si="9"/>
        <v/>
      </c>
      <c r="AQ19" s="53" t="str">
        <f t="shared" si="10"/>
        <v/>
      </c>
      <c r="AR19" s="53" t="str">
        <f t="shared" si="11"/>
        <v/>
      </c>
      <c r="AS19" s="54" t="str">
        <f t="shared" si="12"/>
        <v/>
      </c>
      <c r="AT19" s="55">
        <v>42744</v>
      </c>
      <c r="AU19" s="121">
        <v>42744</v>
      </c>
      <c r="AV19" s="56">
        <v>42779</v>
      </c>
      <c r="AW19" s="121">
        <v>42779</v>
      </c>
      <c r="AX19" s="121">
        <v>42756</v>
      </c>
      <c r="AY19" s="45">
        <f t="shared" si="13"/>
        <v>42846</v>
      </c>
      <c r="AZ19" s="45"/>
      <c r="BA19" s="45"/>
      <c r="BB19" s="57" t="str">
        <f t="shared" si="14"/>
        <v>G</v>
      </c>
      <c r="BC19" s="57" t="str">
        <f t="shared" si="15"/>
        <v>G</v>
      </c>
      <c r="BD19" s="57" t="str">
        <f t="shared" si="16"/>
        <v>G</v>
      </c>
      <c r="BE19" s="58" t="str">
        <f t="shared" si="17"/>
        <v>G</v>
      </c>
      <c r="BF19" s="350">
        <v>42000</v>
      </c>
      <c r="BG19" s="351">
        <v>42000</v>
      </c>
      <c r="BH19" s="352">
        <f>VLOOKUP(A19,Finance!$A$3:$J$45,8,FALSE)</f>
        <v>0</v>
      </c>
      <c r="BI19" s="62"/>
      <c r="BJ19" s="60"/>
      <c r="BK19" s="63">
        <f t="shared" si="18"/>
        <v>0</v>
      </c>
      <c r="BL19" s="63">
        <f t="shared" si="19"/>
        <v>-1</v>
      </c>
      <c r="BM19" s="64" t="str">
        <f t="shared" si="20"/>
        <v>G</v>
      </c>
      <c r="BN19" s="18" t="s">
        <v>610</v>
      </c>
      <c r="BO19" s="19" t="s">
        <v>672</v>
      </c>
      <c r="BP19" s="65" t="str">
        <f>IF(AND(BM19="",BE19="",AS19="",W19=""),"",IF(AND(BM19="G",BE19="G",AS19="G",W19="G"),"G",IF(OR(BM19="R",BE19="R",AS19="R",W19="R"),"R",VLOOKUP(CONCATENATE(W19,AS19,BE19,BM19),'Rag Coding'!A:B,2,FALSE))))</f>
        <v>G</v>
      </c>
      <c r="BQ19" s="37" t="str">
        <f>'Dashboard Page'!N20</f>
        <v>No Issue</v>
      </c>
      <c r="BR19" s="39" t="str">
        <f t="shared" ca="1" si="21"/>
        <v/>
      </c>
      <c r="BS19" s="39" t="str">
        <f t="shared" ca="1" si="22"/>
        <v/>
      </c>
      <c r="BT19" s="39" t="str">
        <f t="shared" ca="1" si="23"/>
        <v/>
      </c>
      <c r="BU19" s="39" t="str">
        <f t="shared" ca="1" si="24"/>
        <v/>
      </c>
      <c r="BV19" s="39" t="str">
        <f t="shared" ca="1" si="25"/>
        <v/>
      </c>
      <c r="BW19" s="39" t="str">
        <f t="shared" ca="1" si="26"/>
        <v/>
      </c>
      <c r="BX19" s="39" t="str">
        <f t="shared" ca="1" si="27"/>
        <v xml:space="preserve">Completed </v>
      </c>
      <c r="BY19" s="39" t="str">
        <f t="shared" ca="1" si="28"/>
        <v>23 day(s) early</v>
      </c>
      <c r="BZ19" s="39" t="str">
        <f t="shared" ca="1" si="29"/>
        <v>Under budget by £0</v>
      </c>
      <c r="CA19" s="39" t="str">
        <f t="shared" si="31"/>
        <v>Stage Gate 5</v>
      </c>
    </row>
    <row r="20" spans="1:79" ht="90" customHeight="1" x14ac:dyDescent="0.2">
      <c r="A20" s="228" t="s">
        <v>314</v>
      </c>
      <c r="B20" s="21" t="s">
        <v>350</v>
      </c>
      <c r="C20" s="21" t="s">
        <v>351</v>
      </c>
      <c r="D20" s="20" t="s">
        <v>93</v>
      </c>
      <c r="E20" s="20" t="s">
        <v>105</v>
      </c>
      <c r="F20" s="100"/>
      <c r="G20" s="100" t="s">
        <v>100</v>
      </c>
      <c r="H20" s="232">
        <v>42370</v>
      </c>
      <c r="I20" s="230">
        <f t="shared" si="30"/>
        <v>42401</v>
      </c>
      <c r="J20" s="231"/>
      <c r="K20" s="162" t="str">
        <f t="shared" si="0"/>
        <v>Board Date
01/02/2016</v>
      </c>
      <c r="L20" s="54" t="str">
        <f t="shared" ca="1" si="1"/>
        <v>R</v>
      </c>
      <c r="M20" s="148"/>
      <c r="N20" s="120"/>
      <c r="O20" s="52"/>
      <c r="P20" s="121"/>
      <c r="Q20" s="120"/>
      <c r="R20" s="28"/>
      <c r="S20" s="28"/>
      <c r="T20" s="53" t="str">
        <f t="shared" si="2"/>
        <v/>
      </c>
      <c r="U20" s="53" t="str">
        <f t="shared" si="3"/>
        <v/>
      </c>
      <c r="V20" s="53" t="str">
        <f t="shared" si="4"/>
        <v/>
      </c>
      <c r="W20" s="54" t="str">
        <f t="shared" si="32"/>
        <v/>
      </c>
      <c r="X20" s="51"/>
      <c r="Y20" s="120"/>
      <c r="Z20" s="52"/>
      <c r="AA20" s="120"/>
      <c r="AB20" s="120"/>
      <c r="AC20" s="52"/>
      <c r="AD20" s="52"/>
      <c r="AE20" s="53" t="str">
        <f t="shared" si="5"/>
        <v/>
      </c>
      <c r="AF20" s="53" t="str">
        <f t="shared" si="6"/>
        <v/>
      </c>
      <c r="AG20" s="53" t="str">
        <f t="shared" si="7"/>
        <v/>
      </c>
      <c r="AH20" s="54" t="str">
        <f t="shared" si="8"/>
        <v/>
      </c>
      <c r="AI20" s="51"/>
      <c r="AJ20" s="120"/>
      <c r="AK20" s="52"/>
      <c r="AL20" s="120"/>
      <c r="AM20" s="120"/>
      <c r="AN20" s="52"/>
      <c r="AO20" s="52"/>
      <c r="AP20" s="53" t="str">
        <f t="shared" si="9"/>
        <v/>
      </c>
      <c r="AQ20" s="53" t="str">
        <f t="shared" si="10"/>
        <v/>
      </c>
      <c r="AR20" s="53" t="str">
        <f t="shared" si="11"/>
        <v/>
      </c>
      <c r="AS20" s="54" t="str">
        <f t="shared" si="12"/>
        <v/>
      </c>
      <c r="AT20" s="55"/>
      <c r="AU20" s="121"/>
      <c r="AV20" s="56">
        <v>42415</v>
      </c>
      <c r="AW20" s="121">
        <v>42415</v>
      </c>
      <c r="AX20" s="121">
        <v>42415</v>
      </c>
      <c r="AY20" s="45">
        <f t="shared" si="13"/>
        <v>42505</v>
      </c>
      <c r="AZ20" s="45"/>
      <c r="BA20" s="45"/>
      <c r="BB20" s="57" t="str">
        <f t="shared" si="14"/>
        <v>G</v>
      </c>
      <c r="BC20" s="57" t="str">
        <f t="shared" si="15"/>
        <v>G</v>
      </c>
      <c r="BD20" s="57" t="str">
        <f t="shared" si="16"/>
        <v>G</v>
      </c>
      <c r="BE20" s="58" t="str">
        <f t="shared" si="17"/>
        <v>G</v>
      </c>
      <c r="BF20" s="350"/>
      <c r="BG20" s="351"/>
      <c r="BH20" s="352">
        <f>VLOOKUP(A20,Finance!$A$3:$J$45,8,FALSE)</f>
        <v>0</v>
      </c>
      <c r="BI20" s="62"/>
      <c r="BJ20" s="60"/>
      <c r="BK20" s="63" t="e">
        <f t="shared" si="18"/>
        <v>#DIV/0!</v>
      </c>
      <c r="BL20" s="63" t="e">
        <f t="shared" si="19"/>
        <v>#DIV/0!</v>
      </c>
      <c r="BM20" s="64" t="str">
        <f t="shared" si="20"/>
        <v/>
      </c>
      <c r="BN20" s="18"/>
      <c r="BO20" s="19" t="s">
        <v>627</v>
      </c>
      <c r="BP20" s="65" t="str">
        <f>IF(AND(BM20="",BE20="",AS20="",W20=""),"",IF(AND(BM20="G",BE20="G",AS20="G",W20="G"),"G",IF(OR(BM20="R",BE20="R",AS20="R",W20="R"),"R",VLOOKUP(CONCATENATE(W20,AS20,BE20,BM20),'Rag Coding'!A:B,2,FALSE))))</f>
        <v>G</v>
      </c>
      <c r="BQ20" s="37" t="str">
        <f>'Dashboard Page'!N21</f>
        <v>Stage gate 5 overdue by 239 days
Issue a close out report noting the low quality drawings any new drawings will have to be a new project
waiting on accounts payable to find out where final payment went</v>
      </c>
      <c r="BR20" s="39" t="str">
        <f t="shared" ca="1" si="21"/>
        <v/>
      </c>
      <c r="BS20" s="39" t="str">
        <f t="shared" ca="1" si="22"/>
        <v/>
      </c>
      <c r="BT20" s="39" t="str">
        <f t="shared" ca="1" si="23"/>
        <v/>
      </c>
      <c r="BU20" s="39" t="str">
        <f t="shared" ca="1" si="24"/>
        <v/>
      </c>
      <c r="BV20" s="39" t="str">
        <f t="shared" ca="1" si="25"/>
        <v/>
      </c>
      <c r="BW20" s="39" t="str">
        <f t="shared" ca="1" si="26"/>
        <v/>
      </c>
      <c r="BX20" s="39" t="str">
        <f t="shared" ca="1" si="27"/>
        <v/>
      </c>
      <c r="BY20" s="39" t="str">
        <f t="shared" ca="1" si="28"/>
        <v/>
      </c>
      <c r="BZ20" s="39" t="str">
        <f t="shared" ca="1" si="29"/>
        <v/>
      </c>
      <c r="CA20" s="39" t="str">
        <f t="shared" si="31"/>
        <v>Stage Gate 5</v>
      </c>
    </row>
    <row r="21" spans="1:79" ht="63" customHeight="1" x14ac:dyDescent="0.2">
      <c r="A21" s="228" t="s">
        <v>365</v>
      </c>
      <c r="B21" s="21"/>
      <c r="C21" s="21" t="s">
        <v>366</v>
      </c>
      <c r="D21" s="20" t="s">
        <v>87</v>
      </c>
      <c r="E21" s="20" t="s">
        <v>264</v>
      </c>
      <c r="F21" s="100" t="s">
        <v>599</v>
      </c>
      <c r="G21" s="100" t="s">
        <v>99</v>
      </c>
      <c r="H21" s="233">
        <v>42689</v>
      </c>
      <c r="I21" s="234">
        <f>IF(H21="","",DATE(YEAR(H21),MONTH(H21)+2,DAY(H21)+3))</f>
        <v>42753</v>
      </c>
      <c r="J21" s="235"/>
      <c r="K21" s="162" t="str">
        <f t="shared" si="0"/>
        <v>Board Date
18/01/2017</v>
      </c>
      <c r="L21" s="54" t="str">
        <f t="shared" ca="1" si="1"/>
        <v>R</v>
      </c>
      <c r="M21" s="148"/>
      <c r="N21" s="120"/>
      <c r="O21" s="52"/>
      <c r="P21" s="121"/>
      <c r="Q21" s="120"/>
      <c r="R21" s="28"/>
      <c r="S21" s="28"/>
      <c r="T21" s="53" t="str">
        <f t="shared" si="2"/>
        <v/>
      </c>
      <c r="U21" s="53" t="str">
        <f t="shared" si="3"/>
        <v/>
      </c>
      <c r="V21" s="53" t="str">
        <f t="shared" si="4"/>
        <v/>
      </c>
      <c r="W21" s="54" t="str">
        <f t="shared" si="32"/>
        <v/>
      </c>
      <c r="X21" s="51"/>
      <c r="Y21" s="120"/>
      <c r="Z21" s="52"/>
      <c r="AA21" s="120"/>
      <c r="AB21" s="120"/>
      <c r="AC21" s="52"/>
      <c r="AD21" s="52"/>
      <c r="AE21" s="53" t="str">
        <f t="shared" si="5"/>
        <v/>
      </c>
      <c r="AF21" s="53" t="str">
        <f t="shared" si="6"/>
        <v/>
      </c>
      <c r="AG21" s="53" t="str">
        <f t="shared" si="7"/>
        <v/>
      </c>
      <c r="AH21" s="54" t="str">
        <f t="shared" si="8"/>
        <v/>
      </c>
      <c r="AI21" s="51"/>
      <c r="AJ21" s="120"/>
      <c r="AK21" s="52"/>
      <c r="AL21" s="120"/>
      <c r="AM21" s="120"/>
      <c r="AN21" s="52"/>
      <c r="AO21" s="52"/>
      <c r="AP21" s="53" t="str">
        <f t="shared" si="9"/>
        <v/>
      </c>
      <c r="AQ21" s="53" t="str">
        <f t="shared" si="10"/>
        <v/>
      </c>
      <c r="AR21" s="53" t="str">
        <f t="shared" si="11"/>
        <v/>
      </c>
      <c r="AS21" s="54" t="str">
        <f t="shared" si="12"/>
        <v/>
      </c>
      <c r="AT21" s="55"/>
      <c r="AU21" s="121"/>
      <c r="AV21" s="56"/>
      <c r="AW21" s="121"/>
      <c r="AX21" s="121"/>
      <c r="AY21" s="45" t="str">
        <f t="shared" si="13"/>
        <v/>
      </c>
      <c r="AZ21" s="45"/>
      <c r="BA21" s="45"/>
      <c r="BB21" s="57" t="str">
        <f t="shared" si="14"/>
        <v/>
      </c>
      <c r="BC21" s="57" t="str">
        <f t="shared" si="15"/>
        <v/>
      </c>
      <c r="BD21" s="57" t="str">
        <f t="shared" si="16"/>
        <v/>
      </c>
      <c r="BE21" s="58" t="str">
        <f t="shared" si="17"/>
        <v/>
      </c>
      <c r="BF21" s="350">
        <v>288000</v>
      </c>
      <c r="BG21" s="350">
        <v>288000</v>
      </c>
      <c r="BH21" s="352">
        <f>VLOOKUP(A21,Finance!$A$3:$J$45,8,FALSE)</f>
        <v>0</v>
      </c>
      <c r="BI21" s="59">
        <v>288000</v>
      </c>
      <c r="BJ21" s="60"/>
      <c r="BK21" s="63">
        <f t="shared" si="18"/>
        <v>0</v>
      </c>
      <c r="BL21" s="63">
        <f t="shared" si="19"/>
        <v>-1</v>
      </c>
      <c r="BM21" s="64" t="str">
        <f t="shared" si="20"/>
        <v>G</v>
      </c>
      <c r="BN21" s="18" t="s">
        <v>500</v>
      </c>
      <c r="BO21" s="129" t="s">
        <v>606</v>
      </c>
      <c r="BP21" s="65" t="str">
        <f>IF(AND(BM21="",BE21="",AS21="",W21=""),"",IF(AND(BM21="G",BE21="G",AS21="G",W21="G"),"G",IF(OR(BM21="R",BE21="R",AS21="R",W21="R"),"R",VLOOKUP(CONCATENATE(W21,AS21,BE21,BM21),'Rag Coding'!A:B,2,FALSE))))</f>
        <v>G</v>
      </c>
      <c r="BQ21" s="37" t="str">
        <f>'Dashboard Page'!N22</f>
        <v>Stage Gate 1 date has now been missed.  Project Manger to submit at the next board meeting 1st February 2017.</v>
      </c>
      <c r="BR21" s="39" t="str">
        <f t="shared" ca="1" si="21"/>
        <v/>
      </c>
      <c r="BS21" s="39" t="str">
        <f t="shared" ca="1" si="22"/>
        <v/>
      </c>
      <c r="BT21" s="39" t="str">
        <f t="shared" ca="1" si="23"/>
        <v/>
      </c>
      <c r="BU21" s="39" t="str">
        <f t="shared" ca="1" si="24"/>
        <v/>
      </c>
      <c r="BV21" s="39" t="str">
        <f t="shared" ca="1" si="25"/>
        <v/>
      </c>
      <c r="BW21" s="39" t="str">
        <f t="shared" ca="1" si="26"/>
        <v/>
      </c>
      <c r="BX21" s="39" t="str">
        <f t="shared" ca="1" si="27"/>
        <v/>
      </c>
      <c r="BY21" s="39" t="str">
        <f t="shared" ca="1" si="28"/>
        <v/>
      </c>
      <c r="BZ21" s="39" t="str">
        <f t="shared" ca="1" si="29"/>
        <v>Current Forecast Spend £288000</v>
      </c>
      <c r="CA21" s="39" t="str">
        <f t="shared" si="31"/>
        <v>Stage Gate 1</v>
      </c>
    </row>
    <row r="22" spans="1:79" ht="60.75" customHeight="1" x14ac:dyDescent="0.2">
      <c r="A22" s="228" t="s">
        <v>251</v>
      </c>
      <c r="B22" s="21"/>
      <c r="C22" s="21" t="s">
        <v>369</v>
      </c>
      <c r="D22" s="20" t="s">
        <v>370</v>
      </c>
      <c r="E22" s="20" t="s">
        <v>102</v>
      </c>
      <c r="F22" s="100" t="s">
        <v>599</v>
      </c>
      <c r="G22" s="100" t="s">
        <v>99</v>
      </c>
      <c r="H22" s="233">
        <v>42689</v>
      </c>
      <c r="I22" s="234">
        <f>IF(H22="","",DATE(YEAR(H22),MONTH(H22)+2,DAY(H22)+3))</f>
        <v>42753</v>
      </c>
      <c r="J22" s="235">
        <v>42753</v>
      </c>
      <c r="K22" s="162" t="str">
        <f t="shared" ref="K22:K40" si="33">IF(H22="","",IF(J22="","Board Date"&amp;CHAR(10)&amp;TEXT(I22,"dd/mm/yyyy"),"Completed"&amp;CHAR(10)&amp;TEXT(J22,"dd/mm/yyyy")))</f>
        <v>Completed
18/01/2017</v>
      </c>
      <c r="L22" s="54" t="str">
        <f t="shared" ref="L22:L40" ca="1" si="34">IF(AND(J22="",I22=""),"",IF(AND(J22="",I22&lt;TODAY()),"R","G"))</f>
        <v>G</v>
      </c>
      <c r="M22" s="148"/>
      <c r="N22" s="120"/>
      <c r="O22" s="52"/>
      <c r="P22" s="121"/>
      <c r="Q22" s="120"/>
      <c r="R22" s="28"/>
      <c r="S22" s="28"/>
      <c r="T22" s="53" t="str">
        <f t="shared" si="2"/>
        <v/>
      </c>
      <c r="U22" s="53" t="str">
        <f t="shared" si="3"/>
        <v/>
      </c>
      <c r="V22" s="53" t="str">
        <f t="shared" si="4"/>
        <v/>
      </c>
      <c r="W22" s="54" t="str">
        <f t="shared" si="32"/>
        <v/>
      </c>
      <c r="X22" s="51"/>
      <c r="Y22" s="120"/>
      <c r="Z22" s="52"/>
      <c r="AA22" s="120"/>
      <c r="AB22" s="120"/>
      <c r="AC22" s="52"/>
      <c r="AD22" s="52"/>
      <c r="AE22" s="53" t="str">
        <f t="shared" si="5"/>
        <v/>
      </c>
      <c r="AF22" s="53" t="str">
        <f t="shared" si="6"/>
        <v/>
      </c>
      <c r="AG22" s="53" t="str">
        <f t="shared" si="7"/>
        <v/>
      </c>
      <c r="AH22" s="54" t="str">
        <f t="shared" si="8"/>
        <v/>
      </c>
      <c r="AI22" s="51"/>
      <c r="AJ22" s="120"/>
      <c r="AK22" s="52"/>
      <c r="AL22" s="120"/>
      <c r="AM22" s="120"/>
      <c r="AN22" s="52"/>
      <c r="AO22" s="52"/>
      <c r="AP22" s="53" t="str">
        <f t="shared" ref="AP22:AP40" si="35">IFERROR(IF(1-(AJ22-AI22)/(AK22-AI22)&gt;0.9,"G",IF(1-(AJ22-AI22)/(AK22-AI22)&gt;0.85,"A","R")),"")</f>
        <v/>
      </c>
      <c r="AQ22" s="53" t="str">
        <f t="shared" ref="AQ22:AQ40" si="36">IF(AL22="","",IF((AK22-AI22)/(AL22-AI22)&gt;0.9,"G",(IF((AK22-AI22)/(AL22-AI22)&gt;0.85,"A","R"))))</f>
        <v/>
      </c>
      <c r="AR22" s="53" t="str">
        <f t="shared" ref="AR22:AR40" si="37">IF(AM22="","",IF((AK22-AI22)/(AM22-AI22)&gt;0.9,"G",(IF((AK22-AI22)/(AM22-AI22)&gt;0.85,"A","R"))))</f>
        <v/>
      </c>
      <c r="AS22" s="54" t="str">
        <f t="shared" ref="AS22:AS40" si="38">IF(AR22="",IF(AQ22="",AP22,AQ22),AR22)</f>
        <v/>
      </c>
      <c r="AT22" s="55">
        <v>42814</v>
      </c>
      <c r="AU22" s="121">
        <v>42814</v>
      </c>
      <c r="AV22" s="56">
        <v>42829</v>
      </c>
      <c r="AW22" s="121">
        <v>42829</v>
      </c>
      <c r="AX22" s="121"/>
      <c r="AY22" s="45" t="str">
        <f t="shared" si="13"/>
        <v/>
      </c>
      <c r="AZ22" s="45"/>
      <c r="BA22" s="45"/>
      <c r="BB22" s="57" t="str">
        <f t="shared" si="14"/>
        <v>G</v>
      </c>
      <c r="BC22" s="57" t="str">
        <f t="shared" si="15"/>
        <v>G</v>
      </c>
      <c r="BD22" s="57" t="str">
        <f t="shared" si="16"/>
        <v/>
      </c>
      <c r="BE22" s="58" t="str">
        <f t="shared" ref="BE22:BE40" si="39">IF(BD22="",IF(BC22="",BB22,BC22),BD22)</f>
        <v>G</v>
      </c>
      <c r="BF22" s="350">
        <v>84500</v>
      </c>
      <c r="BG22" s="351">
        <v>84500</v>
      </c>
      <c r="BH22" s="352">
        <f>VLOOKUP(A22,Finance!$A$3:$J$45,8,FALSE)</f>
        <v>0</v>
      </c>
      <c r="BI22" s="62">
        <v>845000</v>
      </c>
      <c r="BJ22" s="60"/>
      <c r="BK22" s="63">
        <f t="shared" ref="BK22:BK40" si="40">(BG22-BF22)/BF22</f>
        <v>0</v>
      </c>
      <c r="BL22" s="63">
        <f t="shared" ref="BL22:BL40" si="41">(BH22-BF22)/BF22</f>
        <v>-1</v>
      </c>
      <c r="BM22" s="64" t="str">
        <f t="shared" si="20"/>
        <v>G</v>
      </c>
      <c r="BN22" s="18"/>
      <c r="BO22" s="19" t="s">
        <v>609</v>
      </c>
      <c r="BP22" s="65" t="str">
        <f>IF(AND(BM22="",BE22="",AS22="",W22=""),"",IF(AND(BM22="G",BE22="G",AS22="G",W22="G"),"G",IF(OR(BM22="R",BE22="R",AS22="R",W22="R"),"R",VLOOKUP(CONCATENATE(W22,AS22,BE22,BM22),'Rag Coding'!A:B,2,FALSE))))</f>
        <v>G</v>
      </c>
      <c r="BQ22" s="37" t="str">
        <f>'Dashboard Page'!N23</f>
        <v>Stage 1-4 has been approved.</v>
      </c>
      <c r="BR22" s="39" t="str">
        <f t="shared" ca="1" si="21"/>
        <v/>
      </c>
      <c r="BS22" s="39" t="str">
        <f t="shared" ca="1" si="22"/>
        <v/>
      </c>
      <c r="BT22" s="39" t="str">
        <f t="shared" ca="1" si="23"/>
        <v/>
      </c>
      <c r="BU22" s="39" t="str">
        <f t="shared" ca="1" si="24"/>
        <v/>
      </c>
      <c r="BV22" s="39" t="str">
        <f t="shared" ca="1" si="25"/>
        <v/>
      </c>
      <c r="BW22" s="39" t="str">
        <f t="shared" ca="1" si="26"/>
        <v/>
      </c>
      <c r="BX22" s="39" t="str">
        <f t="shared" ca="1" si="27"/>
        <v>Forecast Completion on 4-4-2017
on time</v>
      </c>
      <c r="BY22" s="39" t="str">
        <f t="shared" ca="1" si="28"/>
        <v/>
      </c>
      <c r="BZ22" s="39" t="str">
        <f t="shared" ca="1" si="29"/>
        <v>Current Forecast Spend £84500</v>
      </c>
      <c r="CA22" s="39" t="str">
        <f t="shared" si="31"/>
        <v>Stage Gate 5</v>
      </c>
    </row>
    <row r="23" spans="1:79" ht="33.75" x14ac:dyDescent="0.2">
      <c r="A23" s="44" t="s">
        <v>625</v>
      </c>
      <c r="B23" s="21"/>
      <c r="C23" s="21" t="s">
        <v>604</v>
      </c>
      <c r="D23" s="20" t="s">
        <v>85</v>
      </c>
      <c r="E23" s="20" t="s">
        <v>104</v>
      </c>
      <c r="F23" s="100"/>
      <c r="G23" s="100" t="s">
        <v>100</v>
      </c>
      <c r="H23" s="233">
        <v>42740</v>
      </c>
      <c r="I23" s="234">
        <f t="shared" ref="I23:I40" si="42">IF(H23="","",DATE(YEAR(H23),MONTH(H23)+1,DAY(H23)))</f>
        <v>42771</v>
      </c>
      <c r="J23" s="235"/>
      <c r="K23" s="162" t="str">
        <f t="shared" si="33"/>
        <v>Board Date
05/02/2017</v>
      </c>
      <c r="L23" s="54" t="str">
        <f t="shared" ca="1" si="34"/>
        <v>G</v>
      </c>
      <c r="M23" s="148"/>
      <c r="N23" s="120"/>
      <c r="O23" s="52"/>
      <c r="P23" s="121"/>
      <c r="Q23" s="120"/>
      <c r="R23" s="28"/>
      <c r="S23" s="28"/>
      <c r="T23" s="53" t="str">
        <f t="shared" si="2"/>
        <v/>
      </c>
      <c r="U23" s="53" t="str">
        <f t="shared" si="3"/>
        <v/>
      </c>
      <c r="V23" s="53" t="str">
        <f t="shared" si="4"/>
        <v/>
      </c>
      <c r="W23" s="54" t="str">
        <f t="shared" si="32"/>
        <v/>
      </c>
      <c r="X23" s="51"/>
      <c r="Y23" s="120"/>
      <c r="Z23" s="52"/>
      <c r="AA23" s="120"/>
      <c r="AB23" s="120"/>
      <c r="AC23" s="52"/>
      <c r="AD23" s="52"/>
      <c r="AE23" s="53" t="str">
        <f t="shared" si="5"/>
        <v/>
      </c>
      <c r="AF23" s="53" t="str">
        <f t="shared" si="6"/>
        <v/>
      </c>
      <c r="AG23" s="53" t="str">
        <f t="shared" si="7"/>
        <v/>
      </c>
      <c r="AH23" s="54" t="str">
        <f t="shared" si="8"/>
        <v/>
      </c>
      <c r="AI23" s="51"/>
      <c r="AJ23" s="120"/>
      <c r="AK23" s="52"/>
      <c r="AL23" s="120"/>
      <c r="AM23" s="120"/>
      <c r="AN23" s="52"/>
      <c r="AO23" s="52"/>
      <c r="AP23" s="53" t="str">
        <f t="shared" si="35"/>
        <v/>
      </c>
      <c r="AQ23" s="53" t="str">
        <f t="shared" si="36"/>
        <v/>
      </c>
      <c r="AR23" s="53" t="str">
        <f t="shared" si="37"/>
        <v/>
      </c>
      <c r="AS23" s="54" t="str">
        <f t="shared" si="38"/>
        <v/>
      </c>
      <c r="AT23" s="55"/>
      <c r="AU23" s="121"/>
      <c r="AV23" s="56"/>
      <c r="AW23" s="121"/>
      <c r="AX23" s="121"/>
      <c r="AY23" s="45" t="str">
        <f t="shared" si="13"/>
        <v/>
      </c>
      <c r="AZ23" s="45"/>
      <c r="BA23" s="45"/>
      <c r="BB23" s="57" t="str">
        <f t="shared" si="14"/>
        <v/>
      </c>
      <c r="BC23" s="57" t="str">
        <f t="shared" si="15"/>
        <v/>
      </c>
      <c r="BD23" s="57" t="str">
        <f t="shared" si="16"/>
        <v/>
      </c>
      <c r="BE23" s="58" t="str">
        <f t="shared" si="39"/>
        <v/>
      </c>
      <c r="BF23" s="350">
        <v>85368</v>
      </c>
      <c r="BG23" s="351">
        <v>85368</v>
      </c>
      <c r="BH23" s="352" t="e">
        <f>VLOOKUP(A23,Finance!$A$3:$J$45,8,FALSE)</f>
        <v>#N/A</v>
      </c>
      <c r="BI23" s="62">
        <v>85368</v>
      </c>
      <c r="BJ23" s="60"/>
      <c r="BK23" s="63">
        <f t="shared" si="40"/>
        <v>0</v>
      </c>
      <c r="BL23" s="63" t="e">
        <f t="shared" si="41"/>
        <v>#N/A</v>
      </c>
      <c r="BM23" s="64" t="e">
        <f>IF(BF23="","",IF(AND(BK23&lt;0.025,BL23&lt;0.025),"G",IF(OR(BK23&gt;0.05,BL23&gt;0.05),"R",IF(AND(BK23&gt;0.025,BL23&gt;0.025),"A","G"))))</f>
        <v>#N/A</v>
      </c>
      <c r="BN23" s="18"/>
      <c r="BO23" s="19"/>
      <c r="BP23" s="65" t="e">
        <f>IF(AND(BM23="",BE23="",AS23="",W23=""),"",IF(AND(BM23="G",BE23="G",AS23="G",W23="G"),"G",IF(OR(BM23="R",BE23="R",AS23="R",W23="R"),"R",VLOOKUP(CONCATENATE(W23,AS23,BE23,BM23),'Rag Coding'!A:B,2,FALSE))))</f>
        <v>#N/A</v>
      </c>
      <c r="BQ23" s="37">
        <f>'Dashboard Page'!N24</f>
        <v>0</v>
      </c>
      <c r="BR23" s="39" t="str">
        <f t="shared" ca="1" si="21"/>
        <v/>
      </c>
      <c r="BS23" s="39" t="str">
        <f t="shared" ca="1" si="22"/>
        <v/>
      </c>
      <c r="BT23" s="39" t="str">
        <f t="shared" ca="1" si="23"/>
        <v/>
      </c>
      <c r="BU23" s="39" t="str">
        <f t="shared" ca="1" si="24"/>
        <v/>
      </c>
      <c r="BV23" s="39" t="str">
        <f t="shared" ca="1" si="25"/>
        <v/>
      </c>
      <c r="BW23" s="39" t="str">
        <f t="shared" ca="1" si="26"/>
        <v/>
      </c>
      <c r="BX23" s="39" t="str">
        <f t="shared" ca="1" si="27"/>
        <v/>
      </c>
      <c r="BY23" s="39" t="str">
        <f t="shared" ca="1" si="28"/>
        <v/>
      </c>
      <c r="BZ23" s="39" t="str">
        <f t="shared" ca="1" si="29"/>
        <v>Current Forecast Spend £85368</v>
      </c>
      <c r="CA23" s="39" t="str">
        <f t="shared" si="31"/>
        <v>Stage Gate 1</v>
      </c>
    </row>
    <row r="24" spans="1:79" ht="56.25" x14ac:dyDescent="0.2">
      <c r="A24" s="228" t="s">
        <v>670</v>
      </c>
      <c r="B24" s="336"/>
      <c r="C24" s="336" t="s">
        <v>663</v>
      </c>
      <c r="D24" s="335" t="s">
        <v>649</v>
      </c>
      <c r="E24" s="335" t="s">
        <v>109</v>
      </c>
      <c r="F24" s="335"/>
      <c r="G24" s="280" t="s">
        <v>179</v>
      </c>
      <c r="H24" s="283"/>
      <c r="I24" s="363" t="str">
        <f t="shared" ref="I24:I33" si="43">IF(H24="","",DATE(YEAR(H24),MONTH(H24)+1,DAY(H24)))</f>
        <v/>
      </c>
      <c r="J24" s="364"/>
      <c r="K24" s="361" t="str">
        <f t="shared" ref="K24:K33" si="44">IF(H24="","",IF(J24="","Board Date"&amp;CHAR(10)&amp;TEXT(I24,"dd/mm/yyyy"),"Completed"&amp;CHAR(10)&amp;TEXT(J24,"dd/mm/yyyy")))</f>
        <v/>
      </c>
      <c r="L24" s="345" t="str">
        <f t="shared" ref="L24:L33" ca="1" si="45">IF(AND(J24="",I24=""),"",IF(AND(J24="",I24&lt;TODAY()),"R","G"))</f>
        <v/>
      </c>
      <c r="M24" s="360"/>
      <c r="N24" s="358"/>
      <c r="O24" s="343"/>
      <c r="P24" s="359"/>
      <c r="Q24" s="358"/>
      <c r="R24" s="337"/>
      <c r="S24" s="337"/>
      <c r="T24" s="344" t="str">
        <f t="shared" ref="T24:T33" si="46">IFERROR(IF(1-(N24-M24)/(O24-M24)&gt;0.9,"G",IF(1-(N24-M24)/(O24-M24)&gt;0.85,"A","R")),"")</f>
        <v/>
      </c>
      <c r="U24" s="344" t="str">
        <f t="shared" ref="U24:U33" si="47">IF(P24="","",IF((O24-M24)/(P24-M24)&gt;0.9,"G",(IF((O24-M24)/(P24-M24)&gt;0.85,"A","R"))))</f>
        <v/>
      </c>
      <c r="V24" s="344" t="str">
        <f t="shared" ref="V24:V33" si="48">IF(Q24="","",IF((O24-M24)/(Q24-M24)&gt;0.9,"G",(IF((O24-M24)/(Q24-M24)&gt;0.85,"A","R"))))</f>
        <v/>
      </c>
      <c r="W24" s="345" t="str">
        <f t="shared" ref="W24:W33" si="49">IF(V24="",IF(U24="",T24,U24),V24)</f>
        <v/>
      </c>
      <c r="X24" s="342"/>
      <c r="Y24" s="358"/>
      <c r="Z24" s="343"/>
      <c r="AA24" s="358"/>
      <c r="AB24" s="358"/>
      <c r="AC24" s="343"/>
      <c r="AD24" s="343"/>
      <c r="AE24" s="344" t="str">
        <f t="shared" ref="AE24:AE33" si="50">IFERROR(IF(1-(Y24-X24)/(Z24-X24)&gt;0.9,"G",IF(1-(Y24-X24)/(Z24-X24)&gt;0.85,"A","R")),"")</f>
        <v/>
      </c>
      <c r="AF24" s="344" t="str">
        <f t="shared" ref="AF24:AF33" si="51">IF(AA24="","",IF((Z24-X24)/(AA24-X24)&gt;0.9,"G",(IF((Z24-X24)/(AA24-X24)&gt;0.85,"A","R"))))</f>
        <v/>
      </c>
      <c r="AG24" s="344" t="str">
        <f t="shared" ref="AG24:AG33" si="52">IF(AB24="","",IF((Z24-X24)/(AB24-X24)&gt;0.9,"G",(IF((Z24-X24)/(AB24-X24)&gt;0.85,"A","R"))))</f>
        <v/>
      </c>
      <c r="AH24" s="345" t="str">
        <f t="shared" ref="AH24:AH33" si="53">IF(AG24="",IF(AF24="",AE24,AF24),AG24)</f>
        <v/>
      </c>
      <c r="AI24" s="342"/>
      <c r="AJ24" s="358"/>
      <c r="AK24" s="343"/>
      <c r="AL24" s="358"/>
      <c r="AM24" s="358"/>
      <c r="AN24" s="343"/>
      <c r="AO24" s="343"/>
      <c r="AP24" s="344" t="str">
        <f t="shared" ref="AP24:AP33" si="54">IFERROR(IF(1-(AJ24-AI24)/(AK24-AI24)&gt;0.9,"G",IF(1-(AJ24-AI24)/(AK24-AI24)&gt;0.85,"A","R")),"")</f>
        <v/>
      </c>
      <c r="AQ24" s="344" t="str">
        <f t="shared" ref="AQ24:AQ33" si="55">IF(AL24="","",IF((AK24-AI24)/(AL24-AI24)&gt;0.9,"G",(IF((AK24-AI24)/(AL24-AI24)&gt;0.85,"A","R"))))</f>
        <v/>
      </c>
      <c r="AR24" s="344" t="str">
        <f t="shared" ref="AR24:AR33" si="56">IF(AM24="","",IF((AK24-AI24)/(AM24-AI24)&gt;0.9,"G",(IF((AK24-AI24)/(AM24-AI24)&gt;0.85,"A","R"))))</f>
        <v/>
      </c>
      <c r="AS24" s="345" t="str">
        <f t="shared" ref="AS24:AS33" si="57">IF(AR24="",IF(AQ24="",AP24,AQ24),AR24)</f>
        <v/>
      </c>
      <c r="AT24" s="346">
        <v>42814</v>
      </c>
      <c r="AU24" s="359">
        <v>42814</v>
      </c>
      <c r="AV24" s="347">
        <v>42828</v>
      </c>
      <c r="AW24" s="359">
        <v>42828</v>
      </c>
      <c r="AX24" s="359"/>
      <c r="AY24" s="341" t="str">
        <f t="shared" ref="AY24:AY33" si="58">IF(AX24="","",DATE(YEAR(AX24),MONTH(AX24)+3,DAY(AX24)))</f>
        <v/>
      </c>
      <c r="AZ24" s="341"/>
      <c r="BA24" s="341"/>
      <c r="BB24" s="348" t="str">
        <f t="shared" ref="BB24:BB33" si="59">IFERROR(IF(1-(AU24-AT24)/(AV24-AT24)&gt;0.9,"G",IF(1-(AU24-AT24)/(AV24-AT24)&gt;0.85,"A","R")),"")</f>
        <v>G</v>
      </c>
      <c r="BC24" s="348" t="str">
        <f t="shared" ref="BC24:BC33" si="60">IF(AW24="","",IF((AV24-AT24)/(AW24-AT24)&gt;0.9,"G",(IF((AV24-AT24)/(AW24-AT24)&gt;0.85,"A","R"))))</f>
        <v>G</v>
      </c>
      <c r="BD24" s="348" t="str">
        <f t="shared" ref="BD24:BD33" si="61">IF(AX24="","",IF((AV24-AT24)/(AX24-AT24)&gt;0.9,"G",(IF((AV24-AT24)/(AX24-AT24)&gt;0.85,"A","R"))))</f>
        <v/>
      </c>
      <c r="BE24" s="349" t="str">
        <f t="shared" ref="BE24:BE33" si="62">IF(BD24="",IF(BC24="",BB24,BC24),BD24)</f>
        <v>G</v>
      </c>
      <c r="BF24" s="350">
        <v>107100</v>
      </c>
      <c r="BG24" s="351">
        <v>107100</v>
      </c>
      <c r="BH24" s="352" t="e">
        <f>VLOOKUP(A24,Finance!$A$3:$J$45,8,FALSE)</f>
        <v>#N/A</v>
      </c>
      <c r="BI24" s="353"/>
      <c r="BJ24" s="351"/>
      <c r="BK24" s="354">
        <f t="shared" ref="BK24:BK33" si="63">(BG24-BF24)/BF24</f>
        <v>0</v>
      </c>
      <c r="BL24" s="354" t="e">
        <f t="shared" ref="BL24:BL33" si="64">(BH24-BF24)/BF24</f>
        <v>#N/A</v>
      </c>
      <c r="BM24" s="355" t="e">
        <f t="shared" ref="BM24:BM33" si="65">IF(BF24="","",IF(AND(BK24&lt;0.025,BL24&lt;0.025),"G",IF(OR(BK24&gt;0.05,BL24&gt;0.05),"R",IF(AND(BK24&gt;0.025,BL24&gt;0.025),"A","G"))))</f>
        <v>#N/A</v>
      </c>
      <c r="BN24" s="333"/>
      <c r="BO24" s="334"/>
      <c r="BP24" s="356" t="e">
        <f>IF(AND(BM24="",BE24="",AS24="",W24=""),"",IF(AND(BM24="G",BE24="G",AS24="G",W24="G"),"G",IF(OR(BM24="R",BE24="R",AS24="R",W24="R"),"R",VLOOKUP(CONCATENATE(W24,AS24,BE24,BM24),'Rag Coding'!A:B,2,FALSE))))</f>
        <v>#N/A</v>
      </c>
      <c r="BQ24" s="338">
        <f>'Dashboard Page'!N27</f>
        <v>0</v>
      </c>
      <c r="BR24" s="339" t="str">
        <f t="shared" ref="BR24:BR33" ca="1" si="66">IF(M24="","",IF(V24&lt;&gt;"","Completed ",IF(AND(U24&lt;&gt;"",P24&gt;TODAY()),"Forecast Completion on "&amp;DAY(P24)&amp;"-"&amp;MONTH(P24)&amp;"-"&amp;YEAR(P24)&amp;CHAR(10)&amp;IF(P24-O24&gt;0,(P24-O24)&amp;" day(s) late",(IF(P24-O24=0,"on time",(O24-P24)&amp;" day(s) early"))),IF(P24&lt;TODAY(),"Forecast Completion in the past, please update","Baseline Complete"))))</f>
        <v/>
      </c>
      <c r="BS24" s="339" t="str">
        <f t="shared" ref="BS24:BS33" ca="1" si="67">IF(BR24="Completed ",IF(Q24-O24&gt;0,Q24-O24&amp;" day(s) late",(IF(Q24-O24=0,"on time",O24-Q24&amp;" day(s) early"))),"")</f>
        <v/>
      </c>
      <c r="BT24" s="339" t="str">
        <f t="shared" ref="BT24:BT33" ca="1" si="68">IF(X24="","",IF(AG24&lt;&gt;"","Completed ",IF(AND(AF24&lt;&gt;"",AA24&gt;TODAY()),"Forecast Completion on "&amp;DAY(AA24)&amp;"-"&amp;MONTH(AA24)&amp;"-"&amp;YEAR(AA24)&amp;CHAR(10)&amp;IF(AA24-Z24&gt;0,(AA24-Z24)&amp;" day(s) late",(IF(AA24-Z24=0,"on time",(Z24-AA24)&amp;" day(s) early"))),IF(AA24&lt;TODAY(),"Forecast Completion in the past, please update","Baseline Complete"))))</f>
        <v/>
      </c>
      <c r="BU24" s="339" t="str">
        <f t="shared" ref="BU24:BU33" ca="1" si="69">IF(BT24="Completed ",IF(AB24-Z24&gt;0,AB24-Z24&amp;" day(s) late",(IF(AB24-Z24=0,"on time",Z24-AB24&amp;" day(s) early"))),"")</f>
        <v/>
      </c>
      <c r="BV24" s="339" t="str">
        <f t="shared" ref="BV24:BV33" ca="1" si="70">IF(AI24="","",IF(AR24&lt;&gt;"","Completed ",IF(AND(AQ24&lt;&gt;"",AL24&gt;TODAY()),"Forecast Completion on "&amp;DAY(AL24)&amp;"-"&amp;MONTH(AL24)&amp;"-"&amp;YEAR(AL24)&amp;CHAR(10)&amp;IF(AL24-AK24&gt;0,(AL24-AK24)&amp;" day(s) late",(IF(AL24-AK24=0,"on time",(AK24-AL24)&amp;" day(s) early"))),IF(AL24&lt;TODAY(),"Forecast Completion in the past, please update","Baseline Complete"))))</f>
        <v/>
      </c>
      <c r="BW24" s="339" t="str">
        <f t="shared" ref="BW24:BW33" ca="1" si="71">IF(BV24="Completed ",IF(AM24-AK24&gt;0,AM24-AK24&amp;" day(s) late",(IF(AM24-AK24=0,"on time",AK24-AM24&amp;" day(s) early"))),"")</f>
        <v/>
      </c>
      <c r="BX24" s="339" t="str">
        <f t="shared" ref="BX24:BX33" ca="1" si="72">IF(AT24="","",IF(BD24&lt;&gt;"","Completed ",IF(AND(BC24&lt;&gt;"",AW24&gt;TODAY()),"Forecast Completion on "&amp;DAY(AW24)&amp;"-"&amp;MONTH(AW24)&amp;"-"&amp;YEAR(AW24)&amp;CHAR(10)&amp;IF(AW24-AV24&gt;0,(AW24-AV24)&amp;" day(s) late",(IF(AW24-AV24=0,"on time",(AV24-AW24)&amp;" day(s) early"))),IF(AW24&lt;TODAY(),"Forecast Completion in the past, please update","Baseline Complete"))))</f>
        <v>Forecast Completion on 3-4-2017
on time</v>
      </c>
      <c r="BY24" s="339" t="str">
        <f t="shared" ref="BY24:BY33" ca="1" si="73">IF(BX24="Completed ",IF(AX24-AV24&gt;0,AX24-AV24&amp;" day(s) late",(IF(AX24-AV24=0,"on time",AV24-AX24&amp;" day(s) early"))),"")</f>
        <v/>
      </c>
      <c r="BZ24" s="339" t="str">
        <f t="shared" ref="BZ24:BZ33" ca="1" si="74">IF(BX24="Completed ",IF(BG24-BF24&gt;0,"Over budget by £"&amp;(BG24-BF24),"Under budget by £"&amp;BF24-BG24),IF(BG24="","","Current Forecast Spend £"&amp;BG24))</f>
        <v>Current Forecast Spend £107100</v>
      </c>
      <c r="CA24" s="339" t="str">
        <f t="shared" ref="CA24:CA33" si="75">IF(COUNTA(AT24:AX24),"Stage Gate 5",IF(COUNTA(AI24:AM24),"Stage Gate 4", IF(COUNTA(X24:AB24),"Stage Gate 3",  IF(COUNTA(M24:Q24),"Stage Gate 2", "Stage Gate 1"))))</f>
        <v>Stage Gate 5</v>
      </c>
    </row>
    <row r="25" spans="1:79" x14ac:dyDescent="0.2">
      <c r="A25" s="340"/>
      <c r="B25" s="336"/>
      <c r="C25" s="336"/>
      <c r="D25" s="335"/>
      <c r="E25" s="335"/>
      <c r="F25" s="335"/>
      <c r="G25" s="280"/>
      <c r="H25" s="283"/>
      <c r="I25" s="363" t="str">
        <f t="shared" si="43"/>
        <v/>
      </c>
      <c r="J25" s="364"/>
      <c r="K25" s="361" t="str">
        <f t="shared" si="44"/>
        <v/>
      </c>
      <c r="L25" s="345" t="str">
        <f t="shared" ca="1" si="45"/>
        <v/>
      </c>
      <c r="M25" s="360"/>
      <c r="N25" s="358"/>
      <c r="O25" s="343"/>
      <c r="P25" s="359"/>
      <c r="Q25" s="358"/>
      <c r="R25" s="337"/>
      <c r="S25" s="337"/>
      <c r="T25" s="344" t="str">
        <f t="shared" si="46"/>
        <v/>
      </c>
      <c r="U25" s="344" t="str">
        <f t="shared" si="47"/>
        <v/>
      </c>
      <c r="V25" s="344" t="str">
        <f t="shared" si="48"/>
        <v/>
      </c>
      <c r="W25" s="345" t="str">
        <f t="shared" si="49"/>
        <v/>
      </c>
      <c r="X25" s="342"/>
      <c r="Y25" s="358"/>
      <c r="Z25" s="343"/>
      <c r="AA25" s="358"/>
      <c r="AB25" s="358"/>
      <c r="AC25" s="343"/>
      <c r="AD25" s="343"/>
      <c r="AE25" s="344" t="str">
        <f t="shared" si="50"/>
        <v/>
      </c>
      <c r="AF25" s="344" t="str">
        <f t="shared" si="51"/>
        <v/>
      </c>
      <c r="AG25" s="344" t="str">
        <f t="shared" si="52"/>
        <v/>
      </c>
      <c r="AH25" s="345" t="str">
        <f t="shared" si="53"/>
        <v/>
      </c>
      <c r="AI25" s="342"/>
      <c r="AJ25" s="358"/>
      <c r="AK25" s="343"/>
      <c r="AL25" s="358"/>
      <c r="AM25" s="358"/>
      <c r="AN25" s="343"/>
      <c r="AO25" s="343"/>
      <c r="AP25" s="344" t="str">
        <f t="shared" si="54"/>
        <v/>
      </c>
      <c r="AQ25" s="344" t="str">
        <f t="shared" si="55"/>
        <v/>
      </c>
      <c r="AR25" s="344" t="str">
        <f t="shared" si="56"/>
        <v/>
      </c>
      <c r="AS25" s="345" t="str">
        <f t="shared" si="57"/>
        <v/>
      </c>
      <c r="AT25" s="346"/>
      <c r="AU25" s="359"/>
      <c r="AV25" s="347"/>
      <c r="AW25" s="359"/>
      <c r="AX25" s="359"/>
      <c r="AY25" s="341" t="str">
        <f t="shared" si="58"/>
        <v/>
      </c>
      <c r="AZ25" s="341"/>
      <c r="BA25" s="341"/>
      <c r="BB25" s="348" t="str">
        <f t="shared" si="59"/>
        <v/>
      </c>
      <c r="BC25" s="348" t="str">
        <f t="shared" si="60"/>
        <v/>
      </c>
      <c r="BD25" s="348" t="str">
        <f t="shared" si="61"/>
        <v/>
      </c>
      <c r="BE25" s="349" t="str">
        <f t="shared" si="62"/>
        <v/>
      </c>
      <c r="BF25" s="350"/>
      <c r="BG25" s="351"/>
      <c r="BH25" s="352" t="e">
        <f>VLOOKUP(A25,Finance!$A$3:$J$45,8,FALSE)</f>
        <v>#N/A</v>
      </c>
      <c r="BI25" s="353"/>
      <c r="BJ25" s="351"/>
      <c r="BK25" s="354" t="e">
        <f t="shared" si="63"/>
        <v>#DIV/0!</v>
      </c>
      <c r="BL25" s="354" t="e">
        <f t="shared" si="64"/>
        <v>#N/A</v>
      </c>
      <c r="BM25" s="355" t="str">
        <f t="shared" si="65"/>
        <v/>
      </c>
      <c r="BN25" s="333"/>
      <c r="BO25" s="334"/>
      <c r="BP25" s="356" t="str">
        <f>IF(AND(BM25="",BE25="",AS25="",W25=""),"",IF(AND(BM25="G",BE25="G",AS25="G",W25="G"),"G",IF(OR(BM25="R",BE25="R",AS25="R",W25="R"),"R",VLOOKUP(CONCATENATE(W25,AS25,BE25,BM25),'Rag Coding'!A:B,2,FALSE))))</f>
        <v/>
      </c>
      <c r="BQ25" s="338">
        <f>'Dashboard Page'!N27</f>
        <v>0</v>
      </c>
      <c r="BR25" s="339" t="str">
        <f t="shared" ca="1" si="66"/>
        <v/>
      </c>
      <c r="BS25" s="339" t="str">
        <f t="shared" ca="1" si="67"/>
        <v/>
      </c>
      <c r="BT25" s="339" t="str">
        <f t="shared" ca="1" si="68"/>
        <v/>
      </c>
      <c r="BU25" s="339" t="str">
        <f t="shared" ca="1" si="69"/>
        <v/>
      </c>
      <c r="BV25" s="339" t="str">
        <f t="shared" ca="1" si="70"/>
        <v/>
      </c>
      <c r="BW25" s="339" t="str">
        <f t="shared" ca="1" si="71"/>
        <v/>
      </c>
      <c r="BX25" s="339" t="str">
        <f t="shared" ca="1" si="72"/>
        <v/>
      </c>
      <c r="BY25" s="339" t="str">
        <f t="shared" ca="1" si="73"/>
        <v/>
      </c>
      <c r="BZ25" s="339" t="str">
        <f t="shared" ca="1" si="74"/>
        <v/>
      </c>
      <c r="CA25" s="339" t="str">
        <f t="shared" si="75"/>
        <v>Stage Gate 1</v>
      </c>
    </row>
    <row r="26" spans="1:79" x14ac:dyDescent="0.2">
      <c r="A26" s="340"/>
      <c r="B26" s="336"/>
      <c r="C26" s="336"/>
      <c r="D26" s="335"/>
      <c r="E26" s="335"/>
      <c r="F26" s="335"/>
      <c r="G26" s="280"/>
      <c r="H26" s="283"/>
      <c r="I26" s="363" t="str">
        <f t="shared" si="43"/>
        <v/>
      </c>
      <c r="J26" s="364"/>
      <c r="K26" s="361" t="str">
        <f t="shared" si="44"/>
        <v/>
      </c>
      <c r="L26" s="345" t="str">
        <f t="shared" ca="1" si="45"/>
        <v/>
      </c>
      <c r="M26" s="360"/>
      <c r="N26" s="358"/>
      <c r="O26" s="343"/>
      <c r="P26" s="359"/>
      <c r="Q26" s="358"/>
      <c r="R26" s="337"/>
      <c r="S26" s="337"/>
      <c r="T26" s="344" t="str">
        <f t="shared" si="46"/>
        <v/>
      </c>
      <c r="U26" s="344" t="str">
        <f t="shared" si="47"/>
        <v/>
      </c>
      <c r="V26" s="344" t="str">
        <f t="shared" si="48"/>
        <v/>
      </c>
      <c r="W26" s="345" t="str">
        <f t="shared" si="49"/>
        <v/>
      </c>
      <c r="X26" s="342"/>
      <c r="Y26" s="358"/>
      <c r="Z26" s="343"/>
      <c r="AA26" s="358"/>
      <c r="AB26" s="358"/>
      <c r="AC26" s="343"/>
      <c r="AD26" s="343"/>
      <c r="AE26" s="344" t="str">
        <f t="shared" si="50"/>
        <v/>
      </c>
      <c r="AF26" s="344" t="str">
        <f t="shared" si="51"/>
        <v/>
      </c>
      <c r="AG26" s="344" t="str">
        <f t="shared" si="52"/>
        <v/>
      </c>
      <c r="AH26" s="345" t="str">
        <f t="shared" si="53"/>
        <v/>
      </c>
      <c r="AI26" s="342"/>
      <c r="AJ26" s="358"/>
      <c r="AK26" s="343"/>
      <c r="AL26" s="358"/>
      <c r="AM26" s="358"/>
      <c r="AN26" s="343"/>
      <c r="AO26" s="343"/>
      <c r="AP26" s="344" t="str">
        <f t="shared" si="54"/>
        <v/>
      </c>
      <c r="AQ26" s="344" t="str">
        <f t="shared" si="55"/>
        <v/>
      </c>
      <c r="AR26" s="344" t="str">
        <f t="shared" si="56"/>
        <v/>
      </c>
      <c r="AS26" s="345" t="str">
        <f t="shared" si="57"/>
        <v/>
      </c>
      <c r="AT26" s="346"/>
      <c r="AU26" s="359"/>
      <c r="AV26" s="347"/>
      <c r="AW26" s="359"/>
      <c r="AX26" s="359"/>
      <c r="AY26" s="341" t="str">
        <f t="shared" si="58"/>
        <v/>
      </c>
      <c r="AZ26" s="341"/>
      <c r="BA26" s="341"/>
      <c r="BB26" s="348" t="str">
        <f t="shared" si="59"/>
        <v/>
      </c>
      <c r="BC26" s="348" t="str">
        <f t="shared" si="60"/>
        <v/>
      </c>
      <c r="BD26" s="348" t="str">
        <f t="shared" si="61"/>
        <v/>
      </c>
      <c r="BE26" s="349" t="str">
        <f t="shared" si="62"/>
        <v/>
      </c>
      <c r="BF26" s="350"/>
      <c r="BG26" s="351"/>
      <c r="BH26" s="352" t="e">
        <f>VLOOKUP(A26,Finance!$A$3:$J$45,8,FALSE)</f>
        <v>#N/A</v>
      </c>
      <c r="BI26" s="353"/>
      <c r="BJ26" s="351"/>
      <c r="BK26" s="354" t="e">
        <f t="shared" si="63"/>
        <v>#DIV/0!</v>
      </c>
      <c r="BL26" s="354" t="e">
        <f t="shared" si="64"/>
        <v>#N/A</v>
      </c>
      <c r="BM26" s="355" t="str">
        <f t="shared" si="65"/>
        <v/>
      </c>
      <c r="BN26" s="333"/>
      <c r="BO26" s="334"/>
      <c r="BP26" s="356" t="str">
        <f>IF(AND(BM26="",BE26="",AS26="",W26=""),"",IF(AND(BM26="G",BE26="G",AS26="G",W26="G"),"G",IF(OR(BM26="R",BE26="R",AS26="R",W26="R"),"R",VLOOKUP(CONCATENATE(W26,AS26,BE26,BM26),'Rag Coding'!A:B,2,FALSE))))</f>
        <v/>
      </c>
      <c r="BQ26" s="338">
        <f>'Dashboard Page'!N27</f>
        <v>0</v>
      </c>
      <c r="BR26" s="339" t="str">
        <f t="shared" ca="1" si="66"/>
        <v/>
      </c>
      <c r="BS26" s="339" t="str">
        <f t="shared" ca="1" si="67"/>
        <v/>
      </c>
      <c r="BT26" s="339" t="str">
        <f t="shared" ca="1" si="68"/>
        <v/>
      </c>
      <c r="BU26" s="339" t="str">
        <f t="shared" ca="1" si="69"/>
        <v/>
      </c>
      <c r="BV26" s="339" t="str">
        <f t="shared" ca="1" si="70"/>
        <v/>
      </c>
      <c r="BW26" s="339" t="str">
        <f t="shared" ca="1" si="71"/>
        <v/>
      </c>
      <c r="BX26" s="339" t="str">
        <f t="shared" ca="1" si="72"/>
        <v/>
      </c>
      <c r="BY26" s="339" t="str">
        <f t="shared" ca="1" si="73"/>
        <v/>
      </c>
      <c r="BZ26" s="339" t="str">
        <f t="shared" ca="1" si="74"/>
        <v/>
      </c>
      <c r="CA26" s="339" t="str">
        <f t="shared" si="75"/>
        <v>Stage Gate 1</v>
      </c>
    </row>
    <row r="27" spans="1:79" x14ac:dyDescent="0.2">
      <c r="A27" s="340"/>
      <c r="B27" s="336"/>
      <c r="C27" s="336"/>
      <c r="D27" s="335"/>
      <c r="E27" s="335"/>
      <c r="F27" s="335"/>
      <c r="G27" s="280"/>
      <c r="H27" s="283"/>
      <c r="I27" s="363" t="str">
        <f t="shared" si="43"/>
        <v/>
      </c>
      <c r="J27" s="364"/>
      <c r="K27" s="361" t="str">
        <f t="shared" si="44"/>
        <v/>
      </c>
      <c r="L27" s="345" t="str">
        <f t="shared" ca="1" si="45"/>
        <v/>
      </c>
      <c r="M27" s="360"/>
      <c r="N27" s="358"/>
      <c r="O27" s="343"/>
      <c r="P27" s="359"/>
      <c r="Q27" s="358"/>
      <c r="R27" s="337"/>
      <c r="S27" s="337"/>
      <c r="T27" s="344" t="str">
        <f t="shared" si="46"/>
        <v/>
      </c>
      <c r="U27" s="344" t="str">
        <f t="shared" si="47"/>
        <v/>
      </c>
      <c r="V27" s="344" t="str">
        <f t="shared" si="48"/>
        <v/>
      </c>
      <c r="W27" s="345" t="str">
        <f t="shared" si="49"/>
        <v/>
      </c>
      <c r="X27" s="342"/>
      <c r="Y27" s="358"/>
      <c r="Z27" s="343"/>
      <c r="AA27" s="358"/>
      <c r="AB27" s="358"/>
      <c r="AC27" s="343"/>
      <c r="AD27" s="343"/>
      <c r="AE27" s="344" t="str">
        <f t="shared" si="50"/>
        <v/>
      </c>
      <c r="AF27" s="344" t="str">
        <f t="shared" si="51"/>
        <v/>
      </c>
      <c r="AG27" s="344" t="str">
        <f t="shared" si="52"/>
        <v/>
      </c>
      <c r="AH27" s="345" t="str">
        <f t="shared" si="53"/>
        <v/>
      </c>
      <c r="AI27" s="342"/>
      <c r="AJ27" s="358"/>
      <c r="AK27" s="343"/>
      <c r="AL27" s="358"/>
      <c r="AM27" s="358"/>
      <c r="AN27" s="343"/>
      <c r="AO27" s="343"/>
      <c r="AP27" s="344" t="str">
        <f t="shared" si="54"/>
        <v/>
      </c>
      <c r="AQ27" s="344" t="str">
        <f t="shared" si="55"/>
        <v/>
      </c>
      <c r="AR27" s="344" t="str">
        <f t="shared" si="56"/>
        <v/>
      </c>
      <c r="AS27" s="345" t="str">
        <f t="shared" si="57"/>
        <v/>
      </c>
      <c r="AT27" s="346"/>
      <c r="AU27" s="359"/>
      <c r="AV27" s="347"/>
      <c r="AW27" s="359"/>
      <c r="AX27" s="359"/>
      <c r="AY27" s="341" t="str">
        <f t="shared" si="58"/>
        <v/>
      </c>
      <c r="AZ27" s="341"/>
      <c r="BA27" s="341"/>
      <c r="BB27" s="348" t="str">
        <f t="shared" si="59"/>
        <v/>
      </c>
      <c r="BC27" s="348" t="str">
        <f t="shared" si="60"/>
        <v/>
      </c>
      <c r="BD27" s="348" t="str">
        <f t="shared" si="61"/>
        <v/>
      </c>
      <c r="BE27" s="349" t="str">
        <f t="shared" si="62"/>
        <v/>
      </c>
      <c r="BF27" s="350"/>
      <c r="BG27" s="351"/>
      <c r="BH27" s="352" t="e">
        <f>VLOOKUP(A27,Finance!$A$3:$J$45,8,FALSE)</f>
        <v>#N/A</v>
      </c>
      <c r="BI27" s="353"/>
      <c r="BJ27" s="351"/>
      <c r="BK27" s="354" t="e">
        <f t="shared" si="63"/>
        <v>#DIV/0!</v>
      </c>
      <c r="BL27" s="354" t="e">
        <f t="shared" si="64"/>
        <v>#N/A</v>
      </c>
      <c r="BM27" s="355" t="str">
        <f t="shared" si="65"/>
        <v/>
      </c>
      <c r="BN27" s="333"/>
      <c r="BO27" s="334"/>
      <c r="BP27" s="356" t="str">
        <f>IF(AND(BM27="",BE27="",AS27="",W27=""),"",IF(AND(BM27="G",BE27="G",AS27="G",W27="G"),"G",IF(OR(BM27="R",BE27="R",AS27="R",W27="R"),"R",VLOOKUP(CONCATENATE(W27,AS27,BE27,BM27),'Rag Coding'!A:B,2,FALSE))))</f>
        <v/>
      </c>
      <c r="BQ27" s="338">
        <f>'Dashboard Page'!N27</f>
        <v>0</v>
      </c>
      <c r="BR27" s="339" t="str">
        <f t="shared" ca="1" si="66"/>
        <v/>
      </c>
      <c r="BS27" s="339" t="str">
        <f t="shared" ca="1" si="67"/>
        <v/>
      </c>
      <c r="BT27" s="339" t="str">
        <f t="shared" ca="1" si="68"/>
        <v/>
      </c>
      <c r="BU27" s="339" t="str">
        <f t="shared" ca="1" si="69"/>
        <v/>
      </c>
      <c r="BV27" s="339" t="str">
        <f t="shared" ca="1" si="70"/>
        <v/>
      </c>
      <c r="BW27" s="339" t="str">
        <f t="shared" ca="1" si="71"/>
        <v/>
      </c>
      <c r="BX27" s="339" t="str">
        <f t="shared" ca="1" si="72"/>
        <v/>
      </c>
      <c r="BY27" s="339" t="str">
        <f t="shared" ca="1" si="73"/>
        <v/>
      </c>
      <c r="BZ27" s="339" t="str">
        <f t="shared" ca="1" si="74"/>
        <v/>
      </c>
      <c r="CA27" s="339" t="str">
        <f t="shared" si="75"/>
        <v>Stage Gate 1</v>
      </c>
    </row>
    <row r="28" spans="1:79" x14ac:dyDescent="0.2">
      <c r="A28" s="340"/>
      <c r="B28" s="336"/>
      <c r="C28" s="336"/>
      <c r="D28" s="335"/>
      <c r="E28" s="335"/>
      <c r="F28" s="335"/>
      <c r="G28" s="280"/>
      <c r="H28" s="283"/>
      <c r="I28" s="363" t="str">
        <f t="shared" si="43"/>
        <v/>
      </c>
      <c r="J28" s="364"/>
      <c r="K28" s="361" t="str">
        <f t="shared" si="44"/>
        <v/>
      </c>
      <c r="L28" s="345" t="str">
        <f t="shared" ca="1" si="45"/>
        <v/>
      </c>
      <c r="M28" s="360"/>
      <c r="N28" s="358"/>
      <c r="O28" s="343"/>
      <c r="P28" s="359"/>
      <c r="Q28" s="358"/>
      <c r="R28" s="337"/>
      <c r="S28" s="337"/>
      <c r="T28" s="344" t="str">
        <f t="shared" si="46"/>
        <v/>
      </c>
      <c r="U28" s="344" t="str">
        <f t="shared" si="47"/>
        <v/>
      </c>
      <c r="V28" s="344" t="str">
        <f t="shared" si="48"/>
        <v/>
      </c>
      <c r="W28" s="345" t="str">
        <f t="shared" si="49"/>
        <v/>
      </c>
      <c r="X28" s="342"/>
      <c r="Y28" s="358"/>
      <c r="Z28" s="343"/>
      <c r="AA28" s="358"/>
      <c r="AB28" s="358"/>
      <c r="AC28" s="343"/>
      <c r="AD28" s="343"/>
      <c r="AE28" s="344" t="str">
        <f t="shared" si="50"/>
        <v/>
      </c>
      <c r="AF28" s="344" t="str">
        <f t="shared" si="51"/>
        <v/>
      </c>
      <c r="AG28" s="344" t="str">
        <f t="shared" si="52"/>
        <v/>
      </c>
      <c r="AH28" s="345" t="str">
        <f t="shared" si="53"/>
        <v/>
      </c>
      <c r="AI28" s="342"/>
      <c r="AJ28" s="358"/>
      <c r="AK28" s="343"/>
      <c r="AL28" s="358"/>
      <c r="AM28" s="358"/>
      <c r="AN28" s="343"/>
      <c r="AO28" s="343"/>
      <c r="AP28" s="344" t="str">
        <f t="shared" si="54"/>
        <v/>
      </c>
      <c r="AQ28" s="344" t="str">
        <f t="shared" si="55"/>
        <v/>
      </c>
      <c r="AR28" s="344" t="str">
        <f t="shared" si="56"/>
        <v/>
      </c>
      <c r="AS28" s="345" t="str">
        <f t="shared" si="57"/>
        <v/>
      </c>
      <c r="AT28" s="346"/>
      <c r="AU28" s="359"/>
      <c r="AV28" s="347"/>
      <c r="AW28" s="359"/>
      <c r="AX28" s="359"/>
      <c r="AY28" s="341" t="str">
        <f t="shared" si="58"/>
        <v/>
      </c>
      <c r="AZ28" s="341"/>
      <c r="BA28" s="341"/>
      <c r="BB28" s="348" t="str">
        <f t="shared" si="59"/>
        <v/>
      </c>
      <c r="BC28" s="348" t="str">
        <f t="shared" si="60"/>
        <v/>
      </c>
      <c r="BD28" s="348" t="str">
        <f t="shared" si="61"/>
        <v/>
      </c>
      <c r="BE28" s="349" t="str">
        <f t="shared" si="62"/>
        <v/>
      </c>
      <c r="BF28" s="350"/>
      <c r="BG28" s="351"/>
      <c r="BH28" s="352" t="e">
        <f>VLOOKUP(A28,Finance!$A$3:$J$45,8,FALSE)</f>
        <v>#N/A</v>
      </c>
      <c r="BI28" s="353"/>
      <c r="BJ28" s="351"/>
      <c r="BK28" s="354" t="e">
        <f t="shared" si="63"/>
        <v>#DIV/0!</v>
      </c>
      <c r="BL28" s="354" t="e">
        <f t="shared" si="64"/>
        <v>#N/A</v>
      </c>
      <c r="BM28" s="355" t="str">
        <f t="shared" si="65"/>
        <v/>
      </c>
      <c r="BN28" s="333"/>
      <c r="BO28" s="334"/>
      <c r="BP28" s="356" t="str">
        <f>IF(AND(BM28="",BE28="",AS28="",W28=""),"",IF(AND(BM28="G",BE28="G",AS28="G",W28="G"),"G",IF(OR(BM28="R",BE28="R",AS28="R",W28="R"),"R",VLOOKUP(CONCATENATE(W28,AS28,BE28,BM28),'Rag Coding'!A:B,2,FALSE))))</f>
        <v/>
      </c>
      <c r="BQ28" s="338">
        <f>'Dashboard Page'!N27</f>
        <v>0</v>
      </c>
      <c r="BR28" s="339" t="str">
        <f t="shared" ca="1" si="66"/>
        <v/>
      </c>
      <c r="BS28" s="339" t="str">
        <f t="shared" ca="1" si="67"/>
        <v/>
      </c>
      <c r="BT28" s="339" t="str">
        <f t="shared" ca="1" si="68"/>
        <v/>
      </c>
      <c r="BU28" s="339" t="str">
        <f t="shared" ca="1" si="69"/>
        <v/>
      </c>
      <c r="BV28" s="339" t="str">
        <f t="shared" ca="1" si="70"/>
        <v/>
      </c>
      <c r="BW28" s="339" t="str">
        <f t="shared" ca="1" si="71"/>
        <v/>
      </c>
      <c r="BX28" s="339" t="str">
        <f t="shared" ca="1" si="72"/>
        <v/>
      </c>
      <c r="BY28" s="339" t="str">
        <f t="shared" ca="1" si="73"/>
        <v/>
      </c>
      <c r="BZ28" s="339" t="str">
        <f t="shared" ca="1" si="74"/>
        <v/>
      </c>
      <c r="CA28" s="339" t="str">
        <f t="shared" si="75"/>
        <v>Stage Gate 1</v>
      </c>
    </row>
    <row r="29" spans="1:79" x14ac:dyDescent="0.2">
      <c r="A29" s="340"/>
      <c r="B29" s="336"/>
      <c r="C29" s="336"/>
      <c r="D29" s="335"/>
      <c r="E29" s="335"/>
      <c r="F29" s="335"/>
      <c r="G29" s="280"/>
      <c r="H29" s="283"/>
      <c r="I29" s="363" t="str">
        <f t="shared" si="43"/>
        <v/>
      </c>
      <c r="J29" s="364"/>
      <c r="K29" s="361" t="str">
        <f t="shared" si="44"/>
        <v/>
      </c>
      <c r="L29" s="345" t="str">
        <f t="shared" ca="1" si="45"/>
        <v/>
      </c>
      <c r="M29" s="360"/>
      <c r="N29" s="358"/>
      <c r="O29" s="343"/>
      <c r="P29" s="359"/>
      <c r="Q29" s="358"/>
      <c r="R29" s="337"/>
      <c r="S29" s="337"/>
      <c r="T29" s="344" t="str">
        <f t="shared" si="46"/>
        <v/>
      </c>
      <c r="U29" s="344" t="str">
        <f t="shared" si="47"/>
        <v/>
      </c>
      <c r="V29" s="344" t="str">
        <f t="shared" si="48"/>
        <v/>
      </c>
      <c r="W29" s="345" t="str">
        <f t="shared" si="49"/>
        <v/>
      </c>
      <c r="X29" s="342"/>
      <c r="Y29" s="358"/>
      <c r="Z29" s="343"/>
      <c r="AA29" s="358"/>
      <c r="AB29" s="358"/>
      <c r="AC29" s="343"/>
      <c r="AD29" s="343"/>
      <c r="AE29" s="344" t="str">
        <f t="shared" si="50"/>
        <v/>
      </c>
      <c r="AF29" s="344" t="str">
        <f t="shared" si="51"/>
        <v/>
      </c>
      <c r="AG29" s="344" t="str">
        <f t="shared" si="52"/>
        <v/>
      </c>
      <c r="AH29" s="345" t="str">
        <f t="shared" si="53"/>
        <v/>
      </c>
      <c r="AI29" s="342"/>
      <c r="AJ29" s="358"/>
      <c r="AK29" s="343"/>
      <c r="AL29" s="358"/>
      <c r="AM29" s="358"/>
      <c r="AN29" s="343"/>
      <c r="AO29" s="343"/>
      <c r="AP29" s="344" t="str">
        <f t="shared" si="54"/>
        <v/>
      </c>
      <c r="AQ29" s="344" t="str">
        <f t="shared" si="55"/>
        <v/>
      </c>
      <c r="AR29" s="344" t="str">
        <f t="shared" si="56"/>
        <v/>
      </c>
      <c r="AS29" s="345" t="str">
        <f t="shared" si="57"/>
        <v/>
      </c>
      <c r="AT29" s="346"/>
      <c r="AU29" s="359"/>
      <c r="AV29" s="347"/>
      <c r="AW29" s="359"/>
      <c r="AX29" s="359"/>
      <c r="AY29" s="341" t="str">
        <f t="shared" si="58"/>
        <v/>
      </c>
      <c r="AZ29" s="341"/>
      <c r="BA29" s="341"/>
      <c r="BB29" s="348" t="str">
        <f t="shared" si="59"/>
        <v/>
      </c>
      <c r="BC29" s="348" t="str">
        <f t="shared" si="60"/>
        <v/>
      </c>
      <c r="BD29" s="348" t="str">
        <f t="shared" si="61"/>
        <v/>
      </c>
      <c r="BE29" s="349" t="str">
        <f t="shared" si="62"/>
        <v/>
      </c>
      <c r="BF29" s="350"/>
      <c r="BG29" s="351"/>
      <c r="BH29" s="352" t="e">
        <f>VLOOKUP(A29,Finance!$A$3:$J$45,8,FALSE)</f>
        <v>#N/A</v>
      </c>
      <c r="BI29" s="353"/>
      <c r="BJ29" s="351"/>
      <c r="BK29" s="354" t="e">
        <f t="shared" si="63"/>
        <v>#DIV/0!</v>
      </c>
      <c r="BL29" s="354" t="e">
        <f t="shared" si="64"/>
        <v>#N/A</v>
      </c>
      <c r="BM29" s="355" t="str">
        <f t="shared" si="65"/>
        <v/>
      </c>
      <c r="BN29" s="333"/>
      <c r="BO29" s="334"/>
      <c r="BP29" s="356" t="str">
        <f>IF(AND(BM29="",BE29="",AS29="",W29=""),"",IF(AND(BM29="G",BE29="G",AS29="G",W29="G"),"G",IF(OR(BM29="R",BE29="R",AS29="R",W29="R"),"R",VLOOKUP(CONCATENATE(W29,AS29,BE29,BM29),'Rag Coding'!A:B,2,FALSE))))</f>
        <v/>
      </c>
      <c r="BQ29" s="338">
        <f>'Dashboard Page'!N27</f>
        <v>0</v>
      </c>
      <c r="BR29" s="339" t="str">
        <f t="shared" ca="1" si="66"/>
        <v/>
      </c>
      <c r="BS29" s="339" t="str">
        <f t="shared" ca="1" si="67"/>
        <v/>
      </c>
      <c r="BT29" s="339" t="str">
        <f t="shared" ca="1" si="68"/>
        <v/>
      </c>
      <c r="BU29" s="339" t="str">
        <f t="shared" ca="1" si="69"/>
        <v/>
      </c>
      <c r="BV29" s="339" t="str">
        <f t="shared" ca="1" si="70"/>
        <v/>
      </c>
      <c r="BW29" s="339" t="str">
        <f t="shared" ca="1" si="71"/>
        <v/>
      </c>
      <c r="BX29" s="339" t="str">
        <f t="shared" ca="1" si="72"/>
        <v/>
      </c>
      <c r="BY29" s="339" t="str">
        <f t="shared" ca="1" si="73"/>
        <v/>
      </c>
      <c r="BZ29" s="339" t="str">
        <f t="shared" ca="1" si="74"/>
        <v/>
      </c>
      <c r="CA29" s="339" t="str">
        <f t="shared" si="75"/>
        <v>Stage Gate 1</v>
      </c>
    </row>
    <row r="30" spans="1:79" x14ac:dyDescent="0.2">
      <c r="A30" s="340"/>
      <c r="B30" s="336"/>
      <c r="C30" s="336"/>
      <c r="D30" s="335"/>
      <c r="E30" s="335"/>
      <c r="F30" s="335"/>
      <c r="G30" s="280"/>
      <c r="H30" s="283"/>
      <c r="I30" s="363" t="str">
        <f t="shared" si="43"/>
        <v/>
      </c>
      <c r="J30" s="364"/>
      <c r="K30" s="361" t="str">
        <f t="shared" si="44"/>
        <v/>
      </c>
      <c r="L30" s="345" t="str">
        <f t="shared" ca="1" si="45"/>
        <v/>
      </c>
      <c r="M30" s="360"/>
      <c r="N30" s="358"/>
      <c r="O30" s="343"/>
      <c r="P30" s="359"/>
      <c r="Q30" s="358"/>
      <c r="R30" s="337"/>
      <c r="S30" s="337"/>
      <c r="T30" s="344" t="str">
        <f t="shared" si="46"/>
        <v/>
      </c>
      <c r="U30" s="344" t="str">
        <f t="shared" si="47"/>
        <v/>
      </c>
      <c r="V30" s="344" t="str">
        <f t="shared" si="48"/>
        <v/>
      </c>
      <c r="W30" s="345" t="str">
        <f t="shared" si="49"/>
        <v/>
      </c>
      <c r="X30" s="342"/>
      <c r="Y30" s="358"/>
      <c r="Z30" s="343"/>
      <c r="AA30" s="358"/>
      <c r="AB30" s="358"/>
      <c r="AC30" s="343"/>
      <c r="AD30" s="343"/>
      <c r="AE30" s="344" t="str">
        <f t="shared" si="50"/>
        <v/>
      </c>
      <c r="AF30" s="344" t="str">
        <f t="shared" si="51"/>
        <v/>
      </c>
      <c r="AG30" s="344" t="str">
        <f t="shared" si="52"/>
        <v/>
      </c>
      <c r="AH30" s="345" t="str">
        <f t="shared" si="53"/>
        <v/>
      </c>
      <c r="AI30" s="342"/>
      <c r="AJ30" s="358"/>
      <c r="AK30" s="343"/>
      <c r="AL30" s="358"/>
      <c r="AM30" s="358"/>
      <c r="AN30" s="343"/>
      <c r="AO30" s="343"/>
      <c r="AP30" s="344" t="str">
        <f t="shared" si="54"/>
        <v/>
      </c>
      <c r="AQ30" s="344" t="str">
        <f t="shared" si="55"/>
        <v/>
      </c>
      <c r="AR30" s="344" t="str">
        <f t="shared" si="56"/>
        <v/>
      </c>
      <c r="AS30" s="345" t="str">
        <f t="shared" si="57"/>
        <v/>
      </c>
      <c r="AT30" s="346"/>
      <c r="AU30" s="359"/>
      <c r="AV30" s="347"/>
      <c r="AW30" s="359"/>
      <c r="AX30" s="359"/>
      <c r="AY30" s="341" t="str">
        <f t="shared" si="58"/>
        <v/>
      </c>
      <c r="AZ30" s="341"/>
      <c r="BA30" s="341"/>
      <c r="BB30" s="348" t="str">
        <f t="shared" si="59"/>
        <v/>
      </c>
      <c r="BC30" s="348" t="str">
        <f t="shared" si="60"/>
        <v/>
      </c>
      <c r="BD30" s="348" t="str">
        <f t="shared" si="61"/>
        <v/>
      </c>
      <c r="BE30" s="349" t="str">
        <f t="shared" si="62"/>
        <v/>
      </c>
      <c r="BF30" s="350"/>
      <c r="BG30" s="351"/>
      <c r="BH30" s="352" t="e">
        <f>VLOOKUP(A30,Finance!$A$3:$J$45,8,FALSE)</f>
        <v>#N/A</v>
      </c>
      <c r="BI30" s="353"/>
      <c r="BJ30" s="351"/>
      <c r="BK30" s="354" t="e">
        <f t="shared" si="63"/>
        <v>#DIV/0!</v>
      </c>
      <c r="BL30" s="354" t="e">
        <f t="shared" si="64"/>
        <v>#N/A</v>
      </c>
      <c r="BM30" s="355" t="str">
        <f t="shared" si="65"/>
        <v/>
      </c>
      <c r="BN30" s="333"/>
      <c r="BO30" s="334"/>
      <c r="BP30" s="356" t="str">
        <f>IF(AND(BM30="",BE30="",AS30="",W30=""),"",IF(AND(BM30="G",BE30="G",AS30="G",W30="G"),"G",IF(OR(BM30="R",BE30="R",AS30="R",W30="R"),"R",VLOOKUP(CONCATENATE(W30,AS30,BE30,BM30),'Rag Coding'!A:B,2,FALSE))))</f>
        <v/>
      </c>
      <c r="BQ30" s="338">
        <f>'Dashboard Page'!N27</f>
        <v>0</v>
      </c>
      <c r="BR30" s="339" t="str">
        <f t="shared" ca="1" si="66"/>
        <v/>
      </c>
      <c r="BS30" s="339" t="str">
        <f t="shared" ca="1" si="67"/>
        <v/>
      </c>
      <c r="BT30" s="339" t="str">
        <f t="shared" ca="1" si="68"/>
        <v/>
      </c>
      <c r="BU30" s="339" t="str">
        <f t="shared" ca="1" si="69"/>
        <v/>
      </c>
      <c r="BV30" s="339" t="str">
        <f t="shared" ca="1" si="70"/>
        <v/>
      </c>
      <c r="BW30" s="339" t="str">
        <f t="shared" ca="1" si="71"/>
        <v/>
      </c>
      <c r="BX30" s="339" t="str">
        <f t="shared" ca="1" si="72"/>
        <v/>
      </c>
      <c r="BY30" s="339" t="str">
        <f t="shared" ca="1" si="73"/>
        <v/>
      </c>
      <c r="BZ30" s="339" t="str">
        <f t="shared" ca="1" si="74"/>
        <v/>
      </c>
      <c r="CA30" s="339" t="str">
        <f t="shared" si="75"/>
        <v>Stage Gate 1</v>
      </c>
    </row>
    <row r="31" spans="1:79" x14ac:dyDescent="0.2">
      <c r="A31" s="340"/>
      <c r="B31" s="336"/>
      <c r="C31" s="336"/>
      <c r="D31" s="335"/>
      <c r="E31" s="335"/>
      <c r="F31" s="335"/>
      <c r="G31" s="280"/>
      <c r="H31" s="283"/>
      <c r="I31" s="363" t="str">
        <f t="shared" si="43"/>
        <v/>
      </c>
      <c r="J31" s="364"/>
      <c r="K31" s="361" t="str">
        <f t="shared" si="44"/>
        <v/>
      </c>
      <c r="L31" s="345" t="str">
        <f t="shared" ca="1" si="45"/>
        <v/>
      </c>
      <c r="M31" s="360"/>
      <c r="N31" s="358"/>
      <c r="O31" s="343"/>
      <c r="P31" s="359"/>
      <c r="Q31" s="358"/>
      <c r="R31" s="337"/>
      <c r="S31" s="337"/>
      <c r="T31" s="344" t="str">
        <f t="shared" si="46"/>
        <v/>
      </c>
      <c r="U31" s="344" t="str">
        <f t="shared" si="47"/>
        <v/>
      </c>
      <c r="V31" s="344" t="str">
        <f t="shared" si="48"/>
        <v/>
      </c>
      <c r="W31" s="345" t="str">
        <f t="shared" si="49"/>
        <v/>
      </c>
      <c r="X31" s="342"/>
      <c r="Y31" s="358"/>
      <c r="Z31" s="343"/>
      <c r="AA31" s="358"/>
      <c r="AB31" s="358"/>
      <c r="AC31" s="343"/>
      <c r="AD31" s="343"/>
      <c r="AE31" s="344" t="str">
        <f t="shared" si="50"/>
        <v/>
      </c>
      <c r="AF31" s="344" t="str">
        <f t="shared" si="51"/>
        <v/>
      </c>
      <c r="AG31" s="344" t="str">
        <f t="shared" si="52"/>
        <v/>
      </c>
      <c r="AH31" s="345" t="str">
        <f t="shared" si="53"/>
        <v/>
      </c>
      <c r="AI31" s="342"/>
      <c r="AJ31" s="358"/>
      <c r="AK31" s="343"/>
      <c r="AL31" s="358"/>
      <c r="AM31" s="358"/>
      <c r="AN31" s="343"/>
      <c r="AO31" s="343"/>
      <c r="AP31" s="344" t="str">
        <f t="shared" si="54"/>
        <v/>
      </c>
      <c r="AQ31" s="344" t="str">
        <f t="shared" si="55"/>
        <v/>
      </c>
      <c r="AR31" s="344" t="str">
        <f t="shared" si="56"/>
        <v/>
      </c>
      <c r="AS31" s="345" t="str">
        <f t="shared" si="57"/>
        <v/>
      </c>
      <c r="AT31" s="346"/>
      <c r="AU31" s="359"/>
      <c r="AV31" s="347"/>
      <c r="AW31" s="359"/>
      <c r="AX31" s="359"/>
      <c r="AY31" s="341" t="str">
        <f t="shared" si="58"/>
        <v/>
      </c>
      <c r="AZ31" s="341"/>
      <c r="BA31" s="341"/>
      <c r="BB31" s="348" t="str">
        <f t="shared" si="59"/>
        <v/>
      </c>
      <c r="BC31" s="348" t="str">
        <f t="shared" si="60"/>
        <v/>
      </c>
      <c r="BD31" s="348" t="str">
        <f t="shared" si="61"/>
        <v/>
      </c>
      <c r="BE31" s="349" t="str">
        <f t="shared" si="62"/>
        <v/>
      </c>
      <c r="BF31" s="350"/>
      <c r="BG31" s="351"/>
      <c r="BH31" s="352" t="e">
        <f>VLOOKUP(A31,Finance!$A$3:$J$45,8,FALSE)</f>
        <v>#N/A</v>
      </c>
      <c r="BI31" s="353"/>
      <c r="BJ31" s="351"/>
      <c r="BK31" s="354" t="e">
        <f t="shared" si="63"/>
        <v>#DIV/0!</v>
      </c>
      <c r="BL31" s="354" t="e">
        <f t="shared" si="64"/>
        <v>#N/A</v>
      </c>
      <c r="BM31" s="355" t="str">
        <f t="shared" si="65"/>
        <v/>
      </c>
      <c r="BN31" s="333"/>
      <c r="BO31" s="334"/>
      <c r="BP31" s="356" t="str">
        <f>IF(AND(BM31="",BE31="",AS31="",W31=""),"",IF(AND(BM31="G",BE31="G",AS31="G",W31="G"),"G",IF(OR(BM31="R",BE31="R",AS31="R",W31="R"),"R",VLOOKUP(CONCATENATE(W31,AS31,BE31,BM31),'Rag Coding'!A:B,2,FALSE))))</f>
        <v/>
      </c>
      <c r="BQ31" s="338">
        <f>'Dashboard Page'!N27</f>
        <v>0</v>
      </c>
      <c r="BR31" s="339" t="str">
        <f t="shared" ca="1" si="66"/>
        <v/>
      </c>
      <c r="BS31" s="339" t="str">
        <f t="shared" ca="1" si="67"/>
        <v/>
      </c>
      <c r="BT31" s="339" t="str">
        <f t="shared" ca="1" si="68"/>
        <v/>
      </c>
      <c r="BU31" s="339" t="str">
        <f t="shared" ca="1" si="69"/>
        <v/>
      </c>
      <c r="BV31" s="339" t="str">
        <f t="shared" ca="1" si="70"/>
        <v/>
      </c>
      <c r="BW31" s="339" t="str">
        <f t="shared" ca="1" si="71"/>
        <v/>
      </c>
      <c r="BX31" s="339" t="str">
        <f t="shared" ca="1" si="72"/>
        <v/>
      </c>
      <c r="BY31" s="339" t="str">
        <f t="shared" ca="1" si="73"/>
        <v/>
      </c>
      <c r="BZ31" s="339" t="str">
        <f t="shared" ca="1" si="74"/>
        <v/>
      </c>
      <c r="CA31" s="339" t="str">
        <f t="shared" si="75"/>
        <v>Stage Gate 1</v>
      </c>
    </row>
    <row r="32" spans="1:79" x14ac:dyDescent="0.2">
      <c r="A32" s="340"/>
      <c r="B32" s="336"/>
      <c r="C32" s="336"/>
      <c r="D32" s="335"/>
      <c r="E32" s="335"/>
      <c r="F32" s="335"/>
      <c r="G32" s="280"/>
      <c r="H32" s="283"/>
      <c r="I32" s="363" t="str">
        <f t="shared" si="43"/>
        <v/>
      </c>
      <c r="J32" s="364"/>
      <c r="K32" s="361" t="str">
        <f t="shared" si="44"/>
        <v/>
      </c>
      <c r="L32" s="345" t="str">
        <f t="shared" ca="1" si="45"/>
        <v/>
      </c>
      <c r="M32" s="360"/>
      <c r="N32" s="358"/>
      <c r="O32" s="343"/>
      <c r="P32" s="359"/>
      <c r="Q32" s="358"/>
      <c r="R32" s="337"/>
      <c r="S32" s="337"/>
      <c r="T32" s="344" t="str">
        <f t="shared" si="46"/>
        <v/>
      </c>
      <c r="U32" s="344" t="str">
        <f t="shared" si="47"/>
        <v/>
      </c>
      <c r="V32" s="344" t="str">
        <f t="shared" si="48"/>
        <v/>
      </c>
      <c r="W32" s="345" t="str">
        <f t="shared" si="49"/>
        <v/>
      </c>
      <c r="X32" s="342"/>
      <c r="Y32" s="358"/>
      <c r="Z32" s="343"/>
      <c r="AA32" s="358"/>
      <c r="AB32" s="358"/>
      <c r="AC32" s="343"/>
      <c r="AD32" s="343"/>
      <c r="AE32" s="344" t="str">
        <f t="shared" si="50"/>
        <v/>
      </c>
      <c r="AF32" s="344" t="str">
        <f t="shared" si="51"/>
        <v/>
      </c>
      <c r="AG32" s="344" t="str">
        <f t="shared" si="52"/>
        <v/>
      </c>
      <c r="AH32" s="345" t="str">
        <f t="shared" si="53"/>
        <v/>
      </c>
      <c r="AI32" s="342"/>
      <c r="AJ32" s="358"/>
      <c r="AK32" s="343"/>
      <c r="AL32" s="358"/>
      <c r="AM32" s="358"/>
      <c r="AN32" s="343"/>
      <c r="AO32" s="343"/>
      <c r="AP32" s="344" t="str">
        <f t="shared" si="54"/>
        <v/>
      </c>
      <c r="AQ32" s="344" t="str">
        <f t="shared" si="55"/>
        <v/>
      </c>
      <c r="AR32" s="344" t="str">
        <f t="shared" si="56"/>
        <v/>
      </c>
      <c r="AS32" s="345" t="str">
        <f t="shared" si="57"/>
        <v/>
      </c>
      <c r="AT32" s="346"/>
      <c r="AU32" s="359"/>
      <c r="AV32" s="347"/>
      <c r="AW32" s="359"/>
      <c r="AX32" s="359"/>
      <c r="AY32" s="341" t="str">
        <f t="shared" si="58"/>
        <v/>
      </c>
      <c r="AZ32" s="341"/>
      <c r="BA32" s="341"/>
      <c r="BB32" s="348" t="str">
        <f t="shared" si="59"/>
        <v/>
      </c>
      <c r="BC32" s="348" t="str">
        <f t="shared" si="60"/>
        <v/>
      </c>
      <c r="BD32" s="348" t="str">
        <f t="shared" si="61"/>
        <v/>
      </c>
      <c r="BE32" s="349" t="str">
        <f t="shared" si="62"/>
        <v/>
      </c>
      <c r="BF32" s="350"/>
      <c r="BG32" s="351"/>
      <c r="BH32" s="352" t="e">
        <f>VLOOKUP(A32,Finance!$A$3:$J$45,8,FALSE)</f>
        <v>#N/A</v>
      </c>
      <c r="BI32" s="353"/>
      <c r="BJ32" s="351"/>
      <c r="BK32" s="354" t="e">
        <f t="shared" si="63"/>
        <v>#DIV/0!</v>
      </c>
      <c r="BL32" s="354" t="e">
        <f t="shared" si="64"/>
        <v>#N/A</v>
      </c>
      <c r="BM32" s="355" t="str">
        <f t="shared" si="65"/>
        <v/>
      </c>
      <c r="BN32" s="333"/>
      <c r="BO32" s="334"/>
      <c r="BP32" s="356" t="str">
        <f>IF(AND(BM32="",BE32="",AS32="",W32=""),"",IF(AND(BM32="G",BE32="G",AS32="G",W32="G"),"G",IF(OR(BM32="R",BE32="R",AS32="R",W32="R"),"R",VLOOKUP(CONCATENATE(W32,AS32,BE32,BM32),'Rag Coding'!A:B,2,FALSE))))</f>
        <v/>
      </c>
      <c r="BQ32" s="338">
        <f>'Dashboard Page'!N27</f>
        <v>0</v>
      </c>
      <c r="BR32" s="339" t="str">
        <f t="shared" ca="1" si="66"/>
        <v/>
      </c>
      <c r="BS32" s="339" t="str">
        <f t="shared" ca="1" si="67"/>
        <v/>
      </c>
      <c r="BT32" s="339" t="str">
        <f t="shared" ca="1" si="68"/>
        <v/>
      </c>
      <c r="BU32" s="339" t="str">
        <f t="shared" ca="1" si="69"/>
        <v/>
      </c>
      <c r="BV32" s="339" t="str">
        <f t="shared" ca="1" si="70"/>
        <v/>
      </c>
      <c r="BW32" s="339" t="str">
        <f t="shared" ca="1" si="71"/>
        <v/>
      </c>
      <c r="BX32" s="339" t="str">
        <f t="shared" ca="1" si="72"/>
        <v/>
      </c>
      <c r="BY32" s="339" t="str">
        <f t="shared" ca="1" si="73"/>
        <v/>
      </c>
      <c r="BZ32" s="339" t="str">
        <f t="shared" ca="1" si="74"/>
        <v/>
      </c>
      <c r="CA32" s="339" t="str">
        <f t="shared" si="75"/>
        <v>Stage Gate 1</v>
      </c>
    </row>
    <row r="33" spans="1:79" x14ac:dyDescent="0.2">
      <c r="A33" s="340"/>
      <c r="B33" s="336"/>
      <c r="C33" s="336"/>
      <c r="D33" s="335"/>
      <c r="E33" s="335"/>
      <c r="F33" s="335"/>
      <c r="G33" s="280"/>
      <c r="H33" s="283"/>
      <c r="I33" s="363" t="str">
        <f t="shared" si="43"/>
        <v/>
      </c>
      <c r="J33" s="364"/>
      <c r="K33" s="361" t="str">
        <f t="shared" si="44"/>
        <v/>
      </c>
      <c r="L33" s="345" t="str">
        <f t="shared" ca="1" si="45"/>
        <v/>
      </c>
      <c r="M33" s="360"/>
      <c r="N33" s="358"/>
      <c r="O33" s="343"/>
      <c r="P33" s="359"/>
      <c r="Q33" s="358"/>
      <c r="R33" s="337"/>
      <c r="S33" s="337"/>
      <c r="T33" s="344" t="str">
        <f t="shared" si="46"/>
        <v/>
      </c>
      <c r="U33" s="344" t="str">
        <f t="shared" si="47"/>
        <v/>
      </c>
      <c r="V33" s="344" t="str">
        <f t="shared" si="48"/>
        <v/>
      </c>
      <c r="W33" s="345" t="str">
        <f t="shared" si="49"/>
        <v/>
      </c>
      <c r="X33" s="342"/>
      <c r="Y33" s="358"/>
      <c r="Z33" s="343"/>
      <c r="AA33" s="358"/>
      <c r="AB33" s="358"/>
      <c r="AC33" s="343"/>
      <c r="AD33" s="343"/>
      <c r="AE33" s="344" t="str">
        <f t="shared" si="50"/>
        <v/>
      </c>
      <c r="AF33" s="344" t="str">
        <f t="shared" si="51"/>
        <v/>
      </c>
      <c r="AG33" s="344" t="str">
        <f t="shared" si="52"/>
        <v/>
      </c>
      <c r="AH33" s="345" t="str">
        <f t="shared" si="53"/>
        <v/>
      </c>
      <c r="AI33" s="342"/>
      <c r="AJ33" s="358"/>
      <c r="AK33" s="343"/>
      <c r="AL33" s="358"/>
      <c r="AM33" s="358"/>
      <c r="AN33" s="343"/>
      <c r="AO33" s="343"/>
      <c r="AP33" s="344" t="str">
        <f t="shared" si="54"/>
        <v/>
      </c>
      <c r="AQ33" s="344" t="str">
        <f t="shared" si="55"/>
        <v/>
      </c>
      <c r="AR33" s="344" t="str">
        <f t="shared" si="56"/>
        <v/>
      </c>
      <c r="AS33" s="345" t="str">
        <f t="shared" si="57"/>
        <v/>
      </c>
      <c r="AT33" s="346"/>
      <c r="AU33" s="359"/>
      <c r="AV33" s="347"/>
      <c r="AW33" s="359"/>
      <c r="AX33" s="359"/>
      <c r="AY33" s="341" t="str">
        <f t="shared" si="58"/>
        <v/>
      </c>
      <c r="AZ33" s="341"/>
      <c r="BA33" s="341"/>
      <c r="BB33" s="348" t="str">
        <f t="shared" si="59"/>
        <v/>
      </c>
      <c r="BC33" s="348" t="str">
        <f t="shared" si="60"/>
        <v/>
      </c>
      <c r="BD33" s="348" t="str">
        <f t="shared" si="61"/>
        <v/>
      </c>
      <c r="BE33" s="349" t="str">
        <f t="shared" si="62"/>
        <v/>
      </c>
      <c r="BF33" s="350"/>
      <c r="BG33" s="351"/>
      <c r="BH33" s="352" t="e">
        <f>VLOOKUP(A33,Finance!$A$3:$J$45,8,FALSE)</f>
        <v>#N/A</v>
      </c>
      <c r="BI33" s="353"/>
      <c r="BJ33" s="351"/>
      <c r="BK33" s="354" t="e">
        <f t="shared" si="63"/>
        <v>#DIV/0!</v>
      </c>
      <c r="BL33" s="354" t="e">
        <f t="shared" si="64"/>
        <v>#N/A</v>
      </c>
      <c r="BM33" s="355" t="str">
        <f t="shared" si="65"/>
        <v/>
      </c>
      <c r="BN33" s="333"/>
      <c r="BO33" s="334"/>
      <c r="BP33" s="356" t="str">
        <f>IF(AND(BM33="",BE33="",AS33="",W33=""),"",IF(AND(BM33="G",BE33="G",AS33="G",W33="G"),"G",IF(OR(BM33="R",BE33="R",AS33="R",W33="R"),"R",VLOOKUP(CONCATENATE(W33,AS33,BE33,BM33),'Rag Coding'!A:B,2,FALSE))))</f>
        <v/>
      </c>
      <c r="BQ33" s="338">
        <f>'Dashboard Page'!N27</f>
        <v>0</v>
      </c>
      <c r="BR33" s="339" t="str">
        <f t="shared" ca="1" si="66"/>
        <v/>
      </c>
      <c r="BS33" s="339" t="str">
        <f t="shared" ca="1" si="67"/>
        <v/>
      </c>
      <c r="BT33" s="339" t="str">
        <f t="shared" ca="1" si="68"/>
        <v/>
      </c>
      <c r="BU33" s="339" t="str">
        <f t="shared" ca="1" si="69"/>
        <v/>
      </c>
      <c r="BV33" s="339" t="str">
        <f t="shared" ca="1" si="70"/>
        <v/>
      </c>
      <c r="BW33" s="339" t="str">
        <f t="shared" ca="1" si="71"/>
        <v/>
      </c>
      <c r="BX33" s="339" t="str">
        <f t="shared" ca="1" si="72"/>
        <v/>
      </c>
      <c r="BY33" s="339" t="str">
        <f t="shared" ca="1" si="73"/>
        <v/>
      </c>
      <c r="BZ33" s="339" t="str">
        <f t="shared" ca="1" si="74"/>
        <v/>
      </c>
      <c r="CA33" s="339" t="str">
        <f t="shared" si="75"/>
        <v>Stage Gate 1</v>
      </c>
    </row>
    <row r="34" spans="1:79" x14ac:dyDescent="0.2">
      <c r="A34" s="340"/>
      <c r="B34" s="336"/>
      <c r="C34" s="336"/>
      <c r="D34" s="335"/>
      <c r="E34" s="335"/>
      <c r="F34" s="335"/>
      <c r="G34" s="280"/>
      <c r="H34" s="305"/>
      <c r="I34" s="363" t="str">
        <f t="shared" ref="I34" si="76">IF(H34="","",DATE(YEAR(H34),MONTH(H34)+1,DAY(H34)))</f>
        <v/>
      </c>
      <c r="J34" s="364"/>
      <c r="K34" s="361" t="str">
        <f t="shared" ref="K34" si="77">IF(H34="","",IF(J34="","Board Date"&amp;CHAR(10)&amp;TEXT(I34,"dd/mm/yyyy"),"Completed"&amp;CHAR(10)&amp;TEXT(J34,"dd/mm/yyyy")))</f>
        <v/>
      </c>
      <c r="L34" s="345" t="str">
        <f t="shared" ref="L34" ca="1" si="78">IF(AND(J34="",I34=""),"",IF(AND(J34="",I34&lt;TODAY()),"R","G"))</f>
        <v/>
      </c>
      <c r="M34" s="360"/>
      <c r="N34" s="358"/>
      <c r="O34" s="343"/>
      <c r="P34" s="359"/>
      <c r="Q34" s="358"/>
      <c r="R34" s="337"/>
      <c r="S34" s="337"/>
      <c r="T34" s="344" t="str">
        <f t="shared" ref="T34" si="79">IFERROR(IF(1-(N34-M34)/(O34-M34)&gt;0.9,"G",IF(1-(N34-M34)/(O34-M34)&gt;0.85,"A","R")),"")</f>
        <v/>
      </c>
      <c r="U34" s="344" t="str">
        <f t="shared" ref="U34" si="80">IF(P34="","",IF((O34-M34)/(P34-M34)&gt;0.9,"G",(IF((O34-M34)/(P34-M34)&gt;0.85,"A","R"))))</f>
        <v/>
      </c>
      <c r="V34" s="344" t="str">
        <f t="shared" ref="V34" si="81">IF(Q34="","",IF((O34-M34)/(Q34-M34)&gt;0.9,"G",(IF((O34-M34)/(Q34-M34)&gt;0.85,"A","R"))))</f>
        <v/>
      </c>
      <c r="W34" s="345" t="str">
        <f t="shared" ref="W34" si="82">IF(V34="",IF(U34="",T34,U34),V34)</f>
        <v/>
      </c>
      <c r="X34" s="360"/>
      <c r="Y34" s="358"/>
      <c r="Z34" s="343"/>
      <c r="AA34" s="358"/>
      <c r="AB34" s="358"/>
      <c r="AC34" s="343"/>
      <c r="AD34" s="343"/>
      <c r="AE34" s="344" t="str">
        <f t="shared" ref="AE34" si="83">IFERROR(IF(1-(Y34-X34)/(Z34-X34)&gt;0.9,"G",IF(1-(Y34-X34)/(Z34-X34)&gt;0.85,"A","R")),"")</f>
        <v/>
      </c>
      <c r="AF34" s="344" t="str">
        <f t="shared" ref="AF34" si="84">IF(AA34="","",IF((Z34-X34)/(AA34-X34)&gt;0.9,"G",(IF((Z34-X34)/(AA34-X34)&gt;0.85,"A","R"))))</f>
        <v/>
      </c>
      <c r="AG34" s="344" t="str">
        <f t="shared" ref="AG34" si="85">IF(AB34="","",IF((Z34-X34)/(AB34-X34)&gt;0.9,"G",(IF((Z34-X34)/(AB34-X34)&gt;0.85,"A","R"))))</f>
        <v/>
      </c>
      <c r="AH34" s="345" t="str">
        <f t="shared" ref="AH34" si="86">IF(AG34="",IF(AF34="",AE34,AF34),AG34)</f>
        <v/>
      </c>
      <c r="AI34" s="360"/>
      <c r="AJ34" s="358"/>
      <c r="AK34" s="343"/>
      <c r="AL34" s="358"/>
      <c r="AM34" s="358"/>
      <c r="AN34" s="343"/>
      <c r="AO34" s="343"/>
      <c r="AP34" s="344" t="str">
        <f t="shared" ref="AP34" si="87">IFERROR(IF(1-(AJ34-AI34)/(AK34-AI34)&gt;0.9,"G",IF(1-(AJ34-AI34)/(AK34-AI34)&gt;0.85,"A","R")),"")</f>
        <v/>
      </c>
      <c r="AQ34" s="344" t="str">
        <f t="shared" ref="AQ34" si="88">IF(AL34="","",IF((AK34-AI34)/(AL34-AI34)&gt;0.9,"G",(IF((AK34-AI34)/(AL34-AI34)&gt;0.85,"A","R"))))</f>
        <v/>
      </c>
      <c r="AR34" s="344" t="str">
        <f t="shared" ref="AR34" si="89">IF(AM34="","",IF((AK34-AI34)/(AM34-AI34)&gt;0.9,"G",(IF((AK34-AI34)/(AM34-AI34)&gt;0.85,"A","R"))))</f>
        <v/>
      </c>
      <c r="AS34" s="345" t="str">
        <f t="shared" ref="AS34" si="90">IF(AR34="",IF(AQ34="",AP34,AQ34),AR34)</f>
        <v/>
      </c>
      <c r="AT34" s="307"/>
      <c r="AU34" s="359"/>
      <c r="AV34" s="347"/>
      <c r="AW34" s="359"/>
      <c r="AX34" s="359"/>
      <c r="AY34" s="341" t="str">
        <f t="shared" ref="AY34" si="91">IF(AX34="","",DATE(YEAR(AX34),MONTH(AX34)+3,DAY(AX34)))</f>
        <v/>
      </c>
      <c r="AZ34" s="341"/>
      <c r="BA34" s="341"/>
      <c r="BB34" s="348" t="str">
        <f t="shared" ref="BB34" si="92">IFERROR(IF(1-(AU34-AT34)/(AV34-AT34)&gt;0.9,"G",IF(1-(AU34-AT34)/(AV34-AT34)&gt;0.85,"A","R")),"")</f>
        <v/>
      </c>
      <c r="BC34" s="348" t="str">
        <f t="shared" ref="BC34" si="93">IF(AW34="","",IF((AV34-AT34)/(AW34-AT34)&gt;0.9,"G",(IF((AV34-AT34)/(AW34-AT34)&gt;0.85,"A","R"))))</f>
        <v/>
      </c>
      <c r="BD34" s="348" t="str">
        <f t="shared" ref="BD34" si="94">IF(AX34="","",IF((AV34-AT34)/(AX34-AT34)&gt;0.9,"G",(IF((AV34-AT34)/(AX34-AT34)&gt;0.85,"A","R"))))</f>
        <v/>
      </c>
      <c r="BE34" s="270" t="str">
        <f t="shared" ref="BE34" si="95">IF(BD34="",IF(BC34="",BB34,BC34),BD34)</f>
        <v/>
      </c>
      <c r="BF34" s="350"/>
      <c r="BG34" s="351"/>
      <c r="BH34" s="352" t="e">
        <f>VLOOKUP(A34,Finance!$A$3:$J$45,8,FALSE)</f>
        <v>#N/A</v>
      </c>
      <c r="BI34" s="323"/>
      <c r="BJ34" s="322"/>
      <c r="BK34" s="324" t="e">
        <f t="shared" ref="BK34" si="96">(BG34-BF34)/BF34</f>
        <v>#DIV/0!</v>
      </c>
      <c r="BL34" s="324" t="e">
        <f t="shared" ref="BL34" si="97">(BH34-BF34)/BF34</f>
        <v>#N/A</v>
      </c>
      <c r="BM34" s="325" t="str">
        <f t="shared" ref="BM34" si="98">IF(BF34="","",IF(AND(BK34&lt;0.025,BL34&lt;0.025),"G",IF(OR(BK34&gt;0.05,BL34&gt;0.05),"R",IF(AND(BK34&gt;0.025,BL34&gt;0.025),"A","G"))))</f>
        <v/>
      </c>
      <c r="BN34" s="318"/>
      <c r="BO34" s="319"/>
      <c r="BP34" s="326" t="str">
        <f>IF(AND(BM34="",BE34="",AS34="",W34=""),"",IF(AND(BM34="G",BE34="G",AS34="G",W34="G"),"G",IF(OR(BM34="R",BE34="R",AS34="R",W34="R"),"R",VLOOKUP(CONCATENATE(W34,AS34,BE34,BM34),'Rag Coding'!A:B,2,FALSE))))</f>
        <v/>
      </c>
      <c r="BQ34" s="320">
        <f>'Dashboard Page'!N28</f>
        <v>0</v>
      </c>
      <c r="BR34" s="321" t="str">
        <f t="shared" ref="BR34" ca="1" si="99">IF(M34="","",IF(V34&lt;&gt;"","Completed ",IF(AND(U34&lt;&gt;"",P34&gt;TODAY()),"Forecast Completion on "&amp;DAY(P34)&amp;"-"&amp;MONTH(P34)&amp;"-"&amp;YEAR(P34)&amp;CHAR(10)&amp;IF(P34-O34&gt;0,(P34-O34)&amp;" day(s) late",(IF(P34-O34=0,"on time",(O34-P34)&amp;" day(s) early"))),IF(P34&lt;TODAY(),"Forecast Completion in the past, please update","Baseline Complete"))))</f>
        <v/>
      </c>
      <c r="BS34" s="321" t="str">
        <f t="shared" ref="BS34" ca="1" si="100">IF(BR34="Completed ",IF(Q34-O34&gt;0,Q34-O34&amp;" day(s) late",(IF(Q34-O34=0,"on time",O34-Q34&amp;" day(s) early"))),"")</f>
        <v/>
      </c>
      <c r="BT34" s="321" t="str">
        <f t="shared" ref="BT34" ca="1" si="101">IF(X34="","",IF(AG34&lt;&gt;"","Completed ",IF(AND(AF34&lt;&gt;"",AA34&gt;TODAY()),"Forecast Completion on "&amp;DAY(AA34)&amp;"-"&amp;MONTH(AA34)&amp;"-"&amp;YEAR(AA34)&amp;CHAR(10)&amp;IF(AA34-Z34&gt;0,(AA34-Z34)&amp;" day(s) late",(IF(AA34-Z34=0,"on time",(Z34-AA34)&amp;" day(s) early"))),IF(AA34&lt;TODAY(),"Forecast Completion in the past, please update","Baseline Complete"))))</f>
        <v/>
      </c>
      <c r="BU34" s="321" t="str">
        <f t="shared" ref="BU34" ca="1" si="102">IF(BT34="Completed ",IF(AB34-Z34&gt;0,AB34-Z34&amp;" day(s) late",(IF(AB34-Z34=0,"on time",Z34-AB34&amp;" day(s) early"))),"")</f>
        <v/>
      </c>
      <c r="BV34" s="321" t="str">
        <f t="shared" ref="BV34" ca="1" si="103">IF(AI34="","",IF(AR34&lt;&gt;"","Completed ",IF(AND(AQ34&lt;&gt;"",AL34&gt;TODAY()),"Forecast Completion on "&amp;DAY(AL34)&amp;"-"&amp;MONTH(AL34)&amp;"-"&amp;YEAR(AL34)&amp;CHAR(10)&amp;IF(AL34-AK34&gt;0,(AL34-AK34)&amp;" day(s) late",(IF(AL34-AK34=0,"on time",(AK34-AL34)&amp;" day(s) early"))),IF(AL34&lt;TODAY(),"Forecast Completion in the past, please update","Baseline Complete"))))</f>
        <v/>
      </c>
      <c r="BW34" s="321" t="str">
        <f t="shared" ref="BW34" ca="1" si="104">IF(BV34="Completed ",IF(AM34-AK34&gt;0,AM34-AK34&amp;" day(s) late",(IF(AM34-AK34=0,"on time",AK34-AM34&amp;" day(s) early"))),"")</f>
        <v/>
      </c>
      <c r="BX34" s="321" t="str">
        <f t="shared" ref="BX34" ca="1" si="105">IF(AT34="","",IF(BD34&lt;&gt;"","Completed ",IF(AND(BC34&lt;&gt;"",AW34&gt;TODAY()),"Forecast Completion on "&amp;DAY(AW34)&amp;"-"&amp;MONTH(AW34)&amp;"-"&amp;YEAR(AW34)&amp;CHAR(10)&amp;IF(AW34-AV34&gt;0,(AW34-AV34)&amp;" day(s) late",(IF(AW34-AV34=0,"on time",(AV34-AW34)&amp;" day(s) early"))),IF(AW34&lt;TODAY(),"Forecast Completion in the past, please update","Baseline Complete"))))</f>
        <v/>
      </c>
      <c r="BY34" s="321" t="str">
        <f t="shared" ref="BY34" ca="1" si="106">IF(BX34="Completed ",IF(AX34-AV34&gt;0,AX34-AV34&amp;" day(s) late",(IF(AX34-AV34=0,"on time",AV34-AX34&amp;" day(s) early"))),"")</f>
        <v/>
      </c>
      <c r="BZ34" s="321" t="str">
        <f t="shared" ref="BZ34" ca="1" si="107">IF(BX34="Completed ",IF(BG34-BF34&gt;0,"Over budget by £"&amp;(BG34-BF34),"Under budget by £"&amp;BF34-BG34),IF(BG34="","","Current Forecast Spend £"&amp;BG34))</f>
        <v/>
      </c>
      <c r="CA34" s="321" t="str">
        <f t="shared" ref="CA34" si="108">IF(COUNTA(AT34:AX34),"Stage Gate 5",IF(COUNTA(AI34:AM34),"Stage Gate 4", IF(COUNTA(X34:AB34),"Stage Gate 3",  IF(COUNTA(M34:Q34),"Stage Gate 2", "Stage Gate 1"))))</f>
        <v>Stage Gate 1</v>
      </c>
    </row>
    <row r="35" spans="1:79" x14ac:dyDescent="0.2">
      <c r="A35" s="340"/>
      <c r="B35" s="336"/>
      <c r="C35" s="336"/>
      <c r="D35" s="335"/>
      <c r="E35" s="335"/>
      <c r="F35" s="335"/>
      <c r="G35" s="280"/>
      <c r="H35" s="305"/>
      <c r="I35" s="363" t="str">
        <f t="shared" si="42"/>
        <v/>
      </c>
      <c r="J35" s="364"/>
      <c r="K35" s="361" t="str">
        <f t="shared" si="33"/>
        <v/>
      </c>
      <c r="L35" s="345" t="str">
        <f t="shared" ca="1" si="34"/>
        <v/>
      </c>
      <c r="M35" s="360"/>
      <c r="N35" s="358"/>
      <c r="O35" s="343"/>
      <c r="P35" s="359"/>
      <c r="Q35" s="358"/>
      <c r="R35" s="337"/>
      <c r="S35" s="337"/>
      <c r="T35" s="344" t="str">
        <f t="shared" si="2"/>
        <v/>
      </c>
      <c r="U35" s="344" t="str">
        <f t="shared" si="3"/>
        <v/>
      </c>
      <c r="V35" s="344" t="str">
        <f t="shared" si="4"/>
        <v/>
      </c>
      <c r="W35" s="345" t="str">
        <f t="shared" si="32"/>
        <v/>
      </c>
      <c r="X35" s="360"/>
      <c r="Y35" s="358"/>
      <c r="Z35" s="343"/>
      <c r="AA35" s="358"/>
      <c r="AB35" s="358"/>
      <c r="AC35" s="343"/>
      <c r="AD35" s="343"/>
      <c r="AE35" s="344" t="str">
        <f t="shared" si="5"/>
        <v/>
      </c>
      <c r="AF35" s="344" t="str">
        <f t="shared" si="6"/>
        <v/>
      </c>
      <c r="AG35" s="344" t="str">
        <f t="shared" si="7"/>
        <v/>
      </c>
      <c r="AH35" s="345" t="str">
        <f t="shared" si="8"/>
        <v/>
      </c>
      <c r="AI35" s="360"/>
      <c r="AJ35" s="358"/>
      <c r="AK35" s="343"/>
      <c r="AL35" s="358"/>
      <c r="AM35" s="358"/>
      <c r="AN35" s="343"/>
      <c r="AO35" s="343"/>
      <c r="AP35" s="344" t="str">
        <f t="shared" si="35"/>
        <v/>
      </c>
      <c r="AQ35" s="344" t="str">
        <f t="shared" si="36"/>
        <v/>
      </c>
      <c r="AR35" s="344" t="str">
        <f t="shared" si="37"/>
        <v/>
      </c>
      <c r="AS35" s="345" t="str">
        <f t="shared" si="38"/>
        <v/>
      </c>
      <c r="AT35" s="307"/>
      <c r="AU35" s="359"/>
      <c r="AV35" s="347"/>
      <c r="AW35" s="359"/>
      <c r="AX35" s="359"/>
      <c r="AY35" s="341" t="str">
        <f t="shared" si="13"/>
        <v/>
      </c>
      <c r="AZ35" s="341"/>
      <c r="BA35" s="341"/>
      <c r="BB35" s="348" t="str">
        <f t="shared" si="14"/>
        <v/>
      </c>
      <c r="BC35" s="348" t="str">
        <f t="shared" si="15"/>
        <v/>
      </c>
      <c r="BD35" s="348" t="str">
        <f t="shared" si="16"/>
        <v/>
      </c>
      <c r="BE35" s="270" t="str">
        <f t="shared" si="39"/>
        <v/>
      </c>
      <c r="BF35" s="350"/>
      <c r="BG35" s="351"/>
      <c r="BH35" s="352" t="e">
        <f>VLOOKUP(A35,Finance!$A$3:$J$45,8,FALSE)</f>
        <v>#N/A</v>
      </c>
      <c r="BI35" s="62"/>
      <c r="BJ35" s="60"/>
      <c r="BK35" s="63" t="e">
        <f t="shared" si="40"/>
        <v>#DIV/0!</v>
      </c>
      <c r="BL35" s="63" t="e">
        <f t="shared" si="41"/>
        <v>#N/A</v>
      </c>
      <c r="BM35" s="64" t="str">
        <f t="shared" si="20"/>
        <v/>
      </c>
      <c r="BN35" s="18"/>
      <c r="BO35" s="19"/>
      <c r="BP35" s="65" t="str">
        <f>IF(AND(BM35="",BE35="",AS35="",W35=""),"",IF(AND(BM35="G",BE35="G",AS35="G",W35="G"),"G",IF(OR(BM35="R",BE35="R",AS35="R",W35="R"),"R",VLOOKUP(CONCATENATE(W35,AS35,BE35,BM35),'Rag Coding'!A:B,2,FALSE))))</f>
        <v/>
      </c>
      <c r="BQ35" s="37">
        <f>'Dashboard Page'!N29</f>
        <v>0</v>
      </c>
      <c r="BR35" s="39" t="str">
        <f t="shared" ca="1" si="21"/>
        <v/>
      </c>
      <c r="BS35" s="39" t="str">
        <f t="shared" ca="1" si="22"/>
        <v/>
      </c>
      <c r="BT35" s="39" t="str">
        <f t="shared" ca="1" si="23"/>
        <v/>
      </c>
      <c r="BU35" s="39" t="str">
        <f t="shared" ca="1" si="24"/>
        <v/>
      </c>
      <c r="BV35" s="39" t="str">
        <f t="shared" ca="1" si="25"/>
        <v/>
      </c>
      <c r="BW35" s="39" t="str">
        <f t="shared" ca="1" si="26"/>
        <v/>
      </c>
      <c r="BX35" s="39" t="str">
        <f t="shared" ca="1" si="27"/>
        <v/>
      </c>
      <c r="BY35" s="39" t="str">
        <f t="shared" ca="1" si="28"/>
        <v/>
      </c>
      <c r="BZ35" s="39" t="str">
        <f t="shared" ca="1" si="29"/>
        <v/>
      </c>
      <c r="CA35" s="39" t="str">
        <f t="shared" si="31"/>
        <v>Stage Gate 1</v>
      </c>
    </row>
    <row r="36" spans="1:79" x14ac:dyDescent="0.2">
      <c r="A36" s="44"/>
      <c r="B36" s="21"/>
      <c r="C36" s="21"/>
      <c r="D36" s="20"/>
      <c r="E36" s="20"/>
      <c r="F36" s="100"/>
      <c r="G36" s="280"/>
      <c r="H36" s="283"/>
      <c r="I36" s="234" t="str">
        <f t="shared" si="42"/>
        <v/>
      </c>
      <c r="J36" s="364"/>
      <c r="K36" s="162" t="str">
        <f t="shared" si="33"/>
        <v/>
      </c>
      <c r="L36" s="54" t="str">
        <f t="shared" ca="1" si="34"/>
        <v/>
      </c>
      <c r="M36" s="148"/>
      <c r="N36" s="120"/>
      <c r="O36" s="52"/>
      <c r="P36" s="121"/>
      <c r="Q36" s="120"/>
      <c r="R36" s="28"/>
      <c r="S36" s="28"/>
      <c r="T36" s="53" t="str">
        <f t="shared" si="2"/>
        <v/>
      </c>
      <c r="U36" s="53" t="str">
        <f t="shared" si="3"/>
        <v/>
      </c>
      <c r="V36" s="53" t="str">
        <f t="shared" si="4"/>
        <v/>
      </c>
      <c r="W36" s="54" t="str">
        <f t="shared" si="32"/>
        <v/>
      </c>
      <c r="X36" s="51"/>
      <c r="Y36" s="120"/>
      <c r="Z36" s="52"/>
      <c r="AA36" s="120"/>
      <c r="AB36" s="120"/>
      <c r="AC36" s="52"/>
      <c r="AD36" s="52"/>
      <c r="AE36" s="53" t="str">
        <f t="shared" si="5"/>
        <v/>
      </c>
      <c r="AF36" s="53" t="str">
        <f t="shared" si="6"/>
        <v/>
      </c>
      <c r="AG36" s="53" t="str">
        <f t="shared" si="7"/>
        <v/>
      </c>
      <c r="AH36" s="345" t="str">
        <f t="shared" si="8"/>
        <v/>
      </c>
      <c r="AI36" s="360"/>
      <c r="AJ36" s="120"/>
      <c r="AK36" s="52"/>
      <c r="AL36" s="120"/>
      <c r="AM36" s="120"/>
      <c r="AN36" s="52"/>
      <c r="AO36" s="52"/>
      <c r="AP36" s="53" t="str">
        <f t="shared" si="35"/>
        <v/>
      </c>
      <c r="AQ36" s="53" t="str">
        <f t="shared" si="36"/>
        <v/>
      </c>
      <c r="AR36" s="53" t="str">
        <f t="shared" si="37"/>
        <v/>
      </c>
      <c r="AS36" s="345" t="str">
        <f t="shared" si="38"/>
        <v/>
      </c>
      <c r="AT36" s="307"/>
      <c r="AU36" s="121"/>
      <c r="AV36" s="56"/>
      <c r="AW36" s="121"/>
      <c r="AX36" s="121"/>
      <c r="AY36" s="45" t="str">
        <f t="shared" si="13"/>
        <v/>
      </c>
      <c r="AZ36" s="45"/>
      <c r="BA36" s="45"/>
      <c r="BB36" s="57" t="str">
        <f t="shared" si="14"/>
        <v/>
      </c>
      <c r="BC36" s="57" t="str">
        <f t="shared" si="15"/>
        <v/>
      </c>
      <c r="BD36" s="57" t="str">
        <f t="shared" si="16"/>
        <v/>
      </c>
      <c r="BE36" s="58" t="str">
        <f t="shared" si="39"/>
        <v/>
      </c>
      <c r="BF36" s="350"/>
      <c r="BG36" s="351"/>
      <c r="BH36" s="352" t="e">
        <f>VLOOKUP(A36,Finance!$A$3:$J$45,8,FALSE)</f>
        <v>#N/A</v>
      </c>
      <c r="BI36" s="62"/>
      <c r="BJ36" s="60"/>
      <c r="BK36" s="63" t="e">
        <f t="shared" si="40"/>
        <v>#DIV/0!</v>
      </c>
      <c r="BL36" s="63" t="e">
        <f t="shared" si="41"/>
        <v>#N/A</v>
      </c>
      <c r="BM36" s="64" t="str">
        <f t="shared" si="20"/>
        <v/>
      </c>
      <c r="BN36" s="18"/>
      <c r="BO36" s="19"/>
      <c r="BP36" s="65" t="str">
        <f>IF(AND(BM36="",BE36="",AS36="",W36=""),"",IF(AND(BM36="G",BE36="G",AS36="G",W36="G"),"G",IF(OR(BM36="R",BE36="R",AS36="R",W36="R"),"R",VLOOKUP(CONCATENATE(W36,AS36,BE36,BM36),'Rag Coding'!A:B,2,FALSE))))</f>
        <v/>
      </c>
      <c r="BQ36" s="37">
        <f>'Dashboard Page'!N31</f>
        <v>0</v>
      </c>
      <c r="BR36" s="39" t="str">
        <f t="shared" ca="1" si="21"/>
        <v/>
      </c>
      <c r="BS36" s="39" t="str">
        <f t="shared" ca="1" si="22"/>
        <v/>
      </c>
      <c r="BT36" s="39" t="str">
        <f t="shared" ca="1" si="23"/>
        <v/>
      </c>
      <c r="BU36" s="39" t="str">
        <f t="shared" ca="1" si="24"/>
        <v/>
      </c>
      <c r="BV36" s="39" t="str">
        <f t="shared" ca="1" si="25"/>
        <v/>
      </c>
      <c r="BW36" s="39" t="str">
        <f t="shared" ca="1" si="26"/>
        <v/>
      </c>
      <c r="BX36" s="39" t="str">
        <f t="shared" ca="1" si="27"/>
        <v/>
      </c>
      <c r="BY36" s="39" t="str">
        <f t="shared" ca="1" si="28"/>
        <v/>
      </c>
      <c r="BZ36" s="39" t="str">
        <f t="shared" ca="1" si="29"/>
        <v/>
      </c>
      <c r="CA36" s="39" t="str">
        <f t="shared" si="31"/>
        <v>Stage Gate 1</v>
      </c>
    </row>
    <row r="37" spans="1:79" x14ac:dyDescent="0.2">
      <c r="A37" s="44"/>
      <c r="B37" s="21"/>
      <c r="C37" s="21"/>
      <c r="D37" s="20"/>
      <c r="E37" s="20"/>
      <c r="F37" s="100"/>
      <c r="G37" s="280"/>
      <c r="H37" s="283"/>
      <c r="I37" s="234" t="str">
        <f t="shared" si="42"/>
        <v/>
      </c>
      <c r="J37" s="364"/>
      <c r="K37" s="162" t="str">
        <f t="shared" si="33"/>
        <v/>
      </c>
      <c r="L37" s="54" t="str">
        <f t="shared" ca="1" si="34"/>
        <v/>
      </c>
      <c r="M37" s="148"/>
      <c r="N37" s="120"/>
      <c r="O37" s="52"/>
      <c r="P37" s="121"/>
      <c r="Q37" s="120"/>
      <c r="R37" s="28"/>
      <c r="S37" s="28"/>
      <c r="T37" s="53" t="str">
        <f t="shared" si="2"/>
        <v/>
      </c>
      <c r="U37" s="53" t="str">
        <f t="shared" si="3"/>
        <v/>
      </c>
      <c r="V37" s="53" t="str">
        <f t="shared" si="4"/>
        <v/>
      </c>
      <c r="W37" s="54" t="str">
        <f t="shared" si="32"/>
        <v/>
      </c>
      <c r="X37" s="51"/>
      <c r="Y37" s="120"/>
      <c r="Z37" s="52"/>
      <c r="AA37" s="120"/>
      <c r="AB37" s="120"/>
      <c r="AC37" s="52"/>
      <c r="AD37" s="52"/>
      <c r="AE37" s="53" t="str">
        <f t="shared" si="5"/>
        <v/>
      </c>
      <c r="AF37" s="53" t="str">
        <f t="shared" si="6"/>
        <v/>
      </c>
      <c r="AG37" s="53" t="str">
        <f t="shared" si="7"/>
        <v/>
      </c>
      <c r="AH37" s="345" t="str">
        <f t="shared" si="8"/>
        <v/>
      </c>
      <c r="AI37" s="360"/>
      <c r="AJ37" s="120"/>
      <c r="AK37" s="52"/>
      <c r="AL37" s="120"/>
      <c r="AM37" s="120"/>
      <c r="AN37" s="52"/>
      <c r="AO37" s="52"/>
      <c r="AP37" s="53" t="str">
        <f t="shared" si="35"/>
        <v/>
      </c>
      <c r="AQ37" s="53" t="str">
        <f t="shared" si="36"/>
        <v/>
      </c>
      <c r="AR37" s="53" t="str">
        <f t="shared" si="37"/>
        <v/>
      </c>
      <c r="AS37" s="54" t="str">
        <f t="shared" si="38"/>
        <v/>
      </c>
      <c r="AT37" s="55"/>
      <c r="AU37" s="121"/>
      <c r="AV37" s="56"/>
      <c r="AW37" s="121"/>
      <c r="AX37" s="121"/>
      <c r="AY37" s="45" t="str">
        <f t="shared" si="13"/>
        <v/>
      </c>
      <c r="AZ37" s="45"/>
      <c r="BA37" s="45"/>
      <c r="BB37" s="57" t="str">
        <f t="shared" si="14"/>
        <v/>
      </c>
      <c r="BC37" s="57" t="str">
        <f t="shared" si="15"/>
        <v/>
      </c>
      <c r="BD37" s="57" t="str">
        <f t="shared" si="16"/>
        <v/>
      </c>
      <c r="BE37" s="58" t="str">
        <f t="shared" si="39"/>
        <v/>
      </c>
      <c r="BF37" s="350"/>
      <c r="BG37" s="351"/>
      <c r="BH37" s="352" t="e">
        <f>VLOOKUP(A37,Finance!$A$3:$J$45,8,FALSE)</f>
        <v>#N/A</v>
      </c>
      <c r="BI37" s="62"/>
      <c r="BJ37" s="60"/>
      <c r="BK37" s="63" t="e">
        <f t="shared" si="40"/>
        <v>#DIV/0!</v>
      </c>
      <c r="BL37" s="63" t="e">
        <f t="shared" si="41"/>
        <v>#N/A</v>
      </c>
      <c r="BM37" s="64" t="str">
        <f t="shared" si="20"/>
        <v/>
      </c>
      <c r="BN37" s="18"/>
      <c r="BO37" s="19"/>
      <c r="BP37" s="65" t="str">
        <f>IF(AND(BM37="",BE37="",AS37="",W37=""),"",IF(AND(BM37="G",BE37="G",AS37="G",W37="G"),"G",IF(OR(BM37="R",BE37="R",AS37="R",W37="R"),"R",VLOOKUP(CONCATENATE(W37,AS37,BE37,BM37),'Rag Coding'!A:B,2,FALSE))))</f>
        <v/>
      </c>
      <c r="BQ37" s="37">
        <f>'Dashboard Page'!N32</f>
        <v>0</v>
      </c>
      <c r="BR37" s="39" t="str">
        <f t="shared" ca="1" si="21"/>
        <v/>
      </c>
      <c r="BS37" s="39" t="str">
        <f t="shared" ca="1" si="22"/>
        <v/>
      </c>
      <c r="BT37" s="39" t="str">
        <f t="shared" ca="1" si="23"/>
        <v/>
      </c>
      <c r="BU37" s="39" t="str">
        <f t="shared" ca="1" si="24"/>
        <v/>
      </c>
      <c r="BV37" s="39" t="str">
        <f t="shared" ca="1" si="25"/>
        <v/>
      </c>
      <c r="BW37" s="39" t="str">
        <f t="shared" ca="1" si="26"/>
        <v/>
      </c>
      <c r="BX37" s="39" t="str">
        <f t="shared" ca="1" si="27"/>
        <v/>
      </c>
      <c r="BY37" s="39" t="str">
        <f t="shared" ca="1" si="28"/>
        <v/>
      </c>
      <c r="BZ37" s="39" t="str">
        <f t="shared" ca="1" si="29"/>
        <v/>
      </c>
      <c r="CA37" s="39" t="str">
        <f t="shared" si="31"/>
        <v>Stage Gate 1</v>
      </c>
    </row>
    <row r="38" spans="1:79" x14ac:dyDescent="0.2">
      <c r="A38" s="340"/>
      <c r="B38" s="336"/>
      <c r="C38" s="336"/>
      <c r="D38" s="335"/>
      <c r="E38" s="335"/>
      <c r="F38" s="335"/>
      <c r="G38" s="280"/>
      <c r="H38" s="283"/>
      <c r="I38" s="363" t="str">
        <f t="shared" ref="I38" si="109">IF(H38="","",DATE(YEAR(H38),MONTH(H38)+1,DAY(H38)))</f>
        <v/>
      </c>
      <c r="J38" s="364"/>
      <c r="K38" s="361" t="str">
        <f t="shared" ref="K38" si="110">IF(H38="","",IF(J38="","Board Date"&amp;CHAR(10)&amp;TEXT(I38,"dd/mm/yyyy"),"Completed"&amp;CHAR(10)&amp;TEXT(J38,"dd/mm/yyyy")))</f>
        <v/>
      </c>
      <c r="L38" s="345" t="str">
        <f t="shared" ref="L38" ca="1" si="111">IF(AND(J38="",I38=""),"",IF(AND(J38="",I38&lt;TODAY()),"R","G"))</f>
        <v/>
      </c>
      <c r="M38" s="360"/>
      <c r="N38" s="358"/>
      <c r="O38" s="343"/>
      <c r="P38" s="359"/>
      <c r="Q38" s="358"/>
      <c r="R38" s="337"/>
      <c r="S38" s="337"/>
      <c r="T38" s="344" t="str">
        <f t="shared" ref="T38" si="112">IFERROR(IF(1-(N38-M38)/(O38-M38)&gt;0.9,"G",IF(1-(N38-M38)/(O38-M38)&gt;0.85,"A","R")),"")</f>
        <v/>
      </c>
      <c r="U38" s="344" t="str">
        <f t="shared" ref="U38" si="113">IF(P38="","",IF((O38-M38)/(P38-M38)&gt;0.9,"G",(IF((O38-M38)/(P38-M38)&gt;0.85,"A","R"))))</f>
        <v/>
      </c>
      <c r="V38" s="344" t="str">
        <f t="shared" ref="V38" si="114">IF(Q38="","",IF((O38-M38)/(Q38-M38)&gt;0.9,"G",(IF((O38-M38)/(Q38-M38)&gt;0.85,"A","R"))))</f>
        <v/>
      </c>
      <c r="W38" s="345" t="str">
        <f t="shared" ref="W38" si="115">IF(V38="",IF(U38="",T38,U38),V38)</f>
        <v/>
      </c>
      <c r="X38" s="342"/>
      <c r="Y38" s="358"/>
      <c r="Z38" s="343"/>
      <c r="AA38" s="358"/>
      <c r="AB38" s="358"/>
      <c r="AC38" s="343"/>
      <c r="AD38" s="343"/>
      <c r="AE38" s="344" t="str">
        <f t="shared" ref="AE38" si="116">IFERROR(IF(1-(Y38-X38)/(Z38-X38)&gt;0.9,"G",IF(1-(Y38-X38)/(Z38-X38)&gt;0.85,"A","R")),"")</f>
        <v/>
      </c>
      <c r="AF38" s="344" t="str">
        <f t="shared" ref="AF38" si="117">IF(AA38="","",IF((Z38-X38)/(AA38-X38)&gt;0.9,"G",(IF((Z38-X38)/(AA38-X38)&gt;0.85,"A","R"))))</f>
        <v/>
      </c>
      <c r="AG38" s="344" t="str">
        <f t="shared" ref="AG38" si="118">IF(AB38="","",IF((Z38-X38)/(AB38-X38)&gt;0.9,"G",(IF((Z38-X38)/(AB38-X38)&gt;0.85,"A","R"))))</f>
        <v/>
      </c>
      <c r="AH38" s="345" t="str">
        <f t="shared" ref="AH38" si="119">IF(AG38="",IF(AF38="",AE38,AF38),AG38)</f>
        <v/>
      </c>
      <c r="AI38" s="342"/>
      <c r="AJ38" s="358"/>
      <c r="AK38" s="343"/>
      <c r="AL38" s="358"/>
      <c r="AM38" s="358"/>
      <c r="AN38" s="343"/>
      <c r="AO38" s="343"/>
      <c r="AP38" s="344" t="str">
        <f t="shared" ref="AP38" si="120">IFERROR(IF(1-(AJ38-AI38)/(AK38-AI38)&gt;0.9,"G",IF(1-(AJ38-AI38)/(AK38-AI38)&gt;0.85,"A","R")),"")</f>
        <v/>
      </c>
      <c r="AQ38" s="344" t="str">
        <f t="shared" ref="AQ38" si="121">IF(AL38="","",IF((AK38-AI38)/(AL38-AI38)&gt;0.9,"G",(IF((AK38-AI38)/(AL38-AI38)&gt;0.85,"A","R"))))</f>
        <v/>
      </c>
      <c r="AR38" s="344" t="str">
        <f t="shared" ref="AR38" si="122">IF(AM38="","",IF((AK38-AI38)/(AM38-AI38)&gt;0.9,"G",(IF((AK38-AI38)/(AM38-AI38)&gt;0.85,"A","R"))))</f>
        <v/>
      </c>
      <c r="AS38" s="345" t="str">
        <f t="shared" ref="AS38" si="123">IF(AR38="",IF(AQ38="",AP38,AQ38),AR38)</f>
        <v/>
      </c>
      <c r="AT38" s="346"/>
      <c r="AU38" s="359"/>
      <c r="AV38" s="347"/>
      <c r="AW38" s="359"/>
      <c r="AX38" s="359"/>
      <c r="AY38" s="341" t="str">
        <f t="shared" ref="AY38" si="124">IF(AX38="","",DATE(YEAR(AX38),MONTH(AX38)+3,DAY(AX38)))</f>
        <v/>
      </c>
      <c r="AZ38" s="341"/>
      <c r="BA38" s="341"/>
      <c r="BB38" s="348" t="str">
        <f t="shared" ref="BB38" si="125">IFERROR(IF(1-(AU38-AT38)/(AV38-AT38)&gt;0.9,"G",IF(1-(AU38-AT38)/(AV38-AT38)&gt;0.85,"A","R")),"")</f>
        <v/>
      </c>
      <c r="BC38" s="348" t="str">
        <f t="shared" ref="BC38" si="126">IF(AW38="","",IF((AV38-AT38)/(AW38-AT38)&gt;0.9,"G",(IF((AV38-AT38)/(AW38-AT38)&gt;0.85,"A","R"))))</f>
        <v/>
      </c>
      <c r="BD38" s="348" t="str">
        <f t="shared" ref="BD38" si="127">IF(AX38="","",IF((AV38-AT38)/(AX38-AT38)&gt;0.9,"G",(IF((AV38-AT38)/(AX38-AT38)&gt;0.85,"A","R"))))</f>
        <v/>
      </c>
      <c r="BE38" s="270" t="str">
        <f t="shared" ref="BE38" si="128">IF(BD38="",IF(BC38="",BB38,BC38),BD38)</f>
        <v/>
      </c>
      <c r="BF38" s="350"/>
      <c r="BG38" s="351"/>
      <c r="BH38" s="352" t="e">
        <f>VLOOKUP(A38,Finance!$A$3:$J$45,8,FALSE)</f>
        <v>#N/A</v>
      </c>
      <c r="BI38" s="323"/>
      <c r="BJ38" s="322"/>
      <c r="BK38" s="324" t="e">
        <f t="shared" ref="BK38" si="129">(BG38-BF38)/BF38</f>
        <v>#DIV/0!</v>
      </c>
      <c r="BL38" s="324" t="e">
        <f t="shared" ref="BL38" si="130">(BH38-BF38)/BF38</f>
        <v>#N/A</v>
      </c>
      <c r="BM38" s="325" t="str">
        <f t="shared" ref="BM38" si="131">IF(BF38="","",IF(AND(BK38&lt;0.025,BL38&lt;0.025),"G",IF(OR(BK38&gt;0.05,BL38&gt;0.05),"R",IF(AND(BK38&gt;0.025,BL38&gt;0.025),"A","G"))))</f>
        <v/>
      </c>
      <c r="BN38" s="318"/>
      <c r="BO38" s="319"/>
      <c r="BP38" s="326" t="str">
        <f>IF(AND(BM38="",BE38="",AS38="",W38=""),"",IF(AND(BM38="G",BE38="G",AS38="G",W38="G"),"G",IF(OR(BM38="R",BE38="R",AS38="R",W38="R"),"R",VLOOKUP(CONCATENATE(W38,AS38,BE38,BM38),'Rag Coding'!A:B,2,FALSE))))</f>
        <v/>
      </c>
      <c r="BQ38" s="320">
        <f>'Dashboard Page'!N32</f>
        <v>0</v>
      </c>
      <c r="BR38" s="321" t="str">
        <f t="shared" ref="BR38" ca="1" si="132">IF(M38="","",IF(V38&lt;&gt;"","Completed ",IF(AND(U38&lt;&gt;"",P38&gt;TODAY()),"Forecast Completion on "&amp;DAY(P38)&amp;"-"&amp;MONTH(P38)&amp;"-"&amp;YEAR(P38)&amp;CHAR(10)&amp;IF(P38-O38&gt;0,(P38-O38)&amp;" day(s) late",(IF(P38-O38=0,"on time",(O38-P38)&amp;" day(s) early"))),IF(P38&lt;TODAY(),"Forecast Completion in the past, please update","Baseline Complete"))))</f>
        <v/>
      </c>
      <c r="BS38" s="321" t="str">
        <f t="shared" ref="BS38" ca="1" si="133">IF(BR38="Completed ",IF(Q38-O38&gt;0,Q38-O38&amp;" day(s) late",(IF(Q38-O38=0,"on time",O38-Q38&amp;" day(s) early"))),"")</f>
        <v/>
      </c>
      <c r="BT38" s="321" t="str">
        <f t="shared" ref="BT38" ca="1" si="134">IF(X38="","",IF(AG38&lt;&gt;"","Completed ",IF(AND(AF38&lt;&gt;"",AA38&gt;TODAY()),"Forecast Completion on "&amp;DAY(AA38)&amp;"-"&amp;MONTH(AA38)&amp;"-"&amp;YEAR(AA38)&amp;CHAR(10)&amp;IF(AA38-Z38&gt;0,(AA38-Z38)&amp;" day(s) late",(IF(AA38-Z38=0,"on time",(Z38-AA38)&amp;" day(s) early"))),IF(AA38&lt;TODAY(),"Forecast Completion in the past, please update","Baseline Complete"))))</f>
        <v/>
      </c>
      <c r="BU38" s="321" t="str">
        <f t="shared" ref="BU38" ca="1" si="135">IF(BT38="Completed ",IF(AB38-Z38&gt;0,AB38-Z38&amp;" day(s) late",(IF(AB38-Z38=0,"on time",Z38-AB38&amp;" day(s) early"))),"")</f>
        <v/>
      </c>
      <c r="BV38" s="321" t="str">
        <f t="shared" ref="BV38" ca="1" si="136">IF(AI38="","",IF(AR38&lt;&gt;"","Completed ",IF(AND(AQ38&lt;&gt;"",AL38&gt;TODAY()),"Forecast Completion on "&amp;DAY(AL38)&amp;"-"&amp;MONTH(AL38)&amp;"-"&amp;YEAR(AL38)&amp;CHAR(10)&amp;IF(AL38-AK38&gt;0,(AL38-AK38)&amp;" day(s) late",(IF(AL38-AK38=0,"on time",(AK38-AL38)&amp;" day(s) early"))),IF(AL38&lt;TODAY(),"Forecast Completion in the past, please update","Baseline Complete"))))</f>
        <v/>
      </c>
      <c r="BW38" s="321" t="str">
        <f t="shared" ref="BW38" ca="1" si="137">IF(BV38="Completed ",IF(AM38-AK38&gt;0,AM38-AK38&amp;" day(s) late",(IF(AM38-AK38=0,"on time",AK38-AM38&amp;" day(s) early"))),"")</f>
        <v/>
      </c>
      <c r="BX38" s="321" t="str">
        <f t="shared" ref="BX38" ca="1" si="138">IF(AT38="","",IF(BD38&lt;&gt;"","Completed ",IF(AND(BC38&lt;&gt;"",AW38&gt;TODAY()),"Forecast Completion on "&amp;DAY(AW38)&amp;"-"&amp;MONTH(AW38)&amp;"-"&amp;YEAR(AW38)&amp;CHAR(10)&amp;IF(AW38-AV38&gt;0,(AW38-AV38)&amp;" day(s) late",(IF(AW38-AV38=0,"on time",(AV38-AW38)&amp;" day(s) early"))),IF(AW38&lt;TODAY(),"Forecast Completion in the past, please update","Baseline Complete"))))</f>
        <v/>
      </c>
      <c r="BY38" s="321" t="str">
        <f t="shared" ref="BY38" ca="1" si="139">IF(BX38="Completed ",IF(AX38-AV38&gt;0,AX38-AV38&amp;" day(s) late",(IF(AX38-AV38=0,"on time",AV38-AX38&amp;" day(s) early"))),"")</f>
        <v/>
      </c>
      <c r="BZ38" s="321" t="str">
        <f t="shared" ref="BZ38" ca="1" si="140">IF(BX38="Completed ",IF(BG38-BF38&gt;0,"Over budget by £"&amp;(BG38-BF38),"Under budget by £"&amp;BF38-BG38),IF(BG38="","","Current Forecast Spend £"&amp;BG38))</f>
        <v/>
      </c>
      <c r="CA38" s="321" t="str">
        <f t="shared" ref="CA38" si="141">IF(COUNTA(AT38:AX38),"Stage Gate 5",IF(COUNTA(AI38:AM38),"Stage Gate 4", IF(COUNTA(X38:AB38),"Stage Gate 3",  IF(COUNTA(M38:Q38),"Stage Gate 2", "Stage Gate 1"))))</f>
        <v>Stage Gate 1</v>
      </c>
    </row>
    <row r="39" spans="1:79" x14ac:dyDescent="0.2">
      <c r="A39" s="293"/>
      <c r="B39" s="313"/>
      <c r="C39" s="313"/>
      <c r="D39" s="278"/>
      <c r="E39" s="278"/>
      <c r="F39" s="314"/>
      <c r="G39" s="290"/>
      <c r="H39" s="292"/>
      <c r="I39" s="362" t="str">
        <f t="shared" si="42"/>
        <v/>
      </c>
      <c r="J39" s="277"/>
      <c r="K39" s="312" t="str">
        <f t="shared" si="33"/>
        <v/>
      </c>
      <c r="L39" s="285" t="str">
        <f t="shared" ca="1" si="34"/>
        <v/>
      </c>
      <c r="M39" s="276"/>
      <c r="N39" s="284"/>
      <c r="O39" s="288"/>
      <c r="P39" s="306"/>
      <c r="Q39" s="284"/>
      <c r="R39" s="268"/>
      <c r="S39" s="268"/>
      <c r="T39" s="308" t="str">
        <f t="shared" si="2"/>
        <v/>
      </c>
      <c r="U39" s="308" t="str">
        <f t="shared" si="3"/>
        <v/>
      </c>
      <c r="V39" s="308" t="str">
        <f t="shared" si="4"/>
        <v/>
      </c>
      <c r="W39" s="285" t="str">
        <f t="shared" si="32"/>
        <v/>
      </c>
      <c r="X39" s="295"/>
      <c r="Y39" s="284"/>
      <c r="Z39" s="288"/>
      <c r="AA39" s="284"/>
      <c r="AB39" s="284"/>
      <c r="AC39" s="288"/>
      <c r="AD39" s="288"/>
      <c r="AE39" s="308" t="str">
        <f t="shared" si="5"/>
        <v/>
      </c>
      <c r="AF39" s="308" t="str">
        <f t="shared" si="6"/>
        <v/>
      </c>
      <c r="AG39" s="308" t="str">
        <f t="shared" si="7"/>
        <v/>
      </c>
      <c r="AH39" s="285" t="str">
        <f t="shared" si="8"/>
        <v/>
      </c>
      <c r="AI39" s="295"/>
      <c r="AJ39" s="284"/>
      <c r="AK39" s="288"/>
      <c r="AL39" s="284"/>
      <c r="AM39" s="284"/>
      <c r="AN39" s="288"/>
      <c r="AO39" s="288"/>
      <c r="AP39" s="308" t="str">
        <f t="shared" si="35"/>
        <v/>
      </c>
      <c r="AQ39" s="308" t="str">
        <f t="shared" si="36"/>
        <v/>
      </c>
      <c r="AR39" s="308" t="str">
        <f t="shared" si="37"/>
        <v/>
      </c>
      <c r="AS39" s="285" t="str">
        <f t="shared" si="38"/>
        <v/>
      </c>
      <c r="AT39" s="287"/>
      <c r="AU39" s="306"/>
      <c r="AV39" s="330"/>
      <c r="AW39" s="306"/>
      <c r="AX39" s="306"/>
      <c r="AY39" s="296" t="str">
        <f t="shared" si="13"/>
        <v/>
      </c>
      <c r="AZ39" s="296"/>
      <c r="BA39" s="296"/>
      <c r="BB39" s="274" t="str">
        <f t="shared" si="14"/>
        <v/>
      </c>
      <c r="BC39" s="274" t="str">
        <f t="shared" si="15"/>
        <v/>
      </c>
      <c r="BD39" s="274" t="str">
        <f t="shared" si="16"/>
        <v/>
      </c>
      <c r="BE39" s="300" t="str">
        <f t="shared" si="39"/>
        <v/>
      </c>
      <c r="BF39" s="350"/>
      <c r="BG39" s="351"/>
      <c r="BH39" s="352" t="e">
        <f>VLOOKUP(A39,Finance!$A$3:$J$45,8,FALSE)</f>
        <v>#N/A</v>
      </c>
      <c r="BI39" s="62"/>
      <c r="BJ39" s="60"/>
      <c r="BK39" s="63" t="e">
        <f t="shared" si="40"/>
        <v>#DIV/0!</v>
      </c>
      <c r="BL39" s="63" t="e">
        <f t="shared" si="41"/>
        <v>#N/A</v>
      </c>
      <c r="BM39" s="64" t="str">
        <f t="shared" si="20"/>
        <v/>
      </c>
      <c r="BN39" s="18"/>
      <c r="BO39" s="19"/>
      <c r="BP39" s="65" t="str">
        <f>IF(AND(BM39="",BE39="",AS39="",W39=""),"",IF(AND(BM39="G",BE39="G",AS39="G",W39="G"),"G",IF(OR(BM39="R",BE39="R",AS39="R",W39="R"),"R",VLOOKUP(CONCATENATE(W39,AS39,BE39,BM39),'Rag Coding'!A:B,2,FALSE))))</f>
        <v/>
      </c>
      <c r="BQ39" s="37">
        <f>'Dashboard Page'!N33</f>
        <v>0</v>
      </c>
      <c r="BR39" s="39" t="str">
        <f t="shared" ca="1" si="21"/>
        <v/>
      </c>
      <c r="BS39" s="39" t="str">
        <f t="shared" ca="1" si="22"/>
        <v/>
      </c>
      <c r="BT39" s="39" t="str">
        <f t="shared" ca="1" si="23"/>
        <v/>
      </c>
      <c r="BU39" s="39" t="str">
        <f t="shared" ca="1" si="24"/>
        <v/>
      </c>
      <c r="BV39" s="39" t="str">
        <f t="shared" ca="1" si="25"/>
        <v/>
      </c>
      <c r="BW39" s="39" t="str">
        <f t="shared" ca="1" si="26"/>
        <v/>
      </c>
      <c r="BX39" s="39" t="str">
        <f t="shared" ca="1" si="27"/>
        <v/>
      </c>
      <c r="BY39" s="39" t="str">
        <f t="shared" ca="1" si="28"/>
        <v/>
      </c>
      <c r="BZ39" s="39" t="str">
        <f t="shared" ca="1" si="29"/>
        <v/>
      </c>
      <c r="CA39" s="39" t="str">
        <f t="shared" si="31"/>
        <v>Stage Gate 1</v>
      </c>
    </row>
    <row r="40" spans="1:79" x14ac:dyDescent="0.2">
      <c r="A40" s="340"/>
      <c r="B40" s="336"/>
      <c r="C40" s="336"/>
      <c r="D40" s="335"/>
      <c r="E40" s="335"/>
      <c r="F40" s="335"/>
      <c r="G40" s="280"/>
      <c r="H40" s="283"/>
      <c r="I40" s="363" t="str">
        <f t="shared" si="42"/>
        <v/>
      </c>
      <c r="J40" s="364"/>
      <c r="K40" s="361" t="str">
        <f t="shared" si="33"/>
        <v/>
      </c>
      <c r="L40" s="345" t="str">
        <f t="shared" ca="1" si="34"/>
        <v/>
      </c>
      <c r="M40" s="360"/>
      <c r="N40" s="358"/>
      <c r="O40" s="343"/>
      <c r="P40" s="359"/>
      <c r="Q40" s="358"/>
      <c r="R40" s="337"/>
      <c r="S40" s="337"/>
      <c r="T40" s="344" t="str">
        <f t="shared" si="2"/>
        <v/>
      </c>
      <c r="U40" s="344" t="str">
        <f t="shared" si="3"/>
        <v/>
      </c>
      <c r="V40" s="344" t="str">
        <f t="shared" si="4"/>
        <v/>
      </c>
      <c r="W40" s="345" t="str">
        <f t="shared" si="32"/>
        <v/>
      </c>
      <c r="X40" s="342"/>
      <c r="Y40" s="358"/>
      <c r="Z40" s="343"/>
      <c r="AA40" s="358"/>
      <c r="AB40" s="358"/>
      <c r="AC40" s="343"/>
      <c r="AD40" s="343"/>
      <c r="AE40" s="344" t="str">
        <f t="shared" si="5"/>
        <v/>
      </c>
      <c r="AF40" s="344" t="str">
        <f t="shared" si="6"/>
        <v/>
      </c>
      <c r="AG40" s="344" t="str">
        <f t="shared" si="7"/>
        <v/>
      </c>
      <c r="AH40" s="345" t="str">
        <f t="shared" si="8"/>
        <v/>
      </c>
      <c r="AI40" s="342"/>
      <c r="AJ40" s="358"/>
      <c r="AK40" s="343"/>
      <c r="AL40" s="358"/>
      <c r="AM40" s="358"/>
      <c r="AN40" s="343"/>
      <c r="AO40" s="343"/>
      <c r="AP40" s="344" t="str">
        <f t="shared" si="35"/>
        <v/>
      </c>
      <c r="AQ40" s="344" t="str">
        <f t="shared" si="36"/>
        <v/>
      </c>
      <c r="AR40" s="344" t="str">
        <f t="shared" si="37"/>
        <v/>
      </c>
      <c r="AS40" s="345" t="str">
        <f t="shared" si="38"/>
        <v/>
      </c>
      <c r="AT40" s="346"/>
      <c r="AU40" s="359"/>
      <c r="AV40" s="347"/>
      <c r="AW40" s="359"/>
      <c r="AX40" s="359"/>
      <c r="AY40" s="341" t="str">
        <f t="shared" si="13"/>
        <v/>
      </c>
      <c r="AZ40" s="341"/>
      <c r="BA40" s="341"/>
      <c r="BB40" s="348" t="str">
        <f t="shared" si="14"/>
        <v/>
      </c>
      <c r="BC40" s="348" t="str">
        <f t="shared" si="15"/>
        <v/>
      </c>
      <c r="BD40" s="348" t="str">
        <f t="shared" si="16"/>
        <v/>
      </c>
      <c r="BE40" s="349" t="str">
        <f t="shared" si="39"/>
        <v/>
      </c>
      <c r="BF40" s="350"/>
      <c r="BG40" s="351"/>
      <c r="BH40" s="352" t="e">
        <f>VLOOKUP(A40,Finance!$A$3:$J$45,8,FALSE)</f>
        <v>#N/A</v>
      </c>
      <c r="BI40" s="353"/>
      <c r="BJ40" s="351"/>
      <c r="BK40" s="354" t="e">
        <f t="shared" si="40"/>
        <v>#DIV/0!</v>
      </c>
      <c r="BL40" s="354" t="e">
        <f t="shared" si="41"/>
        <v>#N/A</v>
      </c>
      <c r="BM40" s="355" t="str">
        <f t="shared" si="20"/>
        <v/>
      </c>
      <c r="BN40" s="333"/>
      <c r="BO40" s="334"/>
      <c r="BP40" s="356" t="str">
        <f>IF(AND(BM40="",BE40="",AS40="",W40=""),"",IF(AND(BM40="G",BE40="G",AS40="G",W40="G"),"G",IF(OR(BM40="R",BE40="R",AS40="R",W40="R"),"R",VLOOKUP(CONCATENATE(W40,AS40,BE40,BM40),'Rag Coding'!A:B,2,FALSE))))</f>
        <v/>
      </c>
      <c r="BQ40" s="338">
        <f>'Dashboard Page'!N34</f>
        <v>0</v>
      </c>
      <c r="BR40" s="339" t="str">
        <f t="shared" ca="1" si="21"/>
        <v/>
      </c>
      <c r="BS40" s="339" t="str">
        <f t="shared" ca="1" si="22"/>
        <v/>
      </c>
      <c r="BT40" s="339" t="str">
        <f t="shared" ca="1" si="23"/>
        <v/>
      </c>
      <c r="BU40" s="339" t="str">
        <f t="shared" ca="1" si="24"/>
        <v/>
      </c>
      <c r="BV40" s="339" t="str">
        <f t="shared" ca="1" si="25"/>
        <v/>
      </c>
      <c r="BW40" s="339" t="str">
        <f t="shared" ca="1" si="26"/>
        <v/>
      </c>
      <c r="BX40" s="339" t="str">
        <f t="shared" ca="1" si="27"/>
        <v/>
      </c>
      <c r="BY40" s="339" t="str">
        <f t="shared" ca="1" si="28"/>
        <v/>
      </c>
      <c r="BZ40" s="339" t="str">
        <f t="shared" ca="1" si="29"/>
        <v/>
      </c>
      <c r="CA40" s="339" t="str">
        <f t="shared" si="31"/>
        <v>Stage Gate 1</v>
      </c>
    </row>
    <row r="44" spans="1:79" x14ac:dyDescent="0.2">
      <c r="BN44" s="211"/>
    </row>
  </sheetData>
  <sheetProtection password="CC3D" sheet="1" objects="1" scenarios="1" autoFilter="0"/>
  <protectedRanges>
    <protectedRange sqref="BG3:BG40" name="Range18"/>
    <protectedRange sqref="BA3:BA40" name="Range4"/>
    <protectedRange sqref="AX3:AX12 AX14:AX40" name="Range3"/>
    <protectedRange sqref="AX13 AW3:AW40" name="Range2"/>
    <protectedRange sqref="AU3:AU40" name="Range1"/>
    <protectedRange sqref="AJ3:AJ40" name="Range5"/>
    <protectedRange sqref="AL3:AL40" name="Range6"/>
    <protectedRange sqref="AM3:AM40" name="Range7"/>
    <protectedRange sqref="AO3:AO40" name="Range8"/>
    <protectedRange sqref="Y3:Y40" name="Range9"/>
    <protectedRange sqref="AA3:AB40" name="Range10"/>
    <protectedRange sqref="AD3:AD40" name="Range11"/>
    <protectedRange sqref="N3:N40" name="Range12"/>
    <protectedRange sqref="AA3:AB40" name="Range13"/>
    <protectedRange sqref="AD3:AD40" name="Range14"/>
    <protectedRange sqref="N3:N40" name="Range15"/>
    <protectedRange sqref="P3:Q40" name="Range16"/>
    <protectedRange sqref="BN3:BO40" name="Range17"/>
  </protectedRanges>
  <autoFilter ref="A2:G40"/>
  <dataConsolidate/>
  <mergeCells count="10">
    <mergeCell ref="BR1:CA1"/>
    <mergeCell ref="BP1:BQ1"/>
    <mergeCell ref="A1:G1"/>
    <mergeCell ref="AT1:BE1"/>
    <mergeCell ref="BF1:BM1"/>
    <mergeCell ref="BN1:BO1"/>
    <mergeCell ref="AI1:AS1"/>
    <mergeCell ref="M1:W1"/>
    <mergeCell ref="X1:AH1"/>
    <mergeCell ref="H1:J1"/>
  </mergeCells>
  <conditionalFormatting sqref="L35:L37 AE35:AH37 BB35:BE37 AP35:AS37 T35:T37 BP35:BP37 BM35:BM37 V35:W37 V39:W40 BM39:BM40 BP39:BP40 T39:T40 AP39:AS40 BB39:BE40 AE39:AH40 L39:L40 L4:L23 AE3:AH23 BB3:BE23 AP3:AS23 T3:T23 BP3:BP23 BM3:BM23 V3:W23">
    <cfRule type="containsText" dxfId="256" priority="317" operator="containsText" text="A">
      <formula>NOT(ISERROR(SEARCH("A",L3)))</formula>
    </cfRule>
    <cfRule type="containsText" dxfId="255" priority="318" operator="containsText" text="G">
      <formula>NOT(ISERROR(SEARCH("G",L3)))</formula>
    </cfRule>
    <cfRule type="containsText" dxfId="254" priority="319" operator="containsText" text="R">
      <formula>NOT(ISERROR(SEARCH("R",L3)))</formula>
    </cfRule>
  </conditionalFormatting>
  <conditionalFormatting sqref="U35:U37 U39:U40 U3:U23">
    <cfRule type="containsText" dxfId="253" priority="302" operator="containsText" text="A">
      <formula>NOT(ISERROR(SEARCH("A",U3)))</formula>
    </cfRule>
    <cfRule type="containsText" dxfId="252" priority="303" operator="containsText" text="G">
      <formula>NOT(ISERROR(SEARCH("G",U3)))</formula>
    </cfRule>
    <cfRule type="containsText" dxfId="251" priority="304" operator="containsText" text="R">
      <formula>NOT(ISERROR(SEARCH("R",U3)))</formula>
    </cfRule>
  </conditionalFormatting>
  <conditionalFormatting sqref="W3:W17 L35:L37 L39:L40 L4:L23">
    <cfRule type="cellIs" dxfId="250" priority="235" operator="equal">
      <formula>"B"</formula>
    </cfRule>
  </conditionalFormatting>
  <conditionalFormatting sqref="L3">
    <cfRule type="containsText" dxfId="249" priority="220" operator="containsText" text="A">
      <formula>NOT(ISERROR(SEARCH("A",L3)))</formula>
    </cfRule>
    <cfRule type="containsText" dxfId="248" priority="221" operator="containsText" text="G">
      <formula>NOT(ISERROR(SEARCH("G",L3)))</formula>
    </cfRule>
    <cfRule type="containsText" dxfId="247" priority="222" operator="containsText" text="R">
      <formula>NOT(ISERROR(SEARCH("R",L3)))</formula>
    </cfRule>
  </conditionalFormatting>
  <conditionalFormatting sqref="L3">
    <cfRule type="cellIs" dxfId="246" priority="219" operator="equal">
      <formula>"B"</formula>
    </cfRule>
  </conditionalFormatting>
  <conditionalFormatting sqref="L34 AE34:AH34 BB34:BE34 AP34:AS34 T34 BP34 BM34 V34:W34">
    <cfRule type="containsText" dxfId="245" priority="208" operator="containsText" text="A">
      <formula>NOT(ISERROR(SEARCH("A",L34)))</formula>
    </cfRule>
    <cfRule type="containsText" dxfId="244" priority="209" operator="containsText" text="G">
      <formula>NOT(ISERROR(SEARCH("G",L34)))</formula>
    </cfRule>
    <cfRule type="containsText" dxfId="243" priority="210" operator="containsText" text="R">
      <formula>NOT(ISERROR(SEARCH("R",L34)))</formula>
    </cfRule>
  </conditionalFormatting>
  <conditionalFormatting sqref="U34">
    <cfRule type="containsText" dxfId="242" priority="205" operator="containsText" text="A">
      <formula>NOT(ISERROR(SEARCH("A",U34)))</formula>
    </cfRule>
    <cfRule type="containsText" dxfId="241" priority="206" operator="containsText" text="G">
      <formula>NOT(ISERROR(SEARCH("G",U34)))</formula>
    </cfRule>
    <cfRule type="containsText" dxfId="240" priority="207" operator="containsText" text="R">
      <formula>NOT(ISERROR(SEARCH("R",U34)))</formula>
    </cfRule>
  </conditionalFormatting>
  <conditionalFormatting sqref="L34">
    <cfRule type="cellIs" dxfId="239" priority="204" operator="equal">
      <formula>"B"</formula>
    </cfRule>
  </conditionalFormatting>
  <conditionalFormatting sqref="V38:W38 BM38 BP38 T38 AP38:AS38 BB38:BE38 AE38:AH38 L38">
    <cfRule type="containsText" dxfId="238" priority="187" operator="containsText" text="A">
      <formula>NOT(ISERROR(SEARCH("A",L38)))</formula>
    </cfRule>
    <cfRule type="containsText" dxfId="237" priority="188" operator="containsText" text="G">
      <formula>NOT(ISERROR(SEARCH("G",L38)))</formula>
    </cfRule>
    <cfRule type="containsText" dxfId="236" priority="189" operator="containsText" text="R">
      <formula>NOT(ISERROR(SEARCH("R",L38)))</formula>
    </cfRule>
  </conditionalFormatting>
  <conditionalFormatting sqref="U38">
    <cfRule type="containsText" dxfId="235" priority="184" operator="containsText" text="A">
      <formula>NOT(ISERROR(SEARCH("A",U38)))</formula>
    </cfRule>
    <cfRule type="containsText" dxfId="234" priority="185" operator="containsText" text="G">
      <formula>NOT(ISERROR(SEARCH("G",U38)))</formula>
    </cfRule>
    <cfRule type="containsText" dxfId="233" priority="186" operator="containsText" text="R">
      <formula>NOT(ISERROR(SEARCH("R",U38)))</formula>
    </cfRule>
  </conditionalFormatting>
  <conditionalFormatting sqref="L38">
    <cfRule type="cellIs" dxfId="232" priority="183" operator="equal">
      <formula>"B"</formula>
    </cfRule>
  </conditionalFormatting>
  <conditionalFormatting sqref="V24:W24 BM24 BP24 T24 AP24:AS24 BB24:BE24 AE24:AH24 L24">
    <cfRule type="containsText" dxfId="231" priority="75" operator="containsText" text="A">
      <formula>NOT(ISERROR(SEARCH("A",L24)))</formula>
    </cfRule>
    <cfRule type="containsText" dxfId="230" priority="76" operator="containsText" text="G">
      <formula>NOT(ISERROR(SEARCH("G",L24)))</formula>
    </cfRule>
    <cfRule type="containsText" dxfId="229" priority="77" operator="containsText" text="R">
      <formula>NOT(ISERROR(SEARCH("R",L24)))</formula>
    </cfRule>
  </conditionalFormatting>
  <conditionalFormatting sqref="U24">
    <cfRule type="containsText" dxfId="228" priority="72" operator="containsText" text="A">
      <formula>NOT(ISERROR(SEARCH("A",U24)))</formula>
    </cfRule>
    <cfRule type="containsText" dxfId="227" priority="73" operator="containsText" text="G">
      <formula>NOT(ISERROR(SEARCH("G",U24)))</formula>
    </cfRule>
    <cfRule type="containsText" dxfId="226" priority="74" operator="containsText" text="R">
      <formula>NOT(ISERROR(SEARCH("R",U24)))</formula>
    </cfRule>
  </conditionalFormatting>
  <conditionalFormatting sqref="L24">
    <cfRule type="cellIs" dxfId="225" priority="71" operator="equal">
      <formula>"B"</formula>
    </cfRule>
  </conditionalFormatting>
  <conditionalFormatting sqref="V25:W25 BM25 BP25 T25 AP25:AS25 BB25:BE25 AE25:AH25 L25">
    <cfRule type="containsText" dxfId="224" priority="61" operator="containsText" text="A">
      <formula>NOT(ISERROR(SEARCH("A",L25)))</formula>
    </cfRule>
    <cfRule type="containsText" dxfId="223" priority="62" operator="containsText" text="G">
      <formula>NOT(ISERROR(SEARCH("G",L25)))</formula>
    </cfRule>
    <cfRule type="containsText" dxfId="222" priority="63" operator="containsText" text="R">
      <formula>NOT(ISERROR(SEARCH("R",L25)))</formula>
    </cfRule>
  </conditionalFormatting>
  <conditionalFormatting sqref="U25">
    <cfRule type="containsText" dxfId="221" priority="58" operator="containsText" text="A">
      <formula>NOT(ISERROR(SEARCH("A",U25)))</formula>
    </cfRule>
    <cfRule type="containsText" dxfId="220" priority="59" operator="containsText" text="G">
      <formula>NOT(ISERROR(SEARCH("G",U25)))</formula>
    </cfRule>
    <cfRule type="containsText" dxfId="219" priority="60" operator="containsText" text="R">
      <formula>NOT(ISERROR(SEARCH("R",U25)))</formula>
    </cfRule>
  </conditionalFormatting>
  <conditionalFormatting sqref="L25">
    <cfRule type="cellIs" dxfId="218" priority="57" operator="equal">
      <formula>"B"</formula>
    </cfRule>
  </conditionalFormatting>
  <conditionalFormatting sqref="V26:W26 BM26 BP26 T26 AP26:AS26 BB26:BE26 AE26:AH26 L26">
    <cfRule type="containsText" dxfId="217" priority="54" operator="containsText" text="A">
      <formula>NOT(ISERROR(SEARCH("A",L26)))</formula>
    </cfRule>
    <cfRule type="containsText" dxfId="216" priority="55" operator="containsText" text="G">
      <formula>NOT(ISERROR(SEARCH("G",L26)))</formula>
    </cfRule>
    <cfRule type="containsText" dxfId="215" priority="56" operator="containsText" text="R">
      <formula>NOT(ISERROR(SEARCH("R",L26)))</formula>
    </cfRule>
  </conditionalFormatting>
  <conditionalFormatting sqref="U26">
    <cfRule type="containsText" dxfId="214" priority="51" operator="containsText" text="A">
      <formula>NOT(ISERROR(SEARCH("A",U26)))</formula>
    </cfRule>
    <cfRule type="containsText" dxfId="213" priority="52" operator="containsText" text="G">
      <formula>NOT(ISERROR(SEARCH("G",U26)))</formula>
    </cfRule>
    <cfRule type="containsText" dxfId="212" priority="53" operator="containsText" text="R">
      <formula>NOT(ISERROR(SEARCH("R",U26)))</formula>
    </cfRule>
  </conditionalFormatting>
  <conditionalFormatting sqref="L26">
    <cfRule type="cellIs" dxfId="211" priority="50" operator="equal">
      <formula>"B"</formula>
    </cfRule>
  </conditionalFormatting>
  <conditionalFormatting sqref="V27:W27 BM27 BP27 T27 AP27:AS27 BB27:BE27 AE27:AH27 L27">
    <cfRule type="containsText" dxfId="210" priority="47" operator="containsText" text="A">
      <formula>NOT(ISERROR(SEARCH("A",L27)))</formula>
    </cfRule>
    <cfRule type="containsText" dxfId="209" priority="48" operator="containsText" text="G">
      <formula>NOT(ISERROR(SEARCH("G",L27)))</formula>
    </cfRule>
    <cfRule type="containsText" dxfId="208" priority="49" operator="containsText" text="R">
      <formula>NOT(ISERROR(SEARCH("R",L27)))</formula>
    </cfRule>
  </conditionalFormatting>
  <conditionalFormatting sqref="U27">
    <cfRule type="containsText" dxfId="207" priority="44" operator="containsText" text="A">
      <formula>NOT(ISERROR(SEARCH("A",U27)))</formula>
    </cfRule>
    <cfRule type="containsText" dxfId="206" priority="45" operator="containsText" text="G">
      <formula>NOT(ISERROR(SEARCH("G",U27)))</formula>
    </cfRule>
    <cfRule type="containsText" dxfId="205" priority="46" operator="containsText" text="R">
      <formula>NOT(ISERROR(SEARCH("R",U27)))</formula>
    </cfRule>
  </conditionalFormatting>
  <conditionalFormatting sqref="L27">
    <cfRule type="cellIs" dxfId="204" priority="43" operator="equal">
      <formula>"B"</formula>
    </cfRule>
  </conditionalFormatting>
  <conditionalFormatting sqref="V28:W28 BM28 BP28 T28 AP28:AS28 BB28:BE28 AE28:AH28 L28">
    <cfRule type="containsText" dxfId="203" priority="40" operator="containsText" text="A">
      <formula>NOT(ISERROR(SEARCH("A",L28)))</formula>
    </cfRule>
    <cfRule type="containsText" dxfId="202" priority="41" operator="containsText" text="G">
      <formula>NOT(ISERROR(SEARCH("G",L28)))</formula>
    </cfRule>
    <cfRule type="containsText" dxfId="201" priority="42" operator="containsText" text="R">
      <formula>NOT(ISERROR(SEARCH("R",L28)))</formula>
    </cfRule>
  </conditionalFormatting>
  <conditionalFormatting sqref="U28">
    <cfRule type="containsText" dxfId="200" priority="37" operator="containsText" text="A">
      <formula>NOT(ISERROR(SEARCH("A",U28)))</formula>
    </cfRule>
    <cfRule type="containsText" dxfId="199" priority="38" operator="containsText" text="G">
      <formula>NOT(ISERROR(SEARCH("G",U28)))</formula>
    </cfRule>
    <cfRule type="containsText" dxfId="198" priority="39" operator="containsText" text="R">
      <formula>NOT(ISERROR(SEARCH("R",U28)))</formula>
    </cfRule>
  </conditionalFormatting>
  <conditionalFormatting sqref="L28">
    <cfRule type="cellIs" dxfId="197" priority="36" operator="equal">
      <formula>"B"</formula>
    </cfRule>
  </conditionalFormatting>
  <conditionalFormatting sqref="V29:W29 BM29 BP29 T29 AP29:AS29 BB29:BE29 AE29:AH29 L29">
    <cfRule type="containsText" dxfId="196" priority="33" operator="containsText" text="A">
      <formula>NOT(ISERROR(SEARCH("A",L29)))</formula>
    </cfRule>
    <cfRule type="containsText" dxfId="195" priority="34" operator="containsText" text="G">
      <formula>NOT(ISERROR(SEARCH("G",L29)))</formula>
    </cfRule>
    <cfRule type="containsText" dxfId="194" priority="35" operator="containsText" text="R">
      <formula>NOT(ISERROR(SEARCH("R",L29)))</formula>
    </cfRule>
  </conditionalFormatting>
  <conditionalFormatting sqref="U29">
    <cfRule type="containsText" dxfId="193" priority="30" operator="containsText" text="A">
      <formula>NOT(ISERROR(SEARCH("A",U29)))</formula>
    </cfRule>
    <cfRule type="containsText" dxfId="192" priority="31" operator="containsText" text="G">
      <formula>NOT(ISERROR(SEARCH("G",U29)))</formula>
    </cfRule>
    <cfRule type="containsText" dxfId="191" priority="32" operator="containsText" text="R">
      <formula>NOT(ISERROR(SEARCH("R",U29)))</formula>
    </cfRule>
  </conditionalFormatting>
  <conditionalFormatting sqref="L29">
    <cfRule type="cellIs" dxfId="190" priority="29" operator="equal">
      <formula>"B"</formula>
    </cfRule>
  </conditionalFormatting>
  <conditionalFormatting sqref="V30:W30 BM30 BP30 T30 AP30:AS30 BB30:BE30 AE30:AH30 L30">
    <cfRule type="containsText" dxfId="189" priority="26" operator="containsText" text="A">
      <formula>NOT(ISERROR(SEARCH("A",L30)))</formula>
    </cfRule>
    <cfRule type="containsText" dxfId="188" priority="27" operator="containsText" text="G">
      <formula>NOT(ISERROR(SEARCH("G",L30)))</formula>
    </cfRule>
    <cfRule type="containsText" dxfId="187" priority="28" operator="containsText" text="R">
      <formula>NOT(ISERROR(SEARCH("R",L30)))</formula>
    </cfRule>
  </conditionalFormatting>
  <conditionalFormatting sqref="U30">
    <cfRule type="containsText" dxfId="186" priority="23" operator="containsText" text="A">
      <formula>NOT(ISERROR(SEARCH("A",U30)))</formula>
    </cfRule>
    <cfRule type="containsText" dxfId="185" priority="24" operator="containsText" text="G">
      <formula>NOT(ISERROR(SEARCH("G",U30)))</formula>
    </cfRule>
    <cfRule type="containsText" dxfId="184" priority="25" operator="containsText" text="R">
      <formula>NOT(ISERROR(SEARCH("R",U30)))</formula>
    </cfRule>
  </conditionalFormatting>
  <conditionalFormatting sqref="L30">
    <cfRule type="cellIs" dxfId="183" priority="22" operator="equal">
      <formula>"B"</formula>
    </cfRule>
  </conditionalFormatting>
  <conditionalFormatting sqref="V31:W31 BM31 BP31 T31 AP31:AS31 BB31:BE31 AE31:AH31 L31">
    <cfRule type="containsText" dxfId="182" priority="19" operator="containsText" text="A">
      <formula>NOT(ISERROR(SEARCH("A",L31)))</formula>
    </cfRule>
    <cfRule type="containsText" dxfId="181" priority="20" operator="containsText" text="G">
      <formula>NOT(ISERROR(SEARCH("G",L31)))</formula>
    </cfRule>
    <cfRule type="containsText" dxfId="180" priority="21" operator="containsText" text="R">
      <formula>NOT(ISERROR(SEARCH("R",L31)))</formula>
    </cfRule>
  </conditionalFormatting>
  <conditionalFormatting sqref="U31">
    <cfRule type="containsText" dxfId="179" priority="16" operator="containsText" text="A">
      <formula>NOT(ISERROR(SEARCH("A",U31)))</formula>
    </cfRule>
    <cfRule type="containsText" dxfId="178" priority="17" operator="containsText" text="G">
      <formula>NOT(ISERROR(SEARCH("G",U31)))</formula>
    </cfRule>
    <cfRule type="containsText" dxfId="177" priority="18" operator="containsText" text="R">
      <formula>NOT(ISERROR(SEARCH("R",U31)))</formula>
    </cfRule>
  </conditionalFormatting>
  <conditionalFormatting sqref="L31">
    <cfRule type="cellIs" dxfId="176" priority="15" operator="equal">
      <formula>"B"</formula>
    </cfRule>
  </conditionalFormatting>
  <conditionalFormatting sqref="V32:W32 BM32 BP32 T32 AP32:AS32 BB32:BE32 AE32:AH32 L32">
    <cfRule type="containsText" dxfId="175" priority="12" operator="containsText" text="A">
      <formula>NOT(ISERROR(SEARCH("A",L32)))</formula>
    </cfRule>
    <cfRule type="containsText" dxfId="174" priority="13" operator="containsText" text="G">
      <formula>NOT(ISERROR(SEARCH("G",L32)))</formula>
    </cfRule>
    <cfRule type="containsText" dxfId="173" priority="14" operator="containsText" text="R">
      <formula>NOT(ISERROR(SEARCH("R",L32)))</formula>
    </cfRule>
  </conditionalFormatting>
  <conditionalFormatting sqref="U32">
    <cfRule type="containsText" dxfId="172" priority="9" operator="containsText" text="A">
      <formula>NOT(ISERROR(SEARCH("A",U32)))</formula>
    </cfRule>
    <cfRule type="containsText" dxfId="171" priority="10" operator="containsText" text="G">
      <formula>NOT(ISERROR(SEARCH("G",U32)))</formula>
    </cfRule>
    <cfRule type="containsText" dxfId="170" priority="11" operator="containsText" text="R">
      <formula>NOT(ISERROR(SEARCH("R",U32)))</formula>
    </cfRule>
  </conditionalFormatting>
  <conditionalFormatting sqref="L32">
    <cfRule type="cellIs" dxfId="169" priority="8" operator="equal">
      <formula>"B"</formula>
    </cfRule>
  </conditionalFormatting>
  <conditionalFormatting sqref="V33:W33 BM33 BP33 T33 AP33:AS33 BB33:BE33 AE33:AH33 L33">
    <cfRule type="containsText" dxfId="168" priority="5" operator="containsText" text="A">
      <formula>NOT(ISERROR(SEARCH("A",L33)))</formula>
    </cfRule>
    <cfRule type="containsText" dxfId="167" priority="6" operator="containsText" text="G">
      <formula>NOT(ISERROR(SEARCH("G",L33)))</formula>
    </cfRule>
    <cfRule type="containsText" dxfId="166" priority="7" operator="containsText" text="R">
      <formula>NOT(ISERROR(SEARCH("R",L33)))</formula>
    </cfRule>
  </conditionalFormatting>
  <conditionalFormatting sqref="U33">
    <cfRule type="containsText" dxfId="165" priority="2" operator="containsText" text="A">
      <formula>NOT(ISERROR(SEARCH("A",U33)))</formula>
    </cfRule>
    <cfRule type="containsText" dxfId="164" priority="3" operator="containsText" text="G">
      <formula>NOT(ISERROR(SEARCH("G",U33)))</formula>
    </cfRule>
    <cfRule type="containsText" dxfId="163" priority="4" operator="containsText" text="R">
      <formula>NOT(ISERROR(SEARCH("R",U33)))</formula>
    </cfRule>
  </conditionalFormatting>
  <conditionalFormatting sqref="L33">
    <cfRule type="cellIs" dxfId="162" priority="1" operator="equal">
      <formula>"B"</formula>
    </cfRule>
  </conditionalFormatting>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4" r:id="rId21"/>
  </hyperlinks>
  <pageMargins left="0.7" right="0.7" top="0.75" bottom="0.75" header="0.3" footer="0.3"/>
  <pageSetup paperSize="9" orientation="portrait" r:id="rId22"/>
  <legacyDrawing r:id="rId23"/>
  <extLst>
    <ext xmlns:x14="http://schemas.microsoft.com/office/spreadsheetml/2009/9/main" uri="{CCE6A557-97BC-4b89-ADB6-D9C93CAAB3DF}">
      <x14:dataValidations xmlns:xm="http://schemas.microsoft.com/office/excel/2006/main" count="4">
        <x14:dataValidation type="list" allowBlank="1" showInputMessage="1" showErrorMessage="1">
          <x14:formula1>
            <xm:f>'Project Managers &amp; FacOps Reps'!$C$1:$C$5</xm:f>
          </x14:formula1>
          <xm:sqref>F3:F40</xm:sqref>
        </x14:dataValidation>
        <x14:dataValidation type="list" allowBlank="1" showInputMessage="1" showErrorMessage="1">
          <x14:formula1>
            <xm:f>'Project Managers &amp; FacOps Reps'!$A$1:$A$20</xm:f>
          </x14:formula1>
          <xm:sqref>E3:E40</xm:sqref>
        </x14:dataValidation>
        <x14:dataValidation type="list" allowBlank="1" showInputMessage="1" showErrorMessage="1">
          <x14:formula1>
            <xm:f>Sponsors!$A$1:$A$19</xm:f>
          </x14:formula1>
          <xm:sqref>G3:G40</xm:sqref>
        </x14:dataValidation>
        <x14:dataValidation type="list" allowBlank="1" showInputMessage="1" showErrorMessage="1">
          <x14:formula1>
            <xm:f>'Head Office Buildings'!$A$1:$A$96</xm:f>
          </x14:formula1>
          <xm:sqref>D3:D40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C000"/>
  </sheetPr>
  <dimension ref="B1:S63"/>
  <sheetViews>
    <sheetView showGridLines="0" topLeftCell="B49" zoomScaleNormal="100" workbookViewId="0">
      <selection activeCell="S5" sqref="S5"/>
    </sheetView>
  </sheetViews>
  <sheetFormatPr defaultRowHeight="15" x14ac:dyDescent="0.2"/>
  <cols>
    <col min="1" max="1" width="0" hidden="1" customWidth="1"/>
    <col min="2" max="2" width="15.21875" bestFit="1" customWidth="1"/>
    <col min="3" max="3" width="10.77734375" style="26" customWidth="1"/>
    <col min="4" max="11" width="10.77734375" customWidth="1"/>
    <col min="12" max="12" width="10.77734375" style="108" hidden="1" customWidth="1"/>
    <col min="13" max="13" width="10.77734375" customWidth="1"/>
    <col min="14" max="15" width="10.77734375" style="26" customWidth="1"/>
    <col min="16" max="16" width="10.77734375" customWidth="1"/>
    <col min="17" max="17" width="10.77734375" style="108" hidden="1" customWidth="1"/>
    <col min="18" max="18" width="10.77734375" style="26" customWidth="1"/>
    <col min="19" max="19" width="10.77734375" style="254" customWidth="1"/>
  </cols>
  <sheetData>
    <row r="1" spans="2:19" ht="16.5" thickBot="1" x14ac:dyDescent="0.25">
      <c r="B1" s="407" t="s">
        <v>373</v>
      </c>
      <c r="C1" s="408"/>
      <c r="D1" s="408"/>
      <c r="E1" s="408"/>
      <c r="F1" s="408"/>
      <c r="G1" s="408"/>
      <c r="H1" s="408"/>
      <c r="I1" s="408"/>
      <c r="J1" s="408"/>
      <c r="K1" s="408"/>
      <c r="L1" s="408"/>
      <c r="M1" s="408"/>
      <c r="N1" s="408"/>
      <c r="O1" s="408"/>
      <c r="P1" s="408"/>
      <c r="Q1" s="408"/>
      <c r="R1" s="408"/>
      <c r="S1" s="408"/>
    </row>
    <row r="2" spans="2:19" ht="45.75" thickBot="1" x14ac:dyDescent="0.25">
      <c r="B2" s="198" t="s">
        <v>195</v>
      </c>
      <c r="C2" s="173" t="s">
        <v>9</v>
      </c>
      <c r="D2" s="173" t="s">
        <v>10</v>
      </c>
      <c r="E2" s="173" t="s">
        <v>18</v>
      </c>
      <c r="F2" s="173" t="s">
        <v>20</v>
      </c>
      <c r="G2" s="173" t="s">
        <v>265</v>
      </c>
      <c r="H2" s="173" t="s">
        <v>266</v>
      </c>
      <c r="I2" s="173" t="s">
        <v>267</v>
      </c>
      <c r="J2" s="173" t="s">
        <v>268</v>
      </c>
      <c r="K2" s="173" t="s">
        <v>269</v>
      </c>
      <c r="L2" s="174" t="s">
        <v>270</v>
      </c>
      <c r="M2" s="174" t="s">
        <v>271</v>
      </c>
      <c r="N2" s="173" t="s">
        <v>272</v>
      </c>
      <c r="O2" s="173" t="s">
        <v>273</v>
      </c>
      <c r="P2" s="174" t="s">
        <v>274</v>
      </c>
      <c r="Q2" s="174" t="s">
        <v>275</v>
      </c>
      <c r="R2" s="174" t="s">
        <v>276</v>
      </c>
      <c r="S2" s="247" t="s">
        <v>584</v>
      </c>
    </row>
    <row r="3" spans="2:19" s="127" customFormat="1" ht="15.75" thickBot="1" x14ac:dyDescent="0.25">
      <c r="B3" s="176"/>
      <c r="C3" s="176"/>
      <c r="D3" s="176"/>
      <c r="E3" s="176"/>
      <c r="F3" s="176"/>
      <c r="G3" s="176"/>
      <c r="H3" s="176"/>
      <c r="I3" s="176"/>
      <c r="J3" s="176"/>
      <c r="K3" s="176"/>
      <c r="L3" s="177"/>
      <c r="M3" s="177"/>
      <c r="N3" s="176"/>
      <c r="O3" s="176"/>
      <c r="P3" s="177"/>
      <c r="Q3" s="177"/>
      <c r="R3" s="177"/>
      <c r="S3" s="248"/>
    </row>
    <row r="4" spans="2:19" ht="23.25" thickBot="1" x14ac:dyDescent="0.25">
      <c r="B4" s="175" t="s">
        <v>121</v>
      </c>
      <c r="C4" s="123" t="s">
        <v>122</v>
      </c>
      <c r="D4" s="123" t="s">
        <v>123</v>
      </c>
      <c r="E4" s="123" t="s">
        <v>95</v>
      </c>
      <c r="F4" s="178" t="s">
        <v>302</v>
      </c>
      <c r="G4" s="182" t="s">
        <v>340</v>
      </c>
      <c r="H4" s="182" t="s">
        <v>339</v>
      </c>
      <c r="I4" s="182" t="s">
        <v>340</v>
      </c>
      <c r="J4" s="182" t="s">
        <v>340</v>
      </c>
      <c r="K4" s="182" t="s">
        <v>340</v>
      </c>
      <c r="L4" s="182" t="s">
        <v>340</v>
      </c>
      <c r="M4" s="182" t="s">
        <v>340</v>
      </c>
      <c r="N4" s="182" t="s">
        <v>340</v>
      </c>
      <c r="O4" s="182" t="s">
        <v>339</v>
      </c>
      <c r="P4" s="182" t="s">
        <v>341</v>
      </c>
      <c r="Q4" s="182" t="s">
        <v>340</v>
      </c>
      <c r="R4" s="182" t="s">
        <v>341</v>
      </c>
      <c r="S4" s="255" t="s">
        <v>340</v>
      </c>
    </row>
    <row r="5" spans="2:19" ht="24" customHeight="1" thickBot="1" x14ac:dyDescent="0.25">
      <c r="B5" s="103"/>
      <c r="C5" s="212" t="s">
        <v>122</v>
      </c>
      <c r="D5" s="212" t="s">
        <v>123</v>
      </c>
      <c r="E5" s="212" t="s">
        <v>95</v>
      </c>
      <c r="F5" s="212" t="s">
        <v>302</v>
      </c>
      <c r="G5" s="185" t="s">
        <v>277</v>
      </c>
      <c r="H5" s="186" t="s">
        <v>277</v>
      </c>
      <c r="I5" s="186" t="s">
        <v>277</v>
      </c>
      <c r="J5" s="186" t="s">
        <v>277</v>
      </c>
      <c r="K5" s="186" t="s">
        <v>277</v>
      </c>
      <c r="L5" s="186" t="s">
        <v>277</v>
      </c>
      <c r="M5" s="186" t="s">
        <v>277</v>
      </c>
      <c r="N5" s="187" t="s">
        <v>278</v>
      </c>
      <c r="O5" s="187" t="s">
        <v>278</v>
      </c>
      <c r="P5" s="186" t="s">
        <v>277</v>
      </c>
      <c r="Q5" s="112"/>
      <c r="R5" s="188" t="s">
        <v>374</v>
      </c>
      <c r="S5" s="249"/>
    </row>
    <row r="6" spans="2:19" ht="23.25" thickBot="1" x14ac:dyDescent="0.25">
      <c r="B6" s="197" t="s">
        <v>124</v>
      </c>
      <c r="C6" s="196" t="s">
        <v>125</v>
      </c>
      <c r="D6" s="123" t="s">
        <v>126</v>
      </c>
      <c r="E6" s="123" t="s">
        <v>88</v>
      </c>
      <c r="F6" s="178" t="s">
        <v>303</v>
      </c>
      <c r="G6" s="182" t="s">
        <v>339</v>
      </c>
      <c r="H6" s="182" t="s">
        <v>339</v>
      </c>
      <c r="I6" s="182" t="s">
        <v>340</v>
      </c>
      <c r="J6" s="182" t="s">
        <v>339</v>
      </c>
      <c r="K6" s="182" t="s">
        <v>339</v>
      </c>
      <c r="L6" s="182" t="s">
        <v>340</v>
      </c>
      <c r="M6" s="182" t="s">
        <v>339</v>
      </c>
      <c r="N6" s="182" t="s">
        <v>572</v>
      </c>
      <c r="O6" s="182" t="s">
        <v>339</v>
      </c>
      <c r="P6" s="182" t="s">
        <v>339</v>
      </c>
      <c r="Q6" s="182" t="s">
        <v>340</v>
      </c>
      <c r="R6" s="182" t="s">
        <v>339</v>
      </c>
      <c r="S6" s="256" t="s">
        <v>339</v>
      </c>
    </row>
    <row r="7" spans="2:19" ht="24" customHeight="1" thickBot="1" x14ac:dyDescent="0.25">
      <c r="B7" s="104"/>
      <c r="C7" s="212" t="s">
        <v>125</v>
      </c>
      <c r="D7" s="212" t="s">
        <v>126</v>
      </c>
      <c r="E7" s="212" t="s">
        <v>88</v>
      </c>
      <c r="F7" s="212" t="s">
        <v>303</v>
      </c>
      <c r="G7" s="183" t="s">
        <v>277</v>
      </c>
      <c r="H7" s="113" t="s">
        <v>277</v>
      </c>
      <c r="I7" s="113" t="s">
        <v>277</v>
      </c>
      <c r="J7" s="113" t="s">
        <v>277</v>
      </c>
      <c r="K7" s="113" t="s">
        <v>277</v>
      </c>
      <c r="L7" s="114" t="s">
        <v>278</v>
      </c>
      <c r="M7" s="113" t="s">
        <v>277</v>
      </c>
      <c r="N7" s="113" t="s">
        <v>278</v>
      </c>
      <c r="O7" s="113" t="s">
        <v>278</v>
      </c>
      <c r="P7" s="113" t="s">
        <v>277</v>
      </c>
      <c r="Q7" s="115" t="s">
        <v>279</v>
      </c>
      <c r="R7" s="116" t="s">
        <v>280</v>
      </c>
      <c r="S7" s="250"/>
    </row>
    <row r="8" spans="2:19" ht="45.75" thickBot="1" x14ac:dyDescent="0.25">
      <c r="B8" s="124" t="s">
        <v>128</v>
      </c>
      <c r="C8" s="105" t="s">
        <v>129</v>
      </c>
      <c r="D8" s="105" t="s">
        <v>130</v>
      </c>
      <c r="E8" s="105" t="s">
        <v>220</v>
      </c>
      <c r="F8" s="179" t="s">
        <v>302</v>
      </c>
      <c r="G8" s="182" t="s">
        <v>339</v>
      </c>
      <c r="H8" s="182" t="s">
        <v>339</v>
      </c>
      <c r="I8" s="182" t="s">
        <v>339</v>
      </c>
      <c r="J8" s="182" t="s">
        <v>339</v>
      </c>
      <c r="K8" s="182" t="s">
        <v>339</v>
      </c>
      <c r="L8" s="182" t="s">
        <v>340</v>
      </c>
      <c r="M8" s="182" t="s">
        <v>339</v>
      </c>
      <c r="N8" s="182" t="s">
        <v>339</v>
      </c>
      <c r="O8" s="182" t="s">
        <v>339</v>
      </c>
      <c r="P8" s="182" t="s">
        <v>341</v>
      </c>
      <c r="Q8" s="182" t="s">
        <v>340</v>
      </c>
      <c r="R8" s="182" t="s">
        <v>341</v>
      </c>
      <c r="S8" s="256" t="s">
        <v>340</v>
      </c>
    </row>
    <row r="9" spans="2:19" ht="24" customHeight="1" thickBot="1" x14ac:dyDescent="0.25">
      <c r="B9" s="103"/>
      <c r="C9" s="212" t="s">
        <v>129</v>
      </c>
      <c r="D9" s="212" t="s">
        <v>130</v>
      </c>
      <c r="E9" s="212" t="s">
        <v>220</v>
      </c>
      <c r="F9" s="212" t="s">
        <v>302</v>
      </c>
      <c r="G9" s="183" t="s">
        <v>277</v>
      </c>
      <c r="H9" s="113" t="s">
        <v>277</v>
      </c>
      <c r="I9" s="113" t="s">
        <v>277</v>
      </c>
      <c r="J9" s="113" t="s">
        <v>277</v>
      </c>
      <c r="K9" s="113" t="s">
        <v>277</v>
      </c>
      <c r="L9" s="117" t="s">
        <v>278</v>
      </c>
      <c r="M9" s="113" t="s">
        <v>277</v>
      </c>
      <c r="N9" s="118" t="s">
        <v>278</v>
      </c>
      <c r="O9" s="118" t="s">
        <v>278</v>
      </c>
      <c r="P9" s="113" t="s">
        <v>277</v>
      </c>
      <c r="Q9" s="115" t="s">
        <v>279</v>
      </c>
      <c r="R9" s="116" t="s">
        <v>280</v>
      </c>
      <c r="S9" s="250"/>
    </row>
    <row r="10" spans="2:19" ht="34.5" thickBot="1" x14ac:dyDescent="0.25">
      <c r="B10" s="125" t="s">
        <v>138</v>
      </c>
      <c r="C10" s="106" t="s">
        <v>304</v>
      </c>
      <c r="D10" s="106" t="s">
        <v>281</v>
      </c>
      <c r="E10" s="106" t="s">
        <v>305</v>
      </c>
      <c r="F10" s="180" t="s">
        <v>303</v>
      </c>
      <c r="G10" s="182" t="s">
        <v>339</v>
      </c>
      <c r="H10" s="182" t="s">
        <v>339</v>
      </c>
      <c r="I10" s="182" t="s">
        <v>340</v>
      </c>
      <c r="J10" s="182" t="s">
        <v>339</v>
      </c>
      <c r="K10" s="182" t="s">
        <v>339</v>
      </c>
      <c r="L10" s="182" t="s">
        <v>340</v>
      </c>
      <c r="M10" s="182" t="s">
        <v>340</v>
      </c>
      <c r="N10" s="182" t="s">
        <v>339</v>
      </c>
      <c r="O10" s="182" t="s">
        <v>339</v>
      </c>
      <c r="P10" s="182" t="s">
        <v>339</v>
      </c>
      <c r="Q10" s="182" t="s">
        <v>340</v>
      </c>
      <c r="R10" s="182" t="s">
        <v>340</v>
      </c>
      <c r="S10" s="256" t="s">
        <v>339</v>
      </c>
    </row>
    <row r="11" spans="2:19" ht="24" customHeight="1" thickBot="1" x14ac:dyDescent="0.25">
      <c r="B11" s="103"/>
      <c r="C11" s="212" t="s">
        <v>304</v>
      </c>
      <c r="D11" s="212" t="s">
        <v>281</v>
      </c>
      <c r="E11" s="212" t="s">
        <v>305</v>
      </c>
      <c r="F11" s="212" t="s">
        <v>303</v>
      </c>
      <c r="G11" s="183" t="s">
        <v>277</v>
      </c>
      <c r="H11" s="113" t="s">
        <v>277</v>
      </c>
      <c r="I11" s="113" t="s">
        <v>277</v>
      </c>
      <c r="J11" s="113" t="s">
        <v>277</v>
      </c>
      <c r="K11" s="113" t="s">
        <v>277</v>
      </c>
      <c r="L11" s="117" t="s">
        <v>278</v>
      </c>
      <c r="M11" s="113" t="s">
        <v>277</v>
      </c>
      <c r="N11" s="118" t="s">
        <v>278</v>
      </c>
      <c r="O11" s="118" t="s">
        <v>278</v>
      </c>
      <c r="P11" s="113" t="s">
        <v>277</v>
      </c>
      <c r="Q11" s="115" t="s">
        <v>279</v>
      </c>
      <c r="R11" s="116" t="s">
        <v>280</v>
      </c>
      <c r="S11" s="250"/>
    </row>
    <row r="12" spans="2:19" ht="34.5" thickBot="1" x14ac:dyDescent="0.25">
      <c r="B12" s="124" t="s">
        <v>141</v>
      </c>
      <c r="C12" s="106" t="s">
        <v>142</v>
      </c>
      <c r="D12" s="106" t="s">
        <v>143</v>
      </c>
      <c r="E12" s="106" t="s">
        <v>225</v>
      </c>
      <c r="F12" s="181" t="s">
        <v>303</v>
      </c>
      <c r="G12" s="182" t="s">
        <v>339</v>
      </c>
      <c r="H12" s="182" t="s">
        <v>339</v>
      </c>
      <c r="I12" s="182" t="s">
        <v>340</v>
      </c>
      <c r="J12" s="182" t="s">
        <v>339</v>
      </c>
      <c r="K12" s="182" t="s">
        <v>339</v>
      </c>
      <c r="L12" s="182" t="s">
        <v>340</v>
      </c>
      <c r="M12" s="182" t="s">
        <v>339</v>
      </c>
      <c r="N12" s="182" t="s">
        <v>339</v>
      </c>
      <c r="O12" s="182" t="s">
        <v>340</v>
      </c>
      <c r="P12" s="182" t="s">
        <v>339</v>
      </c>
      <c r="Q12" s="182" t="s">
        <v>340</v>
      </c>
      <c r="R12" s="182" t="s">
        <v>339</v>
      </c>
      <c r="S12" s="256" t="s">
        <v>339</v>
      </c>
    </row>
    <row r="13" spans="2:19" ht="24" customHeight="1" thickBot="1" x14ac:dyDescent="0.25">
      <c r="B13" s="103"/>
      <c r="C13" s="212" t="s">
        <v>142</v>
      </c>
      <c r="D13" s="212" t="s">
        <v>143</v>
      </c>
      <c r="E13" s="212" t="s">
        <v>225</v>
      </c>
      <c r="F13" s="212" t="s">
        <v>303</v>
      </c>
      <c r="G13" s="184" t="s">
        <v>277</v>
      </c>
      <c r="H13" s="171" t="s">
        <v>277</v>
      </c>
      <c r="I13" s="171" t="s">
        <v>277</v>
      </c>
      <c r="J13" s="171" t="s">
        <v>277</v>
      </c>
      <c r="K13" s="171" t="s">
        <v>277</v>
      </c>
      <c r="L13" s="109"/>
      <c r="M13" s="171" t="s">
        <v>277</v>
      </c>
      <c r="N13" s="172" t="s">
        <v>278</v>
      </c>
      <c r="O13" s="172" t="s">
        <v>278</v>
      </c>
      <c r="P13" s="171" t="s">
        <v>277</v>
      </c>
      <c r="Q13" s="109"/>
      <c r="R13" s="172" t="s">
        <v>374</v>
      </c>
      <c r="S13" s="251"/>
    </row>
    <row r="14" spans="2:19" ht="23.25" thickBot="1" x14ac:dyDescent="0.25">
      <c r="B14" s="124" t="s">
        <v>144</v>
      </c>
      <c r="C14" s="106" t="s">
        <v>229</v>
      </c>
      <c r="D14" s="106" t="s">
        <v>146</v>
      </c>
      <c r="E14" s="106" t="s">
        <v>225</v>
      </c>
      <c r="F14" s="181" t="s">
        <v>303</v>
      </c>
      <c r="G14" s="182" t="s">
        <v>339</v>
      </c>
      <c r="H14" s="182" t="s">
        <v>339</v>
      </c>
      <c r="I14" s="182" t="s">
        <v>340</v>
      </c>
      <c r="J14" s="182" t="s">
        <v>339</v>
      </c>
      <c r="K14" s="182" t="s">
        <v>340</v>
      </c>
      <c r="L14" s="182" t="s">
        <v>340</v>
      </c>
      <c r="M14" s="182" t="s">
        <v>339</v>
      </c>
      <c r="N14" s="182" t="s">
        <v>340</v>
      </c>
      <c r="O14" s="182" t="s">
        <v>340</v>
      </c>
      <c r="P14" s="182" t="s">
        <v>340</v>
      </c>
      <c r="Q14" s="182" t="s">
        <v>340</v>
      </c>
      <c r="R14" s="182" t="s">
        <v>340</v>
      </c>
      <c r="S14" s="256" t="s">
        <v>340</v>
      </c>
    </row>
    <row r="15" spans="2:19" ht="24" customHeight="1" thickBot="1" x14ac:dyDescent="0.25">
      <c r="B15" s="103"/>
      <c r="C15" s="212" t="s">
        <v>229</v>
      </c>
      <c r="D15" s="212" t="s">
        <v>146</v>
      </c>
      <c r="E15" s="212" t="s">
        <v>225</v>
      </c>
      <c r="F15" s="212" t="s">
        <v>303</v>
      </c>
      <c r="G15" s="185" t="s">
        <v>277</v>
      </c>
      <c r="H15" s="186" t="s">
        <v>277</v>
      </c>
      <c r="I15" s="186" t="s">
        <v>277</v>
      </c>
      <c r="J15" s="186" t="s">
        <v>277</v>
      </c>
      <c r="K15" s="186" t="s">
        <v>277</v>
      </c>
      <c r="L15" s="186" t="s">
        <v>277</v>
      </c>
      <c r="M15" s="186" t="s">
        <v>277</v>
      </c>
      <c r="N15" s="187" t="s">
        <v>278</v>
      </c>
      <c r="O15" s="187" t="s">
        <v>278</v>
      </c>
      <c r="P15" s="186" t="s">
        <v>277</v>
      </c>
      <c r="Q15" s="112"/>
      <c r="R15" s="188" t="s">
        <v>374</v>
      </c>
      <c r="S15" s="249"/>
    </row>
    <row r="16" spans="2:19" ht="23.25" thickBot="1" x14ac:dyDescent="0.25">
      <c r="B16" s="124" t="s">
        <v>134</v>
      </c>
      <c r="C16" s="106" t="s">
        <v>135</v>
      </c>
      <c r="D16" s="106" t="s">
        <v>136</v>
      </c>
      <c r="E16" s="106" t="s">
        <v>231</v>
      </c>
      <c r="F16" s="181" t="s">
        <v>307</v>
      </c>
      <c r="G16" s="182" t="s">
        <v>340</v>
      </c>
      <c r="H16" s="182" t="s">
        <v>340</v>
      </c>
      <c r="I16" s="182" t="s">
        <v>340</v>
      </c>
      <c r="J16" s="182" t="s">
        <v>340</v>
      </c>
      <c r="K16" s="182" t="s">
        <v>340</v>
      </c>
      <c r="L16" s="182" t="s">
        <v>340</v>
      </c>
      <c r="M16" s="182" t="s">
        <v>339</v>
      </c>
      <c r="N16" s="182" t="s">
        <v>340</v>
      </c>
      <c r="O16" s="182" t="s">
        <v>340</v>
      </c>
      <c r="P16" s="182" t="s">
        <v>340</v>
      </c>
      <c r="Q16" s="182" t="s">
        <v>340</v>
      </c>
      <c r="R16" s="182" t="s">
        <v>340</v>
      </c>
      <c r="S16" s="256" t="s">
        <v>340</v>
      </c>
    </row>
    <row r="17" spans="2:19" ht="24" customHeight="1" thickBot="1" x14ac:dyDescent="0.25">
      <c r="B17" s="103"/>
      <c r="C17" s="212" t="s">
        <v>135</v>
      </c>
      <c r="D17" s="212" t="s">
        <v>136</v>
      </c>
      <c r="E17" s="212" t="s">
        <v>231</v>
      </c>
      <c r="F17" s="212" t="s">
        <v>307</v>
      </c>
      <c r="G17" s="185" t="s">
        <v>277</v>
      </c>
      <c r="H17" s="186" t="s">
        <v>277</v>
      </c>
      <c r="I17" s="186" t="s">
        <v>277</v>
      </c>
      <c r="J17" s="186" t="s">
        <v>277</v>
      </c>
      <c r="K17" s="186" t="s">
        <v>277</v>
      </c>
      <c r="L17" s="186" t="s">
        <v>277</v>
      </c>
      <c r="M17" s="186" t="s">
        <v>277</v>
      </c>
      <c r="N17" s="187" t="s">
        <v>278</v>
      </c>
      <c r="O17" s="187" t="s">
        <v>278</v>
      </c>
      <c r="P17" s="186" t="s">
        <v>277</v>
      </c>
      <c r="Q17" s="112"/>
      <c r="R17" s="188" t="s">
        <v>374</v>
      </c>
      <c r="S17" s="249"/>
    </row>
    <row r="18" spans="2:19" ht="23.25" thickBot="1" x14ac:dyDescent="0.25">
      <c r="B18" s="124" t="s">
        <v>233</v>
      </c>
      <c r="C18" s="106" t="s">
        <v>234</v>
      </c>
      <c r="D18" s="106" t="s">
        <v>282</v>
      </c>
      <c r="E18" s="107" t="s">
        <v>306</v>
      </c>
      <c r="F18" s="181" t="s">
        <v>102</v>
      </c>
      <c r="G18" s="182" t="s">
        <v>340</v>
      </c>
      <c r="H18" s="182" t="s">
        <v>340</v>
      </c>
      <c r="I18" s="182" t="s">
        <v>340</v>
      </c>
      <c r="J18" s="182" t="s">
        <v>340</v>
      </c>
      <c r="K18" s="182" t="s">
        <v>340</v>
      </c>
      <c r="L18" s="182" t="s">
        <v>340</v>
      </c>
      <c r="M18" s="182" t="s">
        <v>340</v>
      </c>
      <c r="N18" s="182" t="s">
        <v>340</v>
      </c>
      <c r="O18" s="182" t="s">
        <v>340</v>
      </c>
      <c r="P18" s="182" t="s">
        <v>340</v>
      </c>
      <c r="Q18" s="182" t="s">
        <v>340</v>
      </c>
      <c r="R18" s="182" t="s">
        <v>340</v>
      </c>
      <c r="S18" s="256" t="s">
        <v>340</v>
      </c>
    </row>
    <row r="19" spans="2:19" ht="24" customHeight="1" thickBot="1" x14ac:dyDescent="0.25">
      <c r="B19" s="103"/>
      <c r="C19" s="212" t="s">
        <v>234</v>
      </c>
      <c r="D19" s="212" t="s">
        <v>282</v>
      </c>
      <c r="E19" s="212" t="s">
        <v>306</v>
      </c>
      <c r="F19" s="212" t="s">
        <v>102</v>
      </c>
      <c r="G19" s="185" t="s">
        <v>277</v>
      </c>
      <c r="H19" s="186" t="s">
        <v>277</v>
      </c>
      <c r="I19" s="186" t="s">
        <v>277</v>
      </c>
      <c r="J19" s="186" t="s">
        <v>277</v>
      </c>
      <c r="K19" s="186" t="s">
        <v>277</v>
      </c>
      <c r="L19" s="110" t="s">
        <v>277</v>
      </c>
      <c r="M19" s="186" t="s">
        <v>277</v>
      </c>
      <c r="N19" s="187" t="s">
        <v>278</v>
      </c>
      <c r="O19" s="187" t="s">
        <v>278</v>
      </c>
      <c r="P19" s="186" t="s">
        <v>277</v>
      </c>
      <c r="Q19" s="112"/>
      <c r="R19" s="188" t="s">
        <v>374</v>
      </c>
      <c r="S19" s="249"/>
    </row>
    <row r="20" spans="2:19" ht="34.5" thickBot="1" x14ac:dyDescent="0.25">
      <c r="B20" s="124" t="s">
        <v>150</v>
      </c>
      <c r="C20" s="106" t="s">
        <v>151</v>
      </c>
      <c r="D20" s="106" t="s">
        <v>283</v>
      </c>
      <c r="E20" s="106" t="s">
        <v>238</v>
      </c>
      <c r="F20" s="181" t="s">
        <v>307</v>
      </c>
      <c r="G20" s="182" t="s">
        <v>339</v>
      </c>
      <c r="H20" s="182" t="s">
        <v>339</v>
      </c>
      <c r="I20" s="182" t="s">
        <v>340</v>
      </c>
      <c r="J20" s="182" t="s">
        <v>339</v>
      </c>
      <c r="K20" s="182" t="s">
        <v>339</v>
      </c>
      <c r="L20" s="182" t="s">
        <v>340</v>
      </c>
      <c r="M20" s="182" t="s">
        <v>339</v>
      </c>
      <c r="N20" s="182" t="s">
        <v>339</v>
      </c>
      <c r="O20" s="182" t="s">
        <v>339</v>
      </c>
      <c r="P20" s="182" t="s">
        <v>340</v>
      </c>
      <c r="Q20" s="182" t="s">
        <v>340</v>
      </c>
      <c r="R20" s="182" t="s">
        <v>339</v>
      </c>
      <c r="S20" s="256" t="s">
        <v>340</v>
      </c>
    </row>
    <row r="21" spans="2:19" ht="24" customHeight="1" thickBot="1" x14ac:dyDescent="0.25">
      <c r="B21" s="103"/>
      <c r="C21" s="212" t="s">
        <v>151</v>
      </c>
      <c r="D21" s="212" t="s">
        <v>283</v>
      </c>
      <c r="E21" s="212" t="s">
        <v>238</v>
      </c>
      <c r="F21" s="212" t="s">
        <v>307</v>
      </c>
      <c r="G21" s="185" t="s">
        <v>277</v>
      </c>
      <c r="H21" s="186" t="s">
        <v>277</v>
      </c>
      <c r="I21" s="186" t="s">
        <v>277</v>
      </c>
      <c r="J21" s="186" t="s">
        <v>277</v>
      </c>
      <c r="K21" s="186" t="s">
        <v>277</v>
      </c>
      <c r="L21" s="110" t="s">
        <v>277</v>
      </c>
      <c r="M21" s="186" t="s">
        <v>277</v>
      </c>
      <c r="N21" s="187" t="s">
        <v>278</v>
      </c>
      <c r="O21" s="187" t="s">
        <v>278</v>
      </c>
      <c r="P21" s="186" t="s">
        <v>277</v>
      </c>
      <c r="Q21" s="112"/>
      <c r="R21" s="188" t="s">
        <v>374</v>
      </c>
      <c r="S21" s="249"/>
    </row>
    <row r="22" spans="2:19" ht="23.25" thickBot="1" x14ac:dyDescent="0.25">
      <c r="B22" s="124" t="s">
        <v>153</v>
      </c>
      <c r="C22" s="106" t="s">
        <v>154</v>
      </c>
      <c r="D22" s="106" t="s">
        <v>239</v>
      </c>
      <c r="E22" s="107" t="s">
        <v>88</v>
      </c>
      <c r="F22" s="181" t="s">
        <v>307</v>
      </c>
      <c r="G22" s="182" t="s">
        <v>340</v>
      </c>
      <c r="H22" s="182" t="s">
        <v>340</v>
      </c>
      <c r="I22" s="182" t="s">
        <v>340</v>
      </c>
      <c r="J22" s="182" t="s">
        <v>340</v>
      </c>
      <c r="K22" s="182" t="s">
        <v>340</v>
      </c>
      <c r="L22" s="182" t="s">
        <v>340</v>
      </c>
      <c r="M22" s="182" t="s">
        <v>340</v>
      </c>
      <c r="N22" s="182" t="s">
        <v>340</v>
      </c>
      <c r="O22" s="182" t="s">
        <v>340</v>
      </c>
      <c r="P22" s="182" t="s">
        <v>340</v>
      </c>
      <c r="Q22" s="182" t="s">
        <v>340</v>
      </c>
      <c r="R22" s="182" t="s">
        <v>340</v>
      </c>
      <c r="S22" s="256" t="s">
        <v>340</v>
      </c>
    </row>
    <row r="23" spans="2:19" ht="24" customHeight="1" thickBot="1" x14ac:dyDescent="0.25">
      <c r="B23" s="103"/>
      <c r="C23" s="212" t="s">
        <v>154</v>
      </c>
      <c r="D23" s="212" t="s">
        <v>239</v>
      </c>
      <c r="E23" s="212" t="s">
        <v>88</v>
      </c>
      <c r="F23" s="212" t="s">
        <v>308</v>
      </c>
      <c r="G23" s="185" t="s">
        <v>277</v>
      </c>
      <c r="H23" s="186" t="s">
        <v>277</v>
      </c>
      <c r="I23" s="186" t="s">
        <v>277</v>
      </c>
      <c r="J23" s="186" t="s">
        <v>277</v>
      </c>
      <c r="K23" s="186" t="s">
        <v>277</v>
      </c>
      <c r="L23" s="110" t="s">
        <v>277</v>
      </c>
      <c r="M23" s="186" t="s">
        <v>277</v>
      </c>
      <c r="N23" s="187" t="s">
        <v>278</v>
      </c>
      <c r="O23" s="187" t="s">
        <v>278</v>
      </c>
      <c r="P23" s="186" t="s">
        <v>277</v>
      </c>
      <c r="Q23" s="112"/>
      <c r="R23" s="188" t="s">
        <v>374</v>
      </c>
      <c r="S23" s="249"/>
    </row>
    <row r="24" spans="2:19" ht="34.5" thickBot="1" x14ac:dyDescent="0.25">
      <c r="B24" s="124" t="s">
        <v>156</v>
      </c>
      <c r="C24" s="106" t="s">
        <v>241</v>
      </c>
      <c r="D24" s="106" t="s">
        <v>157</v>
      </c>
      <c r="E24" s="107" t="s">
        <v>242</v>
      </c>
      <c r="F24" s="181" t="s">
        <v>309</v>
      </c>
      <c r="G24" s="182" t="s">
        <v>340</v>
      </c>
      <c r="H24" s="182" t="s">
        <v>340</v>
      </c>
      <c r="I24" s="182" t="s">
        <v>340</v>
      </c>
      <c r="J24" s="182" t="s">
        <v>340</v>
      </c>
      <c r="K24" s="182" t="s">
        <v>340</v>
      </c>
      <c r="L24" s="182" t="s">
        <v>340</v>
      </c>
      <c r="M24" s="182" t="s">
        <v>340</v>
      </c>
      <c r="N24" s="182" t="s">
        <v>340</v>
      </c>
      <c r="O24" s="182" t="s">
        <v>340</v>
      </c>
      <c r="P24" s="182" t="s">
        <v>340</v>
      </c>
      <c r="Q24" s="182" t="s">
        <v>340</v>
      </c>
      <c r="R24" s="182" t="s">
        <v>340</v>
      </c>
      <c r="S24" s="256" t="s">
        <v>340</v>
      </c>
    </row>
    <row r="25" spans="2:19" ht="24" customHeight="1" thickBot="1" x14ac:dyDescent="0.25">
      <c r="B25" s="103"/>
      <c r="C25" s="212" t="s">
        <v>241</v>
      </c>
      <c r="D25" s="212" t="s">
        <v>157</v>
      </c>
      <c r="E25" s="212" t="s">
        <v>242</v>
      </c>
      <c r="F25" s="212" t="s">
        <v>309</v>
      </c>
      <c r="G25" s="185" t="s">
        <v>277</v>
      </c>
      <c r="H25" s="186" t="s">
        <v>277</v>
      </c>
      <c r="I25" s="186" t="s">
        <v>277</v>
      </c>
      <c r="J25" s="186" t="s">
        <v>277</v>
      </c>
      <c r="K25" s="186" t="s">
        <v>277</v>
      </c>
      <c r="L25" s="110" t="s">
        <v>277</v>
      </c>
      <c r="M25" s="186" t="s">
        <v>277</v>
      </c>
      <c r="N25" s="187" t="s">
        <v>278</v>
      </c>
      <c r="O25" s="187" t="s">
        <v>278</v>
      </c>
      <c r="P25" s="186" t="s">
        <v>277</v>
      </c>
      <c r="Q25" s="112"/>
      <c r="R25" s="188" t="s">
        <v>374</v>
      </c>
      <c r="S25" s="249"/>
    </row>
    <row r="26" spans="2:19" ht="34.5" thickBot="1" x14ac:dyDescent="0.25">
      <c r="B26" s="124" t="s">
        <v>115</v>
      </c>
      <c r="C26" s="106" t="s">
        <v>116</v>
      </c>
      <c r="D26" s="106" t="s">
        <v>284</v>
      </c>
      <c r="E26" s="107" t="s">
        <v>246</v>
      </c>
      <c r="F26" s="181" t="s">
        <v>307</v>
      </c>
      <c r="G26" s="182" t="s">
        <v>340</v>
      </c>
      <c r="H26" s="182" t="s">
        <v>340</v>
      </c>
      <c r="I26" s="182" t="s">
        <v>340</v>
      </c>
      <c r="J26" s="182" t="s">
        <v>340</v>
      </c>
      <c r="K26" s="182" t="s">
        <v>340</v>
      </c>
      <c r="L26" s="182" t="s">
        <v>340</v>
      </c>
      <c r="M26" s="182" t="s">
        <v>340</v>
      </c>
      <c r="N26" s="182" t="s">
        <v>340</v>
      </c>
      <c r="O26" s="182" t="s">
        <v>340</v>
      </c>
      <c r="P26" s="182" t="s">
        <v>340</v>
      </c>
      <c r="Q26" s="182" t="s">
        <v>340</v>
      </c>
      <c r="R26" s="182" t="s">
        <v>340</v>
      </c>
      <c r="S26" s="256" t="s">
        <v>340</v>
      </c>
    </row>
    <row r="27" spans="2:19" ht="24" customHeight="1" thickBot="1" x14ac:dyDescent="0.25">
      <c r="B27" s="103"/>
      <c r="C27" s="212" t="s">
        <v>116</v>
      </c>
      <c r="D27" s="212" t="s">
        <v>284</v>
      </c>
      <c r="E27" s="212" t="s">
        <v>246</v>
      </c>
      <c r="F27" s="212" t="s">
        <v>307</v>
      </c>
      <c r="G27" s="185" t="s">
        <v>277</v>
      </c>
      <c r="H27" s="186" t="s">
        <v>277</v>
      </c>
      <c r="I27" s="186" t="s">
        <v>277</v>
      </c>
      <c r="J27" s="186" t="s">
        <v>277</v>
      </c>
      <c r="K27" s="186" t="s">
        <v>277</v>
      </c>
      <c r="L27" s="110" t="s">
        <v>277</v>
      </c>
      <c r="M27" s="186" t="s">
        <v>277</v>
      </c>
      <c r="N27" s="187" t="s">
        <v>278</v>
      </c>
      <c r="O27" s="187" t="s">
        <v>278</v>
      </c>
      <c r="P27" s="186" t="s">
        <v>277</v>
      </c>
      <c r="Q27" s="112"/>
      <c r="R27" s="188" t="s">
        <v>374</v>
      </c>
      <c r="S27" s="249"/>
    </row>
    <row r="28" spans="2:19" ht="23.25" thickBot="1" x14ac:dyDescent="0.25">
      <c r="B28" s="124" t="s">
        <v>158</v>
      </c>
      <c r="C28" s="106" t="s">
        <v>159</v>
      </c>
      <c r="D28" s="106" t="s">
        <v>248</v>
      </c>
      <c r="E28" s="107" t="s">
        <v>242</v>
      </c>
      <c r="F28" s="181" t="s">
        <v>307</v>
      </c>
      <c r="G28" s="182" t="s">
        <v>339</v>
      </c>
      <c r="H28" s="182" t="s">
        <v>339</v>
      </c>
      <c r="I28" s="182" t="s">
        <v>340</v>
      </c>
      <c r="J28" s="182" t="s">
        <v>339</v>
      </c>
      <c r="K28" s="182" t="s">
        <v>339</v>
      </c>
      <c r="L28" s="182" t="s">
        <v>340</v>
      </c>
      <c r="M28" s="182" t="s">
        <v>339</v>
      </c>
      <c r="N28" s="182" t="s">
        <v>339</v>
      </c>
      <c r="O28" s="182" t="s">
        <v>339</v>
      </c>
      <c r="P28" s="182" t="s">
        <v>340</v>
      </c>
      <c r="Q28" s="182" t="s">
        <v>340</v>
      </c>
      <c r="R28" s="182" t="s">
        <v>339</v>
      </c>
      <c r="S28" s="256" t="s">
        <v>339</v>
      </c>
    </row>
    <row r="29" spans="2:19" ht="24" customHeight="1" thickBot="1" x14ac:dyDescent="0.25">
      <c r="B29" s="103"/>
      <c r="C29" s="212" t="str">
        <f t="shared" ref="C29:F29" si="0">C28</f>
        <v>RX04F.033.302.02</v>
      </c>
      <c r="D29" s="212" t="str">
        <f t="shared" si="0"/>
        <v>172 BPR  5th Floor Power</v>
      </c>
      <c r="E29" s="212" t="str">
        <f t="shared" si="0"/>
        <v>172 BPR</v>
      </c>
      <c r="F29" s="212" t="str">
        <f t="shared" si="0"/>
        <v xml:space="preserve">John Murphy </v>
      </c>
      <c r="G29" s="185" t="s">
        <v>277</v>
      </c>
      <c r="H29" s="186" t="s">
        <v>277</v>
      </c>
      <c r="I29" s="186" t="s">
        <v>277</v>
      </c>
      <c r="J29" s="186" t="s">
        <v>277</v>
      </c>
      <c r="K29" s="186" t="s">
        <v>277</v>
      </c>
      <c r="L29" s="110" t="s">
        <v>277</v>
      </c>
      <c r="M29" s="186" t="s">
        <v>277</v>
      </c>
      <c r="N29" s="187" t="s">
        <v>278</v>
      </c>
      <c r="O29" s="187" t="s">
        <v>278</v>
      </c>
      <c r="P29" s="186" t="s">
        <v>277</v>
      </c>
      <c r="Q29" s="112"/>
      <c r="R29" s="188" t="s">
        <v>374</v>
      </c>
      <c r="S29" s="257"/>
    </row>
    <row r="30" spans="2:19" ht="23.25" thickBot="1" x14ac:dyDescent="0.25">
      <c r="B30" s="124" t="s">
        <v>161</v>
      </c>
      <c r="C30" s="106" t="s">
        <v>249</v>
      </c>
      <c r="D30" s="106" t="s">
        <v>162</v>
      </c>
      <c r="E30" s="107" t="s">
        <v>250</v>
      </c>
      <c r="F30" s="181" t="s">
        <v>102</v>
      </c>
      <c r="G30" s="182" t="s">
        <v>339</v>
      </c>
      <c r="H30" s="182" t="s">
        <v>339</v>
      </c>
      <c r="I30" s="182" t="s">
        <v>341</v>
      </c>
      <c r="J30" s="182" t="s">
        <v>339</v>
      </c>
      <c r="K30" s="182" t="s">
        <v>339</v>
      </c>
      <c r="L30" s="182" t="s">
        <v>340</v>
      </c>
      <c r="M30" s="182" t="s">
        <v>339</v>
      </c>
      <c r="N30" s="182" t="s">
        <v>339</v>
      </c>
      <c r="O30" s="182" t="s">
        <v>339</v>
      </c>
      <c r="P30" s="182" t="s">
        <v>339</v>
      </c>
      <c r="Q30" s="182" t="s">
        <v>340</v>
      </c>
      <c r="R30" s="182" t="s">
        <v>339</v>
      </c>
      <c r="S30" s="256" t="s">
        <v>340</v>
      </c>
    </row>
    <row r="31" spans="2:19" ht="24" customHeight="1" thickBot="1" x14ac:dyDescent="0.25">
      <c r="B31" s="103"/>
      <c r="C31" s="212" t="s">
        <v>249</v>
      </c>
      <c r="D31" s="212" t="s">
        <v>162</v>
      </c>
      <c r="E31" s="212" t="s">
        <v>250</v>
      </c>
      <c r="F31" s="212" t="s">
        <v>102</v>
      </c>
      <c r="G31" s="185" t="s">
        <v>277</v>
      </c>
      <c r="H31" s="186" t="s">
        <v>277</v>
      </c>
      <c r="I31" s="186" t="s">
        <v>277</v>
      </c>
      <c r="J31" s="186" t="s">
        <v>277</v>
      </c>
      <c r="K31" s="186" t="s">
        <v>277</v>
      </c>
      <c r="L31" s="110" t="s">
        <v>277</v>
      </c>
      <c r="M31" s="186" t="s">
        <v>277</v>
      </c>
      <c r="N31" s="187" t="s">
        <v>278</v>
      </c>
      <c r="O31" s="187" t="s">
        <v>278</v>
      </c>
      <c r="P31" s="186" t="s">
        <v>277</v>
      </c>
      <c r="Q31" s="112"/>
      <c r="R31" s="188" t="s">
        <v>374</v>
      </c>
      <c r="S31" s="249"/>
    </row>
    <row r="32" spans="2:19" ht="45.75" thickBot="1" x14ac:dyDescent="0.25">
      <c r="B32" s="124" t="s">
        <v>310</v>
      </c>
      <c r="C32" s="106" t="s">
        <v>311</v>
      </c>
      <c r="D32" s="106" t="s">
        <v>285</v>
      </c>
      <c r="E32" s="107" t="s">
        <v>306</v>
      </c>
      <c r="F32" s="181" t="s">
        <v>109</v>
      </c>
      <c r="G32" s="182" t="s">
        <v>340</v>
      </c>
      <c r="H32" s="182" t="s">
        <v>339</v>
      </c>
      <c r="I32" s="182" t="s">
        <v>340</v>
      </c>
      <c r="J32" s="182" t="s">
        <v>340</v>
      </c>
      <c r="K32" s="182" t="s">
        <v>341</v>
      </c>
      <c r="L32" s="182" t="s">
        <v>340</v>
      </c>
      <c r="M32" s="182" t="s">
        <v>339</v>
      </c>
      <c r="N32" s="182" t="s">
        <v>339</v>
      </c>
      <c r="O32" s="182" t="s">
        <v>339</v>
      </c>
      <c r="P32" s="182" t="s">
        <v>339</v>
      </c>
      <c r="Q32" s="182" t="s">
        <v>340</v>
      </c>
      <c r="R32" s="182" t="s">
        <v>339</v>
      </c>
      <c r="S32" s="256" t="s">
        <v>340</v>
      </c>
    </row>
    <row r="33" spans="2:19" ht="24" customHeight="1" thickBot="1" x14ac:dyDescent="0.25">
      <c r="B33" s="103"/>
      <c r="C33" s="212" t="s">
        <v>311</v>
      </c>
      <c r="D33" s="212" t="s">
        <v>285</v>
      </c>
      <c r="E33" s="212" t="s">
        <v>306</v>
      </c>
      <c r="F33" s="212" t="s">
        <v>109</v>
      </c>
      <c r="G33" s="185" t="s">
        <v>277</v>
      </c>
      <c r="H33" s="186" t="s">
        <v>277</v>
      </c>
      <c r="I33" s="186" t="s">
        <v>277</v>
      </c>
      <c r="J33" s="186" t="s">
        <v>277</v>
      </c>
      <c r="K33" s="186" t="s">
        <v>277</v>
      </c>
      <c r="L33" s="110" t="s">
        <v>277</v>
      </c>
      <c r="M33" s="186" t="s">
        <v>277</v>
      </c>
      <c r="N33" s="187" t="s">
        <v>278</v>
      </c>
      <c r="O33" s="187" t="s">
        <v>278</v>
      </c>
      <c r="P33" s="186" t="s">
        <v>277</v>
      </c>
      <c r="Q33" s="112"/>
      <c r="R33" s="188" t="s">
        <v>374</v>
      </c>
      <c r="S33" s="249"/>
    </row>
    <row r="34" spans="2:19" ht="34.5" thickBot="1" x14ac:dyDescent="0.25">
      <c r="B34" s="124" t="s">
        <v>312</v>
      </c>
      <c r="C34" s="106">
        <v>0</v>
      </c>
      <c r="D34" s="106" t="s">
        <v>180</v>
      </c>
      <c r="E34" s="106" t="s">
        <v>313</v>
      </c>
      <c r="F34" s="181" t="s">
        <v>104</v>
      </c>
      <c r="G34" s="182" t="s">
        <v>340</v>
      </c>
      <c r="H34" s="182" t="s">
        <v>340</v>
      </c>
      <c r="I34" s="182" t="s">
        <v>340</v>
      </c>
      <c r="J34" s="182" t="s">
        <v>340</v>
      </c>
      <c r="K34" s="182" t="s">
        <v>340</v>
      </c>
      <c r="L34" s="182" t="s">
        <v>340</v>
      </c>
      <c r="M34" s="182" t="s">
        <v>340</v>
      </c>
      <c r="N34" s="182" t="s">
        <v>340</v>
      </c>
      <c r="O34" s="182" t="s">
        <v>340</v>
      </c>
      <c r="P34" s="182" t="s">
        <v>340</v>
      </c>
      <c r="Q34" s="182" t="s">
        <v>340</v>
      </c>
      <c r="R34" s="182" t="s">
        <v>340</v>
      </c>
      <c r="S34" s="256" t="s">
        <v>340</v>
      </c>
    </row>
    <row r="35" spans="2:19" ht="24" customHeight="1" thickBot="1" x14ac:dyDescent="0.25">
      <c r="B35" s="103"/>
      <c r="C35" s="212">
        <v>0</v>
      </c>
      <c r="D35" s="212" t="s">
        <v>180</v>
      </c>
      <c r="E35" s="212" t="s">
        <v>313</v>
      </c>
      <c r="F35" s="212" t="s">
        <v>104</v>
      </c>
      <c r="G35" s="185" t="s">
        <v>277</v>
      </c>
      <c r="H35" s="186" t="s">
        <v>277</v>
      </c>
      <c r="I35" s="186" t="s">
        <v>277</v>
      </c>
      <c r="J35" s="186" t="s">
        <v>277</v>
      </c>
      <c r="K35" s="186" t="s">
        <v>277</v>
      </c>
      <c r="L35" s="110" t="s">
        <v>277</v>
      </c>
      <c r="M35" s="186" t="s">
        <v>277</v>
      </c>
      <c r="N35" s="187" t="s">
        <v>278</v>
      </c>
      <c r="O35" s="187" t="s">
        <v>278</v>
      </c>
      <c r="P35" s="186" t="s">
        <v>277</v>
      </c>
      <c r="Q35" s="112"/>
      <c r="R35" s="188" t="s">
        <v>374</v>
      </c>
      <c r="S35" s="249"/>
    </row>
    <row r="36" spans="2:19" ht="90.75" thickBot="1" x14ac:dyDescent="0.25">
      <c r="B36" s="126" t="s">
        <v>183</v>
      </c>
      <c r="C36" s="106">
        <v>0</v>
      </c>
      <c r="D36" s="106" t="s">
        <v>184</v>
      </c>
      <c r="E36" s="107" t="s">
        <v>305</v>
      </c>
      <c r="F36" s="180" t="s">
        <v>308</v>
      </c>
      <c r="G36" s="182" t="s">
        <v>340</v>
      </c>
      <c r="H36" s="182" t="s">
        <v>340</v>
      </c>
      <c r="I36" s="182" t="s">
        <v>340</v>
      </c>
      <c r="J36" s="182" t="s">
        <v>340</v>
      </c>
      <c r="K36" s="182" t="s">
        <v>340</v>
      </c>
      <c r="L36" s="182" t="s">
        <v>340</v>
      </c>
      <c r="M36" s="182" t="s">
        <v>340</v>
      </c>
      <c r="N36" s="182" t="s">
        <v>340</v>
      </c>
      <c r="O36" s="182" t="s">
        <v>340</v>
      </c>
      <c r="P36" s="182" t="s">
        <v>340</v>
      </c>
      <c r="Q36" s="182" t="s">
        <v>340</v>
      </c>
      <c r="R36" s="182" t="s">
        <v>340</v>
      </c>
      <c r="S36" s="256" t="s">
        <v>340</v>
      </c>
    </row>
    <row r="37" spans="2:19" ht="24" customHeight="1" thickBot="1" x14ac:dyDescent="0.25">
      <c r="B37" s="103"/>
      <c r="C37" s="212">
        <v>0</v>
      </c>
      <c r="D37" s="212" t="s">
        <v>184</v>
      </c>
      <c r="E37" s="212" t="s">
        <v>305</v>
      </c>
      <c r="F37" s="212" t="s">
        <v>308</v>
      </c>
      <c r="G37" s="185" t="s">
        <v>277</v>
      </c>
      <c r="H37" s="186" t="s">
        <v>277</v>
      </c>
      <c r="I37" s="186" t="s">
        <v>277</v>
      </c>
      <c r="J37" s="186" t="s">
        <v>277</v>
      </c>
      <c r="K37" s="186" t="s">
        <v>277</v>
      </c>
      <c r="L37" s="186" t="s">
        <v>277</v>
      </c>
      <c r="M37" s="186" t="s">
        <v>277</v>
      </c>
      <c r="N37" s="187" t="s">
        <v>278</v>
      </c>
      <c r="O37" s="187" t="s">
        <v>278</v>
      </c>
      <c r="P37" s="186" t="s">
        <v>277</v>
      </c>
      <c r="Q37" s="112"/>
      <c r="R37" s="188" t="s">
        <v>374</v>
      </c>
      <c r="S37" s="249"/>
    </row>
    <row r="38" spans="2:19" ht="79.5" thickBot="1" x14ac:dyDescent="0.25">
      <c r="B38" s="124" t="s">
        <v>314</v>
      </c>
      <c r="C38" s="189" t="s">
        <v>315</v>
      </c>
      <c r="D38" s="123" t="s">
        <v>286</v>
      </c>
      <c r="E38" s="107" t="s">
        <v>238</v>
      </c>
      <c r="F38" s="181" t="s">
        <v>308</v>
      </c>
      <c r="G38" s="182" t="s">
        <v>340</v>
      </c>
      <c r="H38" s="182" t="s">
        <v>340</v>
      </c>
      <c r="I38" s="182" t="s">
        <v>340</v>
      </c>
      <c r="J38" s="182" t="s">
        <v>340</v>
      </c>
      <c r="K38" s="182" t="s">
        <v>340</v>
      </c>
      <c r="L38" s="182" t="s">
        <v>340</v>
      </c>
      <c r="M38" s="182" t="s">
        <v>340</v>
      </c>
      <c r="N38" s="182" t="s">
        <v>340</v>
      </c>
      <c r="O38" s="182" t="s">
        <v>340</v>
      </c>
      <c r="P38" s="182" t="s">
        <v>340</v>
      </c>
      <c r="Q38" s="182" t="s">
        <v>340</v>
      </c>
      <c r="R38" s="182" t="s">
        <v>340</v>
      </c>
      <c r="S38" s="256" t="s">
        <v>340</v>
      </c>
    </row>
    <row r="39" spans="2:19" ht="24" customHeight="1" thickBot="1" x14ac:dyDescent="0.25">
      <c r="B39" s="103"/>
      <c r="C39" s="212" t="s">
        <v>315</v>
      </c>
      <c r="D39" s="212" t="s">
        <v>286</v>
      </c>
      <c r="E39" s="212" t="s">
        <v>238</v>
      </c>
      <c r="F39" s="212" t="s">
        <v>308</v>
      </c>
      <c r="G39" s="186" t="s">
        <v>277</v>
      </c>
      <c r="H39" s="186" t="s">
        <v>277</v>
      </c>
      <c r="I39" s="186" t="s">
        <v>277</v>
      </c>
      <c r="J39" s="186" t="s">
        <v>277</v>
      </c>
      <c r="K39" s="186" t="s">
        <v>277</v>
      </c>
      <c r="L39" s="111" t="s">
        <v>277</v>
      </c>
      <c r="M39" s="186" t="s">
        <v>277</v>
      </c>
      <c r="N39" s="187" t="s">
        <v>278</v>
      </c>
      <c r="O39" s="187" t="s">
        <v>278</v>
      </c>
      <c r="P39" s="186" t="s">
        <v>277</v>
      </c>
      <c r="Q39" s="112"/>
      <c r="R39" s="195" t="s">
        <v>374</v>
      </c>
      <c r="S39" s="252"/>
    </row>
    <row r="40" spans="2:19" ht="23.25" thickBot="1" x14ac:dyDescent="0.25">
      <c r="B40" s="124" t="s">
        <v>316</v>
      </c>
      <c r="C40" s="106" t="s">
        <v>317</v>
      </c>
      <c r="D40" s="106" t="s">
        <v>287</v>
      </c>
      <c r="E40" s="107" t="s">
        <v>238</v>
      </c>
      <c r="F40" s="181" t="s">
        <v>103</v>
      </c>
      <c r="G40" s="182" t="s">
        <v>339</v>
      </c>
      <c r="H40" s="182" t="s">
        <v>339</v>
      </c>
      <c r="I40" s="182" t="s">
        <v>341</v>
      </c>
      <c r="J40" s="182" t="s">
        <v>340</v>
      </c>
      <c r="K40" s="182" t="s">
        <v>340</v>
      </c>
      <c r="L40" s="182" t="s">
        <v>340</v>
      </c>
      <c r="M40" s="182" t="s">
        <v>339</v>
      </c>
      <c r="N40" s="182" t="s">
        <v>341</v>
      </c>
      <c r="O40" s="182" t="s">
        <v>339</v>
      </c>
      <c r="P40" s="182" t="s">
        <v>341</v>
      </c>
      <c r="Q40" s="182" t="s">
        <v>340</v>
      </c>
      <c r="R40" s="182" t="s">
        <v>339</v>
      </c>
      <c r="S40" s="256" t="s">
        <v>340</v>
      </c>
    </row>
    <row r="41" spans="2:19" ht="24" customHeight="1" thickBot="1" x14ac:dyDescent="0.25">
      <c r="B41" s="103"/>
      <c r="C41" s="212" t="s">
        <v>317</v>
      </c>
      <c r="D41" s="212" t="s">
        <v>287</v>
      </c>
      <c r="E41" s="212" t="s">
        <v>238</v>
      </c>
      <c r="F41" s="212" t="s">
        <v>103</v>
      </c>
      <c r="G41" s="185" t="s">
        <v>277</v>
      </c>
      <c r="H41" s="186" t="s">
        <v>277</v>
      </c>
      <c r="I41" s="186" t="s">
        <v>277</v>
      </c>
      <c r="J41" s="186" t="s">
        <v>277</v>
      </c>
      <c r="K41" s="186" t="s">
        <v>277</v>
      </c>
      <c r="L41" s="186" t="s">
        <v>277</v>
      </c>
      <c r="M41" s="186" t="s">
        <v>277</v>
      </c>
      <c r="N41" s="187" t="s">
        <v>278</v>
      </c>
      <c r="O41" s="187" t="s">
        <v>278</v>
      </c>
      <c r="P41" s="186" t="s">
        <v>277</v>
      </c>
      <c r="Q41" s="112"/>
      <c r="R41" s="188" t="s">
        <v>374</v>
      </c>
      <c r="S41" s="249"/>
    </row>
    <row r="42" spans="2:19" ht="34.5" thickBot="1" x14ac:dyDescent="0.25">
      <c r="B42" s="124" t="s">
        <v>318</v>
      </c>
      <c r="C42" s="106" t="s">
        <v>319</v>
      </c>
      <c r="D42" s="106" t="s">
        <v>288</v>
      </c>
      <c r="E42" s="107" t="s">
        <v>231</v>
      </c>
      <c r="F42" s="181" t="s">
        <v>103</v>
      </c>
      <c r="G42" s="182" t="s">
        <v>339</v>
      </c>
      <c r="H42" s="182" t="s">
        <v>339</v>
      </c>
      <c r="I42" s="182" t="s">
        <v>340</v>
      </c>
      <c r="J42" s="182" t="s">
        <v>339</v>
      </c>
      <c r="K42" s="182" t="s">
        <v>339</v>
      </c>
      <c r="L42" s="182" t="s">
        <v>340</v>
      </c>
      <c r="M42" s="182" t="s">
        <v>339</v>
      </c>
      <c r="N42" s="182" t="s">
        <v>340</v>
      </c>
      <c r="O42" s="182" t="s">
        <v>339</v>
      </c>
      <c r="P42" s="182" t="s">
        <v>339</v>
      </c>
      <c r="Q42" s="182" t="s">
        <v>340</v>
      </c>
      <c r="R42" s="182" t="s">
        <v>340</v>
      </c>
      <c r="S42" s="256" t="s">
        <v>340</v>
      </c>
    </row>
    <row r="43" spans="2:19" ht="24" customHeight="1" thickBot="1" x14ac:dyDescent="0.25">
      <c r="B43" s="103"/>
      <c r="C43" s="212" t="s">
        <v>319</v>
      </c>
      <c r="D43" s="212" t="s">
        <v>288</v>
      </c>
      <c r="E43" s="212" t="s">
        <v>231</v>
      </c>
      <c r="F43" s="212" t="s">
        <v>103</v>
      </c>
      <c r="G43" s="185" t="s">
        <v>277</v>
      </c>
      <c r="H43" s="186" t="s">
        <v>277</v>
      </c>
      <c r="I43" s="186" t="s">
        <v>277</v>
      </c>
      <c r="J43" s="186" t="s">
        <v>277</v>
      </c>
      <c r="K43" s="186" t="s">
        <v>277</v>
      </c>
      <c r="L43" s="186" t="s">
        <v>277</v>
      </c>
      <c r="M43" s="186" t="s">
        <v>277</v>
      </c>
      <c r="N43" s="187" t="s">
        <v>278</v>
      </c>
      <c r="O43" s="187" t="s">
        <v>278</v>
      </c>
      <c r="P43" s="186" t="s">
        <v>277</v>
      </c>
      <c r="Q43" s="112"/>
      <c r="R43" s="188" t="s">
        <v>374</v>
      </c>
      <c r="S43" s="249"/>
    </row>
    <row r="44" spans="2:19" ht="45.75" thickBot="1" x14ac:dyDescent="0.25">
      <c r="B44" s="124" t="s">
        <v>320</v>
      </c>
      <c r="C44" s="106" t="s">
        <v>321</v>
      </c>
      <c r="D44" s="106" t="s">
        <v>289</v>
      </c>
      <c r="E44" s="106" t="s">
        <v>225</v>
      </c>
      <c r="F44" s="181" t="s">
        <v>109</v>
      </c>
      <c r="G44" s="182" t="s">
        <v>339</v>
      </c>
      <c r="H44" s="182" t="s">
        <v>339</v>
      </c>
      <c r="I44" s="182" t="s">
        <v>340</v>
      </c>
      <c r="J44" s="182" t="s">
        <v>339</v>
      </c>
      <c r="K44" s="182" t="s">
        <v>339</v>
      </c>
      <c r="L44" s="182" t="s">
        <v>340</v>
      </c>
      <c r="M44" s="182" t="s">
        <v>339</v>
      </c>
      <c r="N44" s="182" t="s">
        <v>339</v>
      </c>
      <c r="O44" s="182" t="s">
        <v>339</v>
      </c>
      <c r="P44" s="182" t="s">
        <v>339</v>
      </c>
      <c r="Q44" s="182" t="s">
        <v>340</v>
      </c>
      <c r="R44" s="182" t="s">
        <v>339</v>
      </c>
      <c r="S44" s="256" t="s">
        <v>340</v>
      </c>
    </row>
    <row r="45" spans="2:19" ht="24" customHeight="1" thickBot="1" x14ac:dyDescent="0.25">
      <c r="B45" s="103"/>
      <c r="C45" s="212" t="s">
        <v>321</v>
      </c>
      <c r="D45" s="212" t="s">
        <v>289</v>
      </c>
      <c r="E45" s="212" t="s">
        <v>225</v>
      </c>
      <c r="F45" s="212" t="s">
        <v>109</v>
      </c>
      <c r="G45" s="185" t="s">
        <v>277</v>
      </c>
      <c r="H45" s="186" t="s">
        <v>277</v>
      </c>
      <c r="I45" s="186" t="s">
        <v>277</v>
      </c>
      <c r="J45" s="186" t="s">
        <v>277</v>
      </c>
      <c r="K45" s="186" t="s">
        <v>277</v>
      </c>
      <c r="L45" s="186" t="s">
        <v>277</v>
      </c>
      <c r="M45" s="186" t="s">
        <v>277</v>
      </c>
      <c r="N45" s="187" t="s">
        <v>278</v>
      </c>
      <c r="O45" s="187" t="s">
        <v>278</v>
      </c>
      <c r="P45" s="186" t="s">
        <v>277</v>
      </c>
      <c r="Q45" s="112"/>
      <c r="R45" s="188" t="s">
        <v>374</v>
      </c>
      <c r="S45" s="249"/>
    </row>
    <row r="46" spans="2:19" ht="68.25" thickBot="1" x14ac:dyDescent="0.25">
      <c r="B46" s="124" t="s">
        <v>322</v>
      </c>
      <c r="C46" s="106" t="s">
        <v>323</v>
      </c>
      <c r="D46" s="106" t="s">
        <v>290</v>
      </c>
      <c r="E46" s="106" t="s">
        <v>324</v>
      </c>
      <c r="F46" s="180" t="s">
        <v>308</v>
      </c>
      <c r="G46" s="182" t="s">
        <v>340</v>
      </c>
      <c r="H46" s="182" t="s">
        <v>340</v>
      </c>
      <c r="I46" s="182" t="s">
        <v>340</v>
      </c>
      <c r="J46" s="182" t="s">
        <v>340</v>
      </c>
      <c r="K46" s="182" t="s">
        <v>340</v>
      </c>
      <c r="L46" s="182" t="s">
        <v>340</v>
      </c>
      <c r="M46" s="182" t="s">
        <v>340</v>
      </c>
      <c r="N46" s="182" t="s">
        <v>340</v>
      </c>
      <c r="O46" s="182" t="s">
        <v>340</v>
      </c>
      <c r="P46" s="182" t="s">
        <v>340</v>
      </c>
      <c r="Q46" s="182" t="s">
        <v>340</v>
      </c>
      <c r="R46" s="182" t="s">
        <v>340</v>
      </c>
      <c r="S46" s="256" t="s">
        <v>340</v>
      </c>
    </row>
    <row r="47" spans="2:19" ht="24" customHeight="1" thickBot="1" x14ac:dyDescent="0.25">
      <c r="B47" s="103"/>
      <c r="C47" s="212" t="s">
        <v>323</v>
      </c>
      <c r="D47" s="212" t="s">
        <v>290</v>
      </c>
      <c r="E47" s="212" t="s">
        <v>324</v>
      </c>
      <c r="F47" s="212" t="s">
        <v>308</v>
      </c>
      <c r="G47" s="185" t="s">
        <v>277</v>
      </c>
      <c r="H47" s="186" t="s">
        <v>277</v>
      </c>
      <c r="I47" s="186" t="s">
        <v>277</v>
      </c>
      <c r="J47" s="186" t="s">
        <v>277</v>
      </c>
      <c r="K47" s="186" t="s">
        <v>277</v>
      </c>
      <c r="L47" s="186" t="s">
        <v>277</v>
      </c>
      <c r="M47" s="186" t="s">
        <v>277</v>
      </c>
      <c r="N47" s="187" t="s">
        <v>278</v>
      </c>
      <c r="O47" s="187" t="s">
        <v>278</v>
      </c>
      <c r="P47" s="186" t="s">
        <v>277</v>
      </c>
      <c r="Q47" s="112"/>
      <c r="R47" s="188" t="s">
        <v>374</v>
      </c>
      <c r="S47" s="249"/>
    </row>
    <row r="48" spans="2:19" ht="68.25" thickBot="1" x14ac:dyDescent="0.25">
      <c r="B48" s="124" t="s">
        <v>322</v>
      </c>
      <c r="C48" s="106" t="s">
        <v>325</v>
      </c>
      <c r="D48" s="106" t="s">
        <v>290</v>
      </c>
      <c r="E48" s="106" t="s">
        <v>324</v>
      </c>
      <c r="F48" s="180" t="s">
        <v>308</v>
      </c>
      <c r="G48" s="182" t="s">
        <v>340</v>
      </c>
      <c r="H48" s="182" t="s">
        <v>340</v>
      </c>
      <c r="I48" s="182" t="s">
        <v>340</v>
      </c>
      <c r="J48" s="182" t="s">
        <v>340</v>
      </c>
      <c r="K48" s="182" t="s">
        <v>340</v>
      </c>
      <c r="L48" s="182" t="s">
        <v>340</v>
      </c>
      <c r="M48" s="182" t="s">
        <v>340</v>
      </c>
      <c r="N48" s="182" t="s">
        <v>340</v>
      </c>
      <c r="O48" s="182" t="s">
        <v>340</v>
      </c>
      <c r="P48" s="182" t="s">
        <v>340</v>
      </c>
      <c r="Q48" s="182" t="s">
        <v>340</v>
      </c>
      <c r="R48" s="182" t="s">
        <v>340</v>
      </c>
      <c r="S48" s="256" t="s">
        <v>340</v>
      </c>
    </row>
    <row r="49" spans="2:19" ht="24" customHeight="1" thickBot="1" x14ac:dyDescent="0.25">
      <c r="B49" s="103"/>
      <c r="C49" s="212" t="s">
        <v>325</v>
      </c>
      <c r="D49" s="212" t="s">
        <v>290</v>
      </c>
      <c r="E49" s="212" t="s">
        <v>324</v>
      </c>
      <c r="F49" s="212" t="s">
        <v>308</v>
      </c>
      <c r="G49" s="185" t="s">
        <v>277</v>
      </c>
      <c r="H49" s="186" t="s">
        <v>277</v>
      </c>
      <c r="I49" s="186" t="s">
        <v>277</v>
      </c>
      <c r="J49" s="186" t="s">
        <v>277</v>
      </c>
      <c r="K49" s="186" t="s">
        <v>277</v>
      </c>
      <c r="L49" s="186" t="s">
        <v>277</v>
      </c>
      <c r="M49" s="186" t="s">
        <v>277</v>
      </c>
      <c r="N49" s="187" t="s">
        <v>278</v>
      </c>
      <c r="O49" s="187" t="s">
        <v>278</v>
      </c>
      <c r="P49" s="186" t="s">
        <v>277</v>
      </c>
      <c r="Q49" s="112"/>
      <c r="R49" s="188" t="s">
        <v>374</v>
      </c>
      <c r="S49" s="249"/>
    </row>
    <row r="50" spans="2:19" ht="57" thickBot="1" x14ac:dyDescent="0.25">
      <c r="B50" s="124" t="s">
        <v>326</v>
      </c>
      <c r="C50" s="106" t="s">
        <v>171</v>
      </c>
      <c r="D50" s="106" t="s">
        <v>291</v>
      </c>
      <c r="E50" s="106">
        <v>0</v>
      </c>
      <c r="F50" s="180" t="s">
        <v>309</v>
      </c>
      <c r="G50" s="182" t="s">
        <v>340</v>
      </c>
      <c r="H50" s="182" t="s">
        <v>340</v>
      </c>
      <c r="I50" s="182" t="s">
        <v>340</v>
      </c>
      <c r="J50" s="182" t="s">
        <v>340</v>
      </c>
      <c r="K50" s="182" t="s">
        <v>340</v>
      </c>
      <c r="L50" s="182" t="s">
        <v>340</v>
      </c>
      <c r="M50" s="182" t="s">
        <v>340</v>
      </c>
      <c r="N50" s="182" t="s">
        <v>340</v>
      </c>
      <c r="O50" s="182" t="s">
        <v>340</v>
      </c>
      <c r="P50" s="182" t="s">
        <v>340</v>
      </c>
      <c r="Q50" s="182" t="s">
        <v>340</v>
      </c>
      <c r="R50" s="182" t="s">
        <v>340</v>
      </c>
      <c r="S50" s="256" t="s">
        <v>340</v>
      </c>
    </row>
    <row r="51" spans="2:19" ht="24" customHeight="1" thickBot="1" x14ac:dyDescent="0.25">
      <c r="B51" s="103"/>
      <c r="C51" s="212" t="s">
        <v>171</v>
      </c>
      <c r="D51" s="212" t="s">
        <v>291</v>
      </c>
      <c r="E51" s="212">
        <v>0</v>
      </c>
      <c r="F51" s="212" t="s">
        <v>309</v>
      </c>
      <c r="G51" s="185" t="s">
        <v>277</v>
      </c>
      <c r="H51" s="186" t="s">
        <v>277</v>
      </c>
      <c r="I51" s="186" t="s">
        <v>277</v>
      </c>
      <c r="J51" s="186" t="s">
        <v>277</v>
      </c>
      <c r="K51" s="186" t="s">
        <v>277</v>
      </c>
      <c r="L51" s="186" t="s">
        <v>277</v>
      </c>
      <c r="M51" s="186" t="s">
        <v>277</v>
      </c>
      <c r="N51" s="187" t="s">
        <v>278</v>
      </c>
      <c r="O51" s="187" t="s">
        <v>278</v>
      </c>
      <c r="P51" s="186" t="s">
        <v>277</v>
      </c>
      <c r="Q51" s="112"/>
      <c r="R51" s="188" t="s">
        <v>374</v>
      </c>
      <c r="S51" s="249"/>
    </row>
    <row r="52" spans="2:19" ht="34.5" thickBot="1" x14ac:dyDescent="0.25">
      <c r="B52" s="124" t="s">
        <v>174</v>
      </c>
      <c r="C52" s="106" t="s">
        <v>327</v>
      </c>
      <c r="D52" s="106" t="s">
        <v>292</v>
      </c>
      <c r="E52" s="106">
        <v>0</v>
      </c>
      <c r="F52" s="180" t="s">
        <v>309</v>
      </c>
      <c r="G52" s="182" t="s">
        <v>340</v>
      </c>
      <c r="H52" s="182" t="s">
        <v>340</v>
      </c>
      <c r="I52" s="182" t="s">
        <v>340</v>
      </c>
      <c r="J52" s="182" t="s">
        <v>340</v>
      </c>
      <c r="K52" s="182" t="s">
        <v>340</v>
      </c>
      <c r="L52" s="182" t="s">
        <v>340</v>
      </c>
      <c r="M52" s="182" t="s">
        <v>340</v>
      </c>
      <c r="N52" s="182" t="s">
        <v>340</v>
      </c>
      <c r="O52" s="182" t="s">
        <v>340</v>
      </c>
      <c r="P52" s="182" t="s">
        <v>340</v>
      </c>
      <c r="Q52" s="182" t="s">
        <v>340</v>
      </c>
      <c r="R52" s="182" t="s">
        <v>340</v>
      </c>
      <c r="S52" s="256" t="s">
        <v>340</v>
      </c>
    </row>
    <row r="53" spans="2:19" ht="24" customHeight="1" thickBot="1" x14ac:dyDescent="0.25">
      <c r="B53" s="103"/>
      <c r="C53" s="212" t="s">
        <v>327</v>
      </c>
      <c r="D53" s="212" t="s">
        <v>292</v>
      </c>
      <c r="E53" s="212">
        <v>0</v>
      </c>
      <c r="F53" s="212" t="s">
        <v>309</v>
      </c>
      <c r="G53" s="185" t="s">
        <v>277</v>
      </c>
      <c r="H53" s="186" t="s">
        <v>277</v>
      </c>
      <c r="I53" s="186" t="s">
        <v>277</v>
      </c>
      <c r="J53" s="186" t="s">
        <v>277</v>
      </c>
      <c r="K53" s="186" t="s">
        <v>277</v>
      </c>
      <c r="L53" s="186" t="s">
        <v>277</v>
      </c>
      <c r="M53" s="186" t="s">
        <v>277</v>
      </c>
      <c r="N53" s="187" t="s">
        <v>278</v>
      </c>
      <c r="O53" s="187" t="s">
        <v>278</v>
      </c>
      <c r="P53" s="186" t="s">
        <v>277</v>
      </c>
      <c r="Q53" s="112"/>
      <c r="R53" s="188" t="s">
        <v>374</v>
      </c>
      <c r="S53" s="249"/>
    </row>
    <row r="54" spans="2:19" ht="23.25" thickBot="1" x14ac:dyDescent="0.25">
      <c r="B54" s="124" t="s">
        <v>255</v>
      </c>
      <c r="C54" s="106" t="s">
        <v>256</v>
      </c>
      <c r="D54" s="106" t="s">
        <v>293</v>
      </c>
      <c r="E54" s="107" t="s">
        <v>225</v>
      </c>
      <c r="F54" s="180" t="s">
        <v>107</v>
      </c>
      <c r="G54" s="182" t="s">
        <v>340</v>
      </c>
      <c r="H54" s="182" t="s">
        <v>340</v>
      </c>
      <c r="I54" s="182" t="s">
        <v>340</v>
      </c>
      <c r="J54" s="182" t="s">
        <v>340</v>
      </c>
      <c r="K54" s="182" t="s">
        <v>340</v>
      </c>
      <c r="L54" s="182" t="s">
        <v>340</v>
      </c>
      <c r="M54" s="182" t="s">
        <v>340</v>
      </c>
      <c r="N54" s="182" t="s">
        <v>340</v>
      </c>
      <c r="O54" s="182" t="s">
        <v>340</v>
      </c>
      <c r="P54" s="182" t="s">
        <v>340</v>
      </c>
      <c r="Q54" s="182" t="s">
        <v>340</v>
      </c>
      <c r="R54" s="182" t="s">
        <v>340</v>
      </c>
      <c r="S54" s="256" t="s">
        <v>340</v>
      </c>
    </row>
    <row r="55" spans="2:19" ht="24" customHeight="1" thickBot="1" x14ac:dyDescent="0.25">
      <c r="B55" s="103"/>
      <c r="C55" s="212" t="s">
        <v>256</v>
      </c>
      <c r="D55" s="212" t="s">
        <v>293</v>
      </c>
      <c r="E55" s="212" t="s">
        <v>225</v>
      </c>
      <c r="F55" s="212" t="s">
        <v>107</v>
      </c>
      <c r="G55" s="185" t="s">
        <v>277</v>
      </c>
      <c r="H55" s="186" t="s">
        <v>277</v>
      </c>
      <c r="I55" s="186" t="s">
        <v>277</v>
      </c>
      <c r="J55" s="186" t="s">
        <v>277</v>
      </c>
      <c r="K55" s="186" t="s">
        <v>277</v>
      </c>
      <c r="L55" s="186" t="s">
        <v>277</v>
      </c>
      <c r="M55" s="186" t="s">
        <v>277</v>
      </c>
      <c r="N55" s="187" t="s">
        <v>278</v>
      </c>
      <c r="O55" s="187" t="s">
        <v>278</v>
      </c>
      <c r="P55" s="186" t="s">
        <v>277</v>
      </c>
      <c r="Q55" s="112"/>
      <c r="R55" s="188" t="s">
        <v>374</v>
      </c>
      <c r="S55" s="249"/>
    </row>
    <row r="56" spans="2:19" ht="34.5" thickBot="1" x14ac:dyDescent="0.25">
      <c r="B56" s="124" t="s">
        <v>328</v>
      </c>
      <c r="C56" s="106" t="s">
        <v>329</v>
      </c>
      <c r="D56" s="106" t="s">
        <v>294</v>
      </c>
      <c r="E56" s="107" t="s">
        <v>246</v>
      </c>
      <c r="F56" s="180" t="s">
        <v>330</v>
      </c>
      <c r="G56" s="182" t="s">
        <v>340</v>
      </c>
      <c r="H56" s="182" t="s">
        <v>340</v>
      </c>
      <c r="I56" s="182" t="s">
        <v>340</v>
      </c>
      <c r="J56" s="182" t="s">
        <v>340</v>
      </c>
      <c r="K56" s="182" t="s">
        <v>340</v>
      </c>
      <c r="L56" s="182" t="s">
        <v>340</v>
      </c>
      <c r="M56" s="182" t="s">
        <v>340</v>
      </c>
      <c r="N56" s="182" t="s">
        <v>340</v>
      </c>
      <c r="O56" s="182" t="s">
        <v>340</v>
      </c>
      <c r="P56" s="182" t="s">
        <v>340</v>
      </c>
      <c r="Q56" s="182" t="s">
        <v>340</v>
      </c>
      <c r="R56" s="182" t="s">
        <v>340</v>
      </c>
      <c r="S56" s="256" t="s">
        <v>340</v>
      </c>
    </row>
    <row r="57" spans="2:19" ht="24" customHeight="1" thickBot="1" x14ac:dyDescent="0.25">
      <c r="B57" s="103"/>
      <c r="C57" s="212" t="s">
        <v>329</v>
      </c>
      <c r="D57" s="212" t="s">
        <v>294</v>
      </c>
      <c r="E57" s="212" t="s">
        <v>246</v>
      </c>
      <c r="F57" s="212" t="s">
        <v>330</v>
      </c>
      <c r="G57" s="185" t="s">
        <v>277</v>
      </c>
      <c r="H57" s="186" t="s">
        <v>277</v>
      </c>
      <c r="I57" s="186" t="s">
        <v>277</v>
      </c>
      <c r="J57" s="186" t="s">
        <v>277</v>
      </c>
      <c r="K57" s="186" t="s">
        <v>277</v>
      </c>
      <c r="L57" s="186" t="s">
        <v>277</v>
      </c>
      <c r="M57" s="186" t="s">
        <v>277</v>
      </c>
      <c r="N57" s="187" t="s">
        <v>278</v>
      </c>
      <c r="O57" s="187" t="s">
        <v>278</v>
      </c>
      <c r="P57" s="186" t="s">
        <v>277</v>
      </c>
      <c r="Q57" s="112"/>
      <c r="R57" s="188" t="s">
        <v>374</v>
      </c>
      <c r="S57" s="249"/>
    </row>
    <row r="58" spans="2:19" ht="23.25" thickBot="1" x14ac:dyDescent="0.25">
      <c r="B58" s="124" t="s">
        <v>331</v>
      </c>
      <c r="C58" s="106" t="str">
        <f>VLOOKUP(B58,'Tracker Sheet'!$A$3:$G$40,2,FALSE)</f>
        <v>RX04F.033.303.10</v>
      </c>
      <c r="D58" s="106" t="str">
        <f>VLOOKUP($B58,'Tracker Sheet'!$A$3:$G$40,3,FALSE)</f>
        <v>2nd Floor Kitchen area Palestra</v>
      </c>
      <c r="E58" s="106" t="str">
        <f>VLOOKUP($B58,'Tracker Sheet'!$A$3:$G$40,4,FALSE)</f>
        <v xml:space="preserve">
Palestra</v>
      </c>
      <c r="F58" s="106" t="str">
        <f>VLOOKUP($B58,'Tracker Sheet'!$A$3:$G$40,5,FALSE)</f>
        <v>Martina Perkins</v>
      </c>
      <c r="G58" s="182" t="s">
        <v>340</v>
      </c>
      <c r="H58" s="182" t="s">
        <v>339</v>
      </c>
      <c r="I58" s="182" t="s">
        <v>340</v>
      </c>
      <c r="J58" s="182" t="s">
        <v>340</v>
      </c>
      <c r="K58" s="182" t="s">
        <v>339</v>
      </c>
      <c r="L58" s="182" t="s">
        <v>340</v>
      </c>
      <c r="M58" s="182" t="s">
        <v>339</v>
      </c>
      <c r="N58" s="182" t="s">
        <v>339</v>
      </c>
      <c r="O58" s="182" t="s">
        <v>340</v>
      </c>
      <c r="P58" s="182" t="s">
        <v>339</v>
      </c>
      <c r="Q58" s="182" t="s">
        <v>340</v>
      </c>
      <c r="R58" s="182" t="s">
        <v>339</v>
      </c>
      <c r="S58" s="256" t="s">
        <v>339</v>
      </c>
    </row>
    <row r="59" spans="2:19" ht="24" customHeight="1" thickBot="1" x14ac:dyDescent="0.25">
      <c r="B59" s="103"/>
      <c r="C59" s="212" t="s">
        <v>332</v>
      </c>
      <c r="D59" s="212" t="s">
        <v>295</v>
      </c>
      <c r="E59" s="212" t="s">
        <v>225</v>
      </c>
      <c r="F59" s="212" t="s">
        <v>109</v>
      </c>
      <c r="G59" s="185" t="s">
        <v>277</v>
      </c>
      <c r="H59" s="186" t="s">
        <v>277</v>
      </c>
      <c r="I59" s="186" t="s">
        <v>277</v>
      </c>
      <c r="J59" s="186" t="s">
        <v>277</v>
      </c>
      <c r="K59" s="186" t="s">
        <v>277</v>
      </c>
      <c r="L59" s="186" t="s">
        <v>277</v>
      </c>
      <c r="M59" s="186" t="s">
        <v>277</v>
      </c>
      <c r="N59" s="187" t="s">
        <v>278</v>
      </c>
      <c r="O59" s="187" t="s">
        <v>278</v>
      </c>
      <c r="P59" s="186" t="s">
        <v>277</v>
      </c>
      <c r="Q59" s="112"/>
      <c r="R59" s="188" t="s">
        <v>374</v>
      </c>
      <c r="S59" s="249"/>
    </row>
    <row r="60" spans="2:19" ht="34.5" thickBot="1" x14ac:dyDescent="0.25">
      <c r="B60" s="124" t="str">
        <f>'Tracker Sheet'!A21</f>
        <v>PCP/16/024</v>
      </c>
      <c r="C60" s="106">
        <f>VLOOKUP(B60,'Tracker Sheet'!$A$3:$G$40,2,FALSE)</f>
        <v>0</v>
      </c>
      <c r="D60" s="106" t="str">
        <f>VLOOKUP($B60,'Tracker Sheet'!$A$3:$G$40,3,FALSE)</f>
        <v>Griffith House Facade Repairs</v>
      </c>
      <c r="E60" s="106" t="str">
        <f>VLOOKUP($B60,'Tracker Sheet'!$A$3:$G$40,4,FALSE)</f>
        <v xml:space="preserve">
Griffith House (NW1)</v>
      </c>
      <c r="F60" s="106" t="str">
        <f>VLOOKUP($B60,'Tracker Sheet'!$A$3:$G$40,5,FALSE)</f>
        <v>John Cousins</v>
      </c>
      <c r="G60" s="182" t="s">
        <v>340</v>
      </c>
      <c r="H60" s="182" t="s">
        <v>340</v>
      </c>
      <c r="I60" s="182" t="s">
        <v>340</v>
      </c>
      <c r="J60" s="182" t="s">
        <v>340</v>
      </c>
      <c r="K60" s="182" t="s">
        <v>340</v>
      </c>
      <c r="L60" s="182" t="s">
        <v>340</v>
      </c>
      <c r="M60" s="182" t="s">
        <v>340</v>
      </c>
      <c r="N60" s="182" t="s">
        <v>340</v>
      </c>
      <c r="O60" s="182" t="s">
        <v>340</v>
      </c>
      <c r="P60" s="182" t="s">
        <v>340</v>
      </c>
      <c r="Q60" s="182" t="s">
        <v>340</v>
      </c>
      <c r="R60" s="182" t="s">
        <v>340</v>
      </c>
      <c r="S60" s="256" t="s">
        <v>340</v>
      </c>
    </row>
    <row r="61" spans="2:19" ht="34.5" thickBot="1" x14ac:dyDescent="0.25">
      <c r="B61" s="103"/>
      <c r="C61" s="212">
        <v>0</v>
      </c>
      <c r="D61" s="212" t="s">
        <v>366</v>
      </c>
      <c r="E61" s="212" t="s">
        <v>87</v>
      </c>
      <c r="F61" s="212" t="s">
        <v>264</v>
      </c>
      <c r="G61" s="191" t="s">
        <v>277</v>
      </c>
      <c r="H61" s="191" t="s">
        <v>277</v>
      </c>
      <c r="I61" s="191" t="s">
        <v>277</v>
      </c>
      <c r="J61" s="191" t="s">
        <v>277</v>
      </c>
      <c r="K61" s="191" t="s">
        <v>277</v>
      </c>
      <c r="L61" s="191" t="s">
        <v>277</v>
      </c>
      <c r="M61" s="191" t="s">
        <v>277</v>
      </c>
      <c r="N61" s="192" t="s">
        <v>278</v>
      </c>
      <c r="O61" s="192" t="s">
        <v>278</v>
      </c>
      <c r="P61" s="191" t="s">
        <v>277</v>
      </c>
      <c r="Q61" s="193"/>
      <c r="R61" s="194" t="s">
        <v>374</v>
      </c>
      <c r="S61" s="253"/>
    </row>
    <row r="62" spans="2:19" ht="23.25" thickBot="1" x14ac:dyDescent="0.25">
      <c r="B62" s="124" t="str">
        <f>'Tracker Sheet'!A22</f>
        <v>PCP/16/023</v>
      </c>
      <c r="C62" s="106">
        <f>VLOOKUP(B62,'Tracker Sheet'!$A$3:$G$40,2,FALSE)</f>
        <v>0</v>
      </c>
      <c r="D62" s="106" t="str">
        <f>VLOOKUP($B62,'Tracker Sheet'!$A$3:$G$40,3,FALSE)</f>
        <v>Broadway PA/VA system</v>
      </c>
      <c r="E62" s="106" t="str">
        <f>VLOOKUP($B62,'Tracker Sheet'!$A$3:$G$40,4,FALSE)</f>
        <v>Broadway Complex</v>
      </c>
      <c r="F62" s="106" t="str">
        <f>VLOOKUP($B62,'Tracker Sheet'!$A$3:$G$40,5,FALSE)</f>
        <v>Helena Healy</v>
      </c>
      <c r="G62" s="182" t="s">
        <v>340</v>
      </c>
      <c r="H62" s="182" t="s">
        <v>340</v>
      </c>
      <c r="I62" s="182" t="s">
        <v>340</v>
      </c>
      <c r="J62" s="182" t="s">
        <v>340</v>
      </c>
      <c r="K62" s="182" t="s">
        <v>340</v>
      </c>
      <c r="L62" s="182" t="s">
        <v>340</v>
      </c>
      <c r="M62" s="182" t="s">
        <v>340</v>
      </c>
      <c r="N62" s="182" t="s">
        <v>340</v>
      </c>
      <c r="O62" s="182" t="s">
        <v>340</v>
      </c>
      <c r="P62" s="182" t="s">
        <v>340</v>
      </c>
      <c r="Q62" s="182" t="s">
        <v>340</v>
      </c>
      <c r="R62" s="182" t="s">
        <v>340</v>
      </c>
      <c r="S62" s="256" t="s">
        <v>340</v>
      </c>
    </row>
    <row r="63" spans="2:19" ht="23.25" thickBot="1" x14ac:dyDescent="0.25">
      <c r="B63" s="103"/>
      <c r="C63" s="212">
        <v>0</v>
      </c>
      <c r="D63" s="212" t="s">
        <v>369</v>
      </c>
      <c r="E63" s="212" t="s">
        <v>370</v>
      </c>
      <c r="F63" s="212" t="s">
        <v>102</v>
      </c>
      <c r="G63" s="190" t="s">
        <v>277</v>
      </c>
      <c r="H63" s="191" t="s">
        <v>277</v>
      </c>
      <c r="I63" s="191" t="s">
        <v>277</v>
      </c>
      <c r="J63" s="191" t="s">
        <v>277</v>
      </c>
      <c r="K63" s="191" t="s">
        <v>277</v>
      </c>
      <c r="L63" s="191" t="s">
        <v>277</v>
      </c>
      <c r="M63" s="191" t="s">
        <v>277</v>
      </c>
      <c r="N63" s="192" t="s">
        <v>278</v>
      </c>
      <c r="O63" s="192" t="s">
        <v>278</v>
      </c>
      <c r="P63" s="191" t="s">
        <v>277</v>
      </c>
      <c r="Q63" s="193"/>
      <c r="R63" s="194" t="s">
        <v>374</v>
      </c>
      <c r="S63" s="253"/>
    </row>
  </sheetData>
  <autoFilter ref="B2:R63"/>
  <mergeCells count="1">
    <mergeCell ref="B1:S1"/>
  </mergeCells>
  <conditionalFormatting sqref="G4:S4 G58:S58 G6:S8 G10:S10 G14:S14 G18:S18 G20:S20 G22:S22 G24:S24 G26:S26 G28:S28 G30:S30 G32:S32 G34:S34 G36:S36 G38:S38 G40:S40 G42:S42 G44:S44 G46:S46 G48:S48 G50:S50 G52:S52 G54:S54 G56:S56">
    <cfRule type="cellIs" dxfId="161" priority="198" stopIfTrue="1" operator="equal">
      <formula>"NO"</formula>
    </cfRule>
    <cfRule type="cellIs" dxfId="160" priority="199" stopIfTrue="1" operator="equal">
      <formula>"YES"</formula>
    </cfRule>
  </conditionalFormatting>
  <conditionalFormatting sqref="G9:S9">
    <cfRule type="cellIs" dxfId="159" priority="196" stopIfTrue="1" operator="equal">
      <formula>"NO"</formula>
    </cfRule>
    <cfRule type="cellIs" dxfId="158" priority="197" stopIfTrue="1" operator="equal">
      <formula>"YES"</formula>
    </cfRule>
  </conditionalFormatting>
  <conditionalFormatting sqref="G11:S11">
    <cfRule type="cellIs" dxfId="157" priority="194" stopIfTrue="1" operator="equal">
      <formula>"NO"</formula>
    </cfRule>
    <cfRule type="cellIs" dxfId="156" priority="195" stopIfTrue="1" operator="equal">
      <formula>"YES"</formula>
    </cfRule>
  </conditionalFormatting>
  <conditionalFormatting sqref="G15:S15">
    <cfRule type="cellIs" dxfId="155" priority="190" stopIfTrue="1" operator="equal">
      <formula>"NO"</formula>
    </cfRule>
    <cfRule type="cellIs" dxfId="154" priority="191" stopIfTrue="1" operator="equal">
      <formula>"YES"</formula>
    </cfRule>
  </conditionalFormatting>
  <conditionalFormatting sqref="G39:S39">
    <cfRule type="cellIs" dxfId="153" priority="166" stopIfTrue="1" operator="equal">
      <formula>"NO"</formula>
    </cfRule>
    <cfRule type="cellIs" dxfId="152" priority="167" stopIfTrue="1" operator="equal">
      <formula>"YES"</formula>
    </cfRule>
  </conditionalFormatting>
  <conditionalFormatting sqref="G12:S12">
    <cfRule type="cellIs" dxfId="151" priority="144" stopIfTrue="1" operator="equal">
      <formula>"NO"</formula>
    </cfRule>
    <cfRule type="cellIs" dxfId="150" priority="145" stopIfTrue="1" operator="equal">
      <formula>"YES"</formula>
    </cfRule>
  </conditionalFormatting>
  <conditionalFormatting sqref="G60:S60">
    <cfRule type="cellIs" dxfId="149" priority="140" stopIfTrue="1" operator="equal">
      <formula>"NO"</formula>
    </cfRule>
    <cfRule type="cellIs" dxfId="148" priority="141" stopIfTrue="1" operator="equal">
      <formula>"YES"</formula>
    </cfRule>
  </conditionalFormatting>
  <conditionalFormatting sqref="G62:S62">
    <cfRule type="cellIs" dxfId="147" priority="136" stopIfTrue="1" operator="equal">
      <formula>"NO"</formula>
    </cfRule>
    <cfRule type="cellIs" dxfId="146" priority="137" stopIfTrue="1" operator="equal">
      <formula>"YES"</formula>
    </cfRule>
  </conditionalFormatting>
  <conditionalFormatting sqref="G17:S17">
    <cfRule type="cellIs" dxfId="145" priority="132" stopIfTrue="1" operator="equal">
      <formula>"NO"</formula>
    </cfRule>
    <cfRule type="cellIs" dxfId="144" priority="133" stopIfTrue="1" operator="equal">
      <formula>"YES"</formula>
    </cfRule>
  </conditionalFormatting>
  <conditionalFormatting sqref="G19:S19">
    <cfRule type="cellIs" dxfId="143" priority="130" stopIfTrue="1" operator="equal">
      <formula>"NO"</formula>
    </cfRule>
    <cfRule type="cellIs" dxfId="142" priority="131" stopIfTrue="1" operator="equal">
      <formula>"YES"</formula>
    </cfRule>
  </conditionalFormatting>
  <conditionalFormatting sqref="G21:S21">
    <cfRule type="cellIs" dxfId="141" priority="128" stopIfTrue="1" operator="equal">
      <formula>"NO"</formula>
    </cfRule>
    <cfRule type="cellIs" dxfId="140" priority="129" stopIfTrue="1" operator="equal">
      <formula>"YES"</formula>
    </cfRule>
  </conditionalFormatting>
  <conditionalFormatting sqref="G23:S23">
    <cfRule type="cellIs" dxfId="139" priority="126" stopIfTrue="1" operator="equal">
      <formula>"NO"</formula>
    </cfRule>
    <cfRule type="cellIs" dxfId="138" priority="127" stopIfTrue="1" operator="equal">
      <formula>"YES"</formula>
    </cfRule>
  </conditionalFormatting>
  <conditionalFormatting sqref="G25:S25">
    <cfRule type="cellIs" dxfId="137" priority="124" stopIfTrue="1" operator="equal">
      <formula>"NO"</formula>
    </cfRule>
    <cfRule type="cellIs" dxfId="136" priority="125" stopIfTrue="1" operator="equal">
      <formula>"YES"</formula>
    </cfRule>
  </conditionalFormatting>
  <conditionalFormatting sqref="G27:S27">
    <cfRule type="cellIs" dxfId="135" priority="122" stopIfTrue="1" operator="equal">
      <formula>"NO"</formula>
    </cfRule>
    <cfRule type="cellIs" dxfId="134" priority="123" stopIfTrue="1" operator="equal">
      <formula>"YES"</formula>
    </cfRule>
  </conditionalFormatting>
  <conditionalFormatting sqref="G29:S29">
    <cfRule type="cellIs" dxfId="133" priority="120" stopIfTrue="1" operator="equal">
      <formula>"NO"</formula>
    </cfRule>
    <cfRule type="cellIs" dxfId="132" priority="121" stopIfTrue="1" operator="equal">
      <formula>"YES"</formula>
    </cfRule>
  </conditionalFormatting>
  <conditionalFormatting sqref="G31:S31">
    <cfRule type="cellIs" dxfId="131" priority="118" stopIfTrue="1" operator="equal">
      <formula>"NO"</formula>
    </cfRule>
    <cfRule type="cellIs" dxfId="130" priority="119" stopIfTrue="1" operator="equal">
      <formula>"YES"</formula>
    </cfRule>
  </conditionalFormatting>
  <conditionalFormatting sqref="G33:S33">
    <cfRule type="cellIs" dxfId="129" priority="116" stopIfTrue="1" operator="equal">
      <formula>"NO"</formula>
    </cfRule>
    <cfRule type="cellIs" dxfId="128" priority="117" stopIfTrue="1" operator="equal">
      <formula>"YES"</formula>
    </cfRule>
  </conditionalFormatting>
  <conditionalFormatting sqref="G35:S35">
    <cfRule type="cellIs" dxfId="127" priority="114" stopIfTrue="1" operator="equal">
      <formula>"NO"</formula>
    </cfRule>
    <cfRule type="cellIs" dxfId="126" priority="115" stopIfTrue="1" operator="equal">
      <formula>"YES"</formula>
    </cfRule>
  </conditionalFormatting>
  <conditionalFormatting sqref="G37:S37">
    <cfRule type="cellIs" dxfId="125" priority="112" stopIfTrue="1" operator="equal">
      <formula>"NO"</formula>
    </cfRule>
    <cfRule type="cellIs" dxfId="124" priority="113" stopIfTrue="1" operator="equal">
      <formula>"YES"</formula>
    </cfRule>
  </conditionalFormatting>
  <conditionalFormatting sqref="G41:S41">
    <cfRule type="cellIs" dxfId="123" priority="110" stopIfTrue="1" operator="equal">
      <formula>"NO"</formula>
    </cfRule>
    <cfRule type="cellIs" dxfId="122" priority="111" stopIfTrue="1" operator="equal">
      <formula>"YES"</formula>
    </cfRule>
  </conditionalFormatting>
  <conditionalFormatting sqref="G43:S43">
    <cfRule type="cellIs" dxfId="121" priority="108" stopIfTrue="1" operator="equal">
      <formula>"NO"</formula>
    </cfRule>
    <cfRule type="cellIs" dxfId="120" priority="109" stopIfTrue="1" operator="equal">
      <formula>"YES"</formula>
    </cfRule>
  </conditionalFormatting>
  <conditionalFormatting sqref="G45:S45">
    <cfRule type="cellIs" dxfId="119" priority="106" stopIfTrue="1" operator="equal">
      <formula>"NO"</formula>
    </cfRule>
    <cfRule type="cellIs" dxfId="118" priority="107" stopIfTrue="1" operator="equal">
      <formula>"YES"</formula>
    </cfRule>
  </conditionalFormatting>
  <conditionalFormatting sqref="G47:S47">
    <cfRule type="cellIs" dxfId="117" priority="104" stopIfTrue="1" operator="equal">
      <formula>"NO"</formula>
    </cfRule>
    <cfRule type="cellIs" dxfId="116" priority="105" stopIfTrue="1" operator="equal">
      <formula>"YES"</formula>
    </cfRule>
  </conditionalFormatting>
  <conditionalFormatting sqref="G49:S49">
    <cfRule type="cellIs" dxfId="115" priority="102" stopIfTrue="1" operator="equal">
      <formula>"NO"</formula>
    </cfRule>
    <cfRule type="cellIs" dxfId="114" priority="103" stopIfTrue="1" operator="equal">
      <formula>"YES"</formula>
    </cfRule>
  </conditionalFormatting>
  <conditionalFormatting sqref="G51:S51">
    <cfRule type="cellIs" dxfId="113" priority="100" stopIfTrue="1" operator="equal">
      <formula>"NO"</formula>
    </cfRule>
    <cfRule type="cellIs" dxfId="112" priority="101" stopIfTrue="1" operator="equal">
      <formula>"YES"</formula>
    </cfRule>
  </conditionalFormatting>
  <conditionalFormatting sqref="G53:S53">
    <cfRule type="cellIs" dxfId="111" priority="98" stopIfTrue="1" operator="equal">
      <formula>"NO"</formula>
    </cfRule>
    <cfRule type="cellIs" dxfId="110" priority="99" stopIfTrue="1" operator="equal">
      <formula>"YES"</formula>
    </cfRule>
  </conditionalFormatting>
  <conditionalFormatting sqref="G55:S55">
    <cfRule type="cellIs" dxfId="109" priority="96" stopIfTrue="1" operator="equal">
      <formula>"NO"</formula>
    </cfRule>
    <cfRule type="cellIs" dxfId="108" priority="97" stopIfTrue="1" operator="equal">
      <formula>"YES"</formula>
    </cfRule>
  </conditionalFormatting>
  <conditionalFormatting sqref="G57:S57">
    <cfRule type="cellIs" dxfId="107" priority="94" stopIfTrue="1" operator="equal">
      <formula>"NO"</formula>
    </cfRule>
    <cfRule type="cellIs" dxfId="106" priority="95" stopIfTrue="1" operator="equal">
      <formula>"YES"</formula>
    </cfRule>
  </conditionalFormatting>
  <conditionalFormatting sqref="G59:S59">
    <cfRule type="cellIs" dxfId="105" priority="92" stopIfTrue="1" operator="equal">
      <formula>"NO"</formula>
    </cfRule>
    <cfRule type="cellIs" dxfId="104" priority="93" stopIfTrue="1" operator="equal">
      <formula>"YES"</formula>
    </cfRule>
  </conditionalFormatting>
  <conditionalFormatting sqref="G61:S61">
    <cfRule type="cellIs" dxfId="103" priority="90" stopIfTrue="1" operator="equal">
      <formula>"NO"</formula>
    </cfRule>
    <cfRule type="cellIs" dxfId="102" priority="91" stopIfTrue="1" operator="equal">
      <formula>"YES"</formula>
    </cfRule>
  </conditionalFormatting>
  <conditionalFormatting sqref="G63:S63">
    <cfRule type="cellIs" dxfId="101" priority="88" stopIfTrue="1" operator="equal">
      <formula>"NO"</formula>
    </cfRule>
    <cfRule type="cellIs" dxfId="100" priority="89" stopIfTrue="1" operator="equal">
      <formula>"YES"</formula>
    </cfRule>
  </conditionalFormatting>
  <conditionalFormatting sqref="G5:S5">
    <cfRule type="cellIs" dxfId="99" priority="86" stopIfTrue="1" operator="equal">
      <formula>"NO"</formula>
    </cfRule>
    <cfRule type="cellIs" dxfId="98" priority="87" stopIfTrue="1" operator="equal">
      <formula>"YES"</formula>
    </cfRule>
  </conditionalFormatting>
  <conditionalFormatting sqref="G4:S63">
    <cfRule type="cellIs" dxfId="97" priority="85" operator="equal">
      <formula>"N/A"</formula>
    </cfRule>
  </conditionalFormatting>
  <conditionalFormatting sqref="G49:S49">
    <cfRule type="cellIs" dxfId="96" priority="53" stopIfTrue="1" operator="equal">
      <formula>"NO"</formula>
    </cfRule>
    <cfRule type="cellIs" dxfId="95" priority="54" stopIfTrue="1" operator="equal">
      <formula>"YES"</formula>
    </cfRule>
  </conditionalFormatting>
  <conditionalFormatting sqref="G60:S60">
    <cfRule type="cellIs" dxfId="94" priority="51" stopIfTrue="1" operator="equal">
      <formula>"NO"</formula>
    </cfRule>
    <cfRule type="cellIs" dxfId="93" priority="52" stopIfTrue="1" operator="equal">
      <formula>"YES"</formula>
    </cfRule>
  </conditionalFormatting>
  <conditionalFormatting sqref="G62:S62">
    <cfRule type="cellIs" dxfId="92" priority="49" stopIfTrue="1" operator="equal">
      <formula>"NO"</formula>
    </cfRule>
    <cfRule type="cellIs" dxfId="91" priority="50" stopIfTrue="1" operator="equal">
      <formula>"YES"</formula>
    </cfRule>
  </conditionalFormatting>
  <conditionalFormatting sqref="G12:S12">
    <cfRule type="cellIs" dxfId="90" priority="47" stopIfTrue="1" operator="equal">
      <formula>"NO"</formula>
    </cfRule>
    <cfRule type="cellIs" dxfId="89" priority="48" stopIfTrue="1" operator="equal">
      <formula>"YES"</formula>
    </cfRule>
  </conditionalFormatting>
  <conditionalFormatting sqref="G16:S16">
    <cfRule type="cellIs" dxfId="88" priority="45" stopIfTrue="1" operator="equal">
      <formula>"NO"</formula>
    </cfRule>
    <cfRule type="cellIs" dxfId="87" priority="46" stopIfTrue="1" operator="equal">
      <formula>"YES"</formula>
    </cfRule>
  </conditionalFormatting>
  <conditionalFormatting sqref="G60:S60">
    <cfRule type="cellIs" dxfId="86" priority="43" stopIfTrue="1" operator="equal">
      <formula>"NO"</formula>
    </cfRule>
    <cfRule type="cellIs" dxfId="85" priority="44" stopIfTrue="1" operator="equal">
      <formula>"YES"</formula>
    </cfRule>
  </conditionalFormatting>
  <conditionalFormatting sqref="G62:S62">
    <cfRule type="cellIs" dxfId="84" priority="41" stopIfTrue="1" operator="equal">
      <formula>"NO"</formula>
    </cfRule>
    <cfRule type="cellIs" dxfId="83" priority="42" stopIfTrue="1" operator="equal">
      <formula>"YES"</formula>
    </cfRule>
  </conditionalFormatting>
  <conditionalFormatting sqref="S12">
    <cfRule type="cellIs" dxfId="82" priority="7" stopIfTrue="1" operator="equal">
      <formula>"NO"</formula>
    </cfRule>
    <cfRule type="cellIs" dxfId="81" priority="8" stopIfTrue="1" operator="equal">
      <formula>"YES"</formula>
    </cfRule>
  </conditionalFormatting>
  <conditionalFormatting sqref="S16">
    <cfRule type="cellIs" dxfId="80" priority="5" stopIfTrue="1" operator="equal">
      <formula>"NO"</formula>
    </cfRule>
    <cfRule type="cellIs" dxfId="79" priority="6" stopIfTrue="1" operator="equal">
      <formula>"YES"</formula>
    </cfRule>
  </conditionalFormatting>
  <conditionalFormatting sqref="S60">
    <cfRule type="cellIs" dxfId="78" priority="3" stopIfTrue="1" operator="equal">
      <formula>"NO"</formula>
    </cfRule>
    <cfRule type="cellIs" dxfId="77" priority="4" stopIfTrue="1" operator="equal">
      <formula>"YES"</formula>
    </cfRule>
  </conditionalFormatting>
  <conditionalFormatting sqref="S62">
    <cfRule type="cellIs" dxfId="76" priority="1" stopIfTrue="1" operator="equal">
      <formula>"NO"</formula>
    </cfRule>
    <cfRule type="cellIs" dxfId="75" priority="2" stopIfTrue="1" operator="equal">
      <formula>"YES"</formula>
    </cfRule>
  </conditionalFormatting>
  <hyperlinks>
    <hyperlink ref="G7" r:id="rId1"/>
    <hyperlink ref="H7" r:id="rId2"/>
    <hyperlink ref="I7" r:id="rId3"/>
    <hyperlink ref="J7" r:id="rId4"/>
    <hyperlink ref="K7" r:id="rId5"/>
    <hyperlink ref="M7" r:id="rId6"/>
    <hyperlink ref="P7" r:id="rId7"/>
    <hyperlink ref="L7" r:id="rId8"/>
    <hyperlink ref="N7" r:id="rId9"/>
    <hyperlink ref="O7" r:id="rId10"/>
    <hyperlink ref="R7" r:id="rId11"/>
    <hyperlink ref="Q7" r:id="rId12"/>
    <hyperlink ref="G9" r:id="rId13"/>
    <hyperlink ref="H9" r:id="rId14"/>
    <hyperlink ref="I9" r:id="rId15"/>
    <hyperlink ref="J9" r:id="rId16"/>
    <hyperlink ref="K9" r:id="rId17"/>
    <hyperlink ref="M9" r:id="rId18"/>
    <hyperlink ref="P9" r:id="rId19"/>
    <hyperlink ref="L9" r:id="rId20"/>
    <hyperlink ref="O9" r:id="rId21"/>
    <hyperlink ref="N9" r:id="rId22"/>
    <hyperlink ref="Q9" r:id="rId23"/>
    <hyperlink ref="R9" r:id="rId24"/>
    <hyperlink ref="G11" r:id="rId25"/>
    <hyperlink ref="H11" r:id="rId26"/>
    <hyperlink ref="I11" r:id="rId27"/>
    <hyperlink ref="J11" r:id="rId28"/>
    <hyperlink ref="K11" r:id="rId29"/>
    <hyperlink ref="L11" r:id="rId30"/>
    <hyperlink ref="N11" r:id="rId31"/>
    <hyperlink ref="O11" r:id="rId32"/>
    <hyperlink ref="M11" r:id="rId33"/>
    <hyperlink ref="P11" r:id="rId34"/>
    <hyperlink ref="Q11" r:id="rId35"/>
    <hyperlink ref="R11" r:id="rId36"/>
    <hyperlink ref="G13" r:id="rId37"/>
    <hyperlink ref="H13" r:id="rId38"/>
    <hyperlink ref="I13" r:id="rId39"/>
    <hyperlink ref="J13" r:id="rId40"/>
    <hyperlink ref="K13" r:id="rId41"/>
    <hyperlink ref="M13" r:id="rId42"/>
    <hyperlink ref="P13" r:id="rId43"/>
    <hyperlink ref="N13" r:id="rId44" display="09.02 health &amp; Safety Plan"/>
    <hyperlink ref="R13" r:id="rId45"/>
    <hyperlink ref="O13" r:id="rId46" display="09.02 health &amp; Safety Plan"/>
    <hyperlink ref="G15" r:id="rId47"/>
    <hyperlink ref="H15" r:id="rId48"/>
    <hyperlink ref="I15:M15" r:id="rId49" display="09.01 CDM"/>
    <hyperlink ref="P15" r:id="rId50"/>
    <hyperlink ref="N15" r:id="rId51"/>
    <hyperlink ref="O15" r:id="rId52"/>
    <hyperlink ref="R15" r:id="rId53"/>
    <hyperlink ref="G17" r:id="rId54"/>
    <hyperlink ref="H17" r:id="rId55"/>
    <hyperlink ref="I17:M17" r:id="rId56" display="09.01 CDM"/>
    <hyperlink ref="P17" r:id="rId57"/>
    <hyperlink ref="N17" r:id="rId58"/>
    <hyperlink ref="O17" r:id="rId59"/>
    <hyperlink ref="R17" r:id="rId60"/>
    <hyperlink ref="G19" r:id="rId61"/>
    <hyperlink ref="H19" r:id="rId62"/>
    <hyperlink ref="I19" r:id="rId63"/>
    <hyperlink ref="J19" r:id="rId64"/>
    <hyperlink ref="K19" r:id="rId65"/>
    <hyperlink ref="M19" r:id="rId66"/>
    <hyperlink ref="P19" r:id="rId67"/>
    <hyperlink ref="N19" r:id="rId68"/>
    <hyperlink ref="O19" r:id="rId69"/>
    <hyperlink ref="R19" r:id="rId70"/>
    <hyperlink ref="G21" r:id="rId71"/>
    <hyperlink ref="H21" r:id="rId72"/>
    <hyperlink ref="I21" r:id="rId73"/>
    <hyperlink ref="J21" r:id="rId74"/>
    <hyperlink ref="K21" r:id="rId75"/>
    <hyperlink ref="M21" r:id="rId76"/>
    <hyperlink ref="P21" r:id="rId77"/>
    <hyperlink ref="N21" r:id="rId78"/>
    <hyperlink ref="O21" r:id="rId79"/>
    <hyperlink ref="R21" r:id="rId80"/>
    <hyperlink ref="G23" r:id="rId81"/>
    <hyperlink ref="H23" r:id="rId82"/>
    <hyperlink ref="I23" r:id="rId83"/>
    <hyperlink ref="J23" r:id="rId84"/>
    <hyperlink ref="K23" r:id="rId85"/>
    <hyperlink ref="M23" r:id="rId86"/>
    <hyperlink ref="P23" r:id="rId87"/>
    <hyperlink ref="N23" r:id="rId88"/>
    <hyperlink ref="O23" r:id="rId89"/>
    <hyperlink ref="R23" r:id="rId90"/>
    <hyperlink ref="G25" r:id="rId91"/>
    <hyperlink ref="H25" r:id="rId92"/>
    <hyperlink ref="I25" r:id="rId93"/>
    <hyperlink ref="J25" r:id="rId94"/>
    <hyperlink ref="K25" r:id="rId95"/>
    <hyperlink ref="M25" r:id="rId96"/>
    <hyperlink ref="P25" r:id="rId97"/>
    <hyperlink ref="N25" r:id="rId98"/>
    <hyperlink ref="O25" r:id="rId99"/>
    <hyperlink ref="R25" r:id="rId100"/>
    <hyperlink ref="G27" r:id="rId101"/>
    <hyperlink ref="H27" r:id="rId102"/>
    <hyperlink ref="I27" r:id="rId103"/>
    <hyperlink ref="J27" r:id="rId104"/>
    <hyperlink ref="K27" r:id="rId105"/>
    <hyperlink ref="M27" r:id="rId106"/>
    <hyperlink ref="P27" r:id="rId107"/>
    <hyperlink ref="N27" r:id="rId108"/>
    <hyperlink ref="O27" r:id="rId109"/>
    <hyperlink ref="R27" r:id="rId110"/>
    <hyperlink ref="G29" r:id="rId111"/>
    <hyperlink ref="H29" r:id="rId112"/>
    <hyperlink ref="I29" r:id="rId113"/>
    <hyperlink ref="J29" r:id="rId114"/>
    <hyperlink ref="K29" r:id="rId115"/>
    <hyperlink ref="M29" r:id="rId116"/>
    <hyperlink ref="P29" r:id="rId117"/>
    <hyperlink ref="N29" r:id="rId118"/>
    <hyperlink ref="O29" r:id="rId119"/>
    <hyperlink ref="R29" r:id="rId120"/>
    <hyperlink ref="G31" r:id="rId121"/>
    <hyperlink ref="H31" r:id="rId122"/>
    <hyperlink ref="I31" r:id="rId123"/>
    <hyperlink ref="J31" r:id="rId124"/>
    <hyperlink ref="K31" r:id="rId125"/>
    <hyperlink ref="M31" r:id="rId126"/>
    <hyperlink ref="P31" r:id="rId127"/>
    <hyperlink ref="N31" r:id="rId128"/>
    <hyperlink ref="O31" r:id="rId129"/>
    <hyperlink ref="R31" r:id="rId130"/>
    <hyperlink ref="G33" r:id="rId131"/>
    <hyperlink ref="H33" r:id="rId132"/>
    <hyperlink ref="I33" r:id="rId133"/>
    <hyperlink ref="J33" r:id="rId134"/>
    <hyperlink ref="K33" r:id="rId135"/>
    <hyperlink ref="M33" r:id="rId136"/>
    <hyperlink ref="P33" r:id="rId137"/>
    <hyperlink ref="N33" r:id="rId138"/>
    <hyperlink ref="O33" r:id="rId139"/>
    <hyperlink ref="R33" r:id="rId140"/>
    <hyperlink ref="G35" r:id="rId141"/>
    <hyperlink ref="H35" r:id="rId142"/>
    <hyperlink ref="I35" r:id="rId143"/>
    <hyperlink ref="J35" r:id="rId144"/>
    <hyperlink ref="K35" r:id="rId145"/>
    <hyperlink ref="M35" r:id="rId146"/>
    <hyperlink ref="P35" r:id="rId147"/>
    <hyperlink ref="N35" r:id="rId148"/>
    <hyperlink ref="O35" r:id="rId149"/>
    <hyperlink ref="R35" r:id="rId150"/>
    <hyperlink ref="G37" r:id="rId151"/>
    <hyperlink ref="H37" r:id="rId152"/>
    <hyperlink ref="I37:M37" r:id="rId153" display="09.01 CDM"/>
    <hyperlink ref="P37" r:id="rId154"/>
    <hyperlink ref="N37" r:id="rId155"/>
    <hyperlink ref="O37" r:id="rId156"/>
    <hyperlink ref="R37" r:id="rId157"/>
    <hyperlink ref="G41" r:id="rId158"/>
    <hyperlink ref="H41" r:id="rId159"/>
    <hyperlink ref="I41:M41" r:id="rId160" display="09.01 CDM"/>
    <hyperlink ref="P41" r:id="rId161"/>
    <hyperlink ref="N41" r:id="rId162"/>
    <hyperlink ref="O41" r:id="rId163"/>
    <hyperlink ref="R41" r:id="rId164"/>
    <hyperlink ref="G43" r:id="rId165"/>
    <hyperlink ref="H43" r:id="rId166"/>
    <hyperlink ref="I43:M43" r:id="rId167" display="09.01 CDM"/>
    <hyperlink ref="P43" r:id="rId168"/>
    <hyperlink ref="N43" r:id="rId169"/>
    <hyperlink ref="O43" r:id="rId170"/>
    <hyperlink ref="R43" r:id="rId171"/>
    <hyperlink ref="G45" r:id="rId172"/>
    <hyperlink ref="H45" r:id="rId173"/>
    <hyperlink ref="I45:M45" r:id="rId174" display="09.01 CDM"/>
    <hyperlink ref="P45" r:id="rId175"/>
    <hyperlink ref="N45" r:id="rId176"/>
    <hyperlink ref="O45" r:id="rId177"/>
    <hyperlink ref="R45" r:id="rId178"/>
    <hyperlink ref="G47" r:id="rId179"/>
    <hyperlink ref="H47" r:id="rId180"/>
    <hyperlink ref="I47:M47" r:id="rId181" display="09.01 CDM"/>
    <hyperlink ref="P47" r:id="rId182"/>
    <hyperlink ref="N47" r:id="rId183"/>
    <hyperlink ref="O47" r:id="rId184"/>
    <hyperlink ref="R47" r:id="rId185"/>
    <hyperlink ref="G49" r:id="rId186"/>
    <hyperlink ref="H49" r:id="rId187"/>
    <hyperlink ref="I49:M49" r:id="rId188" display="09.01 CDM"/>
    <hyperlink ref="P49" r:id="rId189"/>
    <hyperlink ref="N49" r:id="rId190"/>
    <hyperlink ref="O49" r:id="rId191"/>
    <hyperlink ref="R49" r:id="rId192"/>
    <hyperlink ref="G51" r:id="rId193"/>
    <hyperlink ref="H51" r:id="rId194"/>
    <hyperlink ref="I51:M51" r:id="rId195" display="09.01 CDM"/>
    <hyperlink ref="P51" r:id="rId196"/>
    <hyperlink ref="N51" r:id="rId197"/>
    <hyperlink ref="O51" r:id="rId198"/>
    <hyperlink ref="R51" r:id="rId199"/>
    <hyperlink ref="G53" r:id="rId200"/>
    <hyperlink ref="N53" r:id="rId201"/>
    <hyperlink ref="O53" r:id="rId202"/>
    <hyperlink ref="R53" r:id="rId203"/>
    <hyperlink ref="G55" r:id="rId204"/>
    <hyperlink ref="H55" r:id="rId205"/>
    <hyperlink ref="I55:M55" r:id="rId206" display="09.01 CDM"/>
    <hyperlink ref="P55" r:id="rId207"/>
    <hyperlink ref="N55" r:id="rId208"/>
    <hyperlink ref="O55" r:id="rId209"/>
    <hyperlink ref="R55" r:id="rId210"/>
    <hyperlink ref="G57" r:id="rId211"/>
    <hyperlink ref="N57" r:id="rId212"/>
    <hyperlink ref="O57" r:id="rId213"/>
    <hyperlink ref="R57" r:id="rId214"/>
    <hyperlink ref="G59" r:id="rId215"/>
    <hyperlink ref="H59" r:id="rId216"/>
    <hyperlink ref="I59:M59" r:id="rId217" display="09.01 CDM"/>
    <hyperlink ref="P59" r:id="rId218"/>
    <hyperlink ref="N59" r:id="rId219"/>
    <hyperlink ref="O59" r:id="rId220"/>
    <hyperlink ref="R59" r:id="rId221"/>
    <hyperlink ref="G5" r:id="rId222"/>
    <hyperlink ref="H5" r:id="rId223"/>
    <hyperlink ref="I5:M5" r:id="rId224" display="09.01 CDM"/>
    <hyperlink ref="P5" r:id="rId225"/>
    <hyperlink ref="N5" r:id="rId226"/>
    <hyperlink ref="O5" r:id="rId227"/>
    <hyperlink ref="R5" r:id="rId228"/>
    <hyperlink ref="G39" r:id="rId229"/>
    <hyperlink ref="H39" r:id="rId230"/>
    <hyperlink ref="I39" r:id="rId231"/>
    <hyperlink ref="J39" r:id="rId232"/>
    <hyperlink ref="K39" r:id="rId233"/>
    <hyperlink ref="M39" r:id="rId234"/>
    <hyperlink ref="N39" r:id="rId235"/>
    <hyperlink ref="O39" r:id="rId236"/>
    <hyperlink ref="P39" r:id="rId237"/>
    <hyperlink ref="R39" r:id="rId238"/>
  </hyperlinks>
  <pageMargins left="0.7" right="0.7" top="0.75" bottom="0.75" header="0.3" footer="0.3"/>
  <pageSetup paperSize="9" orientation="portrait" r:id="rId239"/>
  <extLst>
    <ext xmlns:x14="http://schemas.microsoft.com/office/spreadsheetml/2009/9/main" uri="{CCE6A557-97BC-4b89-ADB6-D9C93CAAB3DF}">
      <x14:dataValidations xmlns:xm="http://schemas.microsoft.com/office/excel/2006/main" count="1">
        <x14:dataValidation type="list" allowBlank="1" showInputMessage="1" showErrorMessage="1">
          <x14:formula1>
            <xm:f>'Rag Coding'!$E$1:$E$3</xm:f>
          </x14:formula1>
          <xm:sqref>G4:S4 G8:S8 G60:S60 G6:S6 G10:S10 G12:S12 G14:S14 G16:S16 G18:S18 G20:S20 G22:S22 G24:S24 G26:S26 G28:S28 G30:S30 G32:S32 G34:S34 G36:S36 G38:S38 G40:S40 G42:S42 G44:S44 G46:S46 G48:S48 G50:S50 G52:S52 G54:S54 G58:S58 G56:S56 G62:S62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rgb="FF0070C0"/>
  </sheetPr>
  <dimension ref="A1:H107"/>
  <sheetViews>
    <sheetView showGridLines="0" workbookViewId="0">
      <selection activeCell="A42" sqref="A42"/>
    </sheetView>
  </sheetViews>
  <sheetFormatPr defaultRowHeight="15" x14ac:dyDescent="0.2"/>
  <cols>
    <col min="1" max="1" width="18" bestFit="1" customWidth="1"/>
    <col min="2" max="2" width="47.77734375" style="26" bestFit="1" customWidth="1"/>
    <col min="3" max="3" width="17.44140625" style="152" bestFit="1" customWidth="1"/>
    <col min="4" max="4" width="13.77734375" style="152" customWidth="1"/>
    <col min="5" max="5" width="15.33203125" style="152" customWidth="1"/>
    <col min="6" max="6" width="26.109375" style="152" customWidth="1"/>
    <col min="7" max="7" width="17.6640625" style="215" customWidth="1"/>
    <col min="8" max="8" width="8.88671875" hidden="1" customWidth="1"/>
  </cols>
  <sheetData>
    <row r="1" spans="1:8" ht="45.75" thickBot="1" x14ac:dyDescent="0.25">
      <c r="A1" s="281" t="s">
        <v>8</v>
      </c>
      <c r="B1" s="272" t="s">
        <v>10</v>
      </c>
      <c r="C1" s="272" t="s">
        <v>20</v>
      </c>
      <c r="D1" s="272" t="s">
        <v>356</v>
      </c>
      <c r="E1" s="272" t="s">
        <v>2</v>
      </c>
      <c r="F1" s="272" t="s">
        <v>263</v>
      </c>
      <c r="G1" s="275" t="s">
        <v>564</v>
      </c>
      <c r="H1" s="224"/>
    </row>
    <row r="2" spans="1:8" ht="15.75" thickBot="1" x14ac:dyDescent="0.25">
      <c r="A2" s="286">
        <f>INDEX('Tracker Sheet'!$A:$A,41)</f>
        <v>0</v>
      </c>
      <c r="B2" s="286">
        <f>INDEX('Tracker Sheet'!$C:$C,41)</f>
        <v>0</v>
      </c>
      <c r="C2" s="286">
        <f>INDEX('Tracker Sheet'!$E:$E,41)</f>
        <v>0</v>
      </c>
      <c r="D2" s="279">
        <f>INDEX('Tracker Sheet'!$AX:$AX,41)</f>
        <v>0</v>
      </c>
      <c r="E2" s="279">
        <f>INDEX('Tracker Sheet'!$AY:$AY,41)</f>
        <v>0</v>
      </c>
      <c r="F2" s="271" t="str">
        <f ca="1">IF(E2=0,"",E2-TODAY())</f>
        <v/>
      </c>
      <c r="G2" s="269"/>
    </row>
    <row r="3" spans="1:8" ht="15.75" thickBot="1" x14ac:dyDescent="0.25">
      <c r="A3" s="286">
        <f>INDEX('Tracker Sheet'!$A:$A,41)</f>
        <v>0</v>
      </c>
      <c r="B3" s="286">
        <f>INDEX('Tracker Sheet'!$C:$C,41)</f>
        <v>0</v>
      </c>
      <c r="C3" s="286">
        <f>INDEX('Tracker Sheet'!$E:$E,41)</f>
        <v>0</v>
      </c>
      <c r="D3" s="279">
        <f>INDEX('Tracker Sheet'!$AX:$AX,41)</f>
        <v>0</v>
      </c>
      <c r="E3" s="279">
        <f>INDEX('Tracker Sheet'!$AY:$AY,41)</f>
        <v>0</v>
      </c>
      <c r="F3" s="297" t="str">
        <f ca="1">IF(E3=0,"",E3-TODAY())</f>
        <v/>
      </c>
      <c r="G3" s="311"/>
    </row>
    <row r="4" spans="1:8" ht="15.75" thickBot="1" x14ac:dyDescent="0.25">
      <c r="A4" s="286">
        <f>INDEX('Tracker Sheet'!$A:$A,42)</f>
        <v>0</v>
      </c>
      <c r="B4" s="286">
        <f>INDEX('Tracker Sheet'!$C:$C,42)</f>
        <v>0</v>
      </c>
      <c r="C4" s="286">
        <f>INDEX('Tracker Sheet'!$E:$E,42)</f>
        <v>0</v>
      </c>
      <c r="D4" s="279">
        <f>INDEX('Tracker Sheet'!$AX:$AX,42)</f>
        <v>0</v>
      </c>
      <c r="E4" s="279">
        <f>INDEX('Tracker Sheet'!$AY:$AY,42)</f>
        <v>0</v>
      </c>
      <c r="F4" s="331"/>
      <c r="G4" s="311"/>
      <c r="H4" s="357" t="str">
        <f ca="1">IF(D4=0,"",D4-TODAY()+356)</f>
        <v/>
      </c>
    </row>
    <row r="5" spans="1:8" ht="26.25" thickBot="1" x14ac:dyDescent="0.25">
      <c r="A5" s="286" t="str">
        <f>INDEX('Tracker Sheet'!$A:$A,20)</f>
        <v>Rech/16/ACR10994</v>
      </c>
      <c r="B5" s="286" t="str">
        <f>INDEX('Tracker Sheet'!$C:$C,20)</f>
        <v>Templar House Basement Changeing Room for Chancery Lane Escalator Replacement Project</v>
      </c>
      <c r="C5" s="286" t="str">
        <f>INDEX('Tracker Sheet'!$E:$E,20)</f>
        <v>Martin Smith</v>
      </c>
      <c r="D5" s="279">
        <f>INDEX('Tracker Sheet'!$AX:$AX,20)</f>
        <v>42415</v>
      </c>
      <c r="E5" s="279">
        <f>INDEX('Tracker Sheet'!$AY:$AY,20)</f>
        <v>42505</v>
      </c>
      <c r="F5" s="297">
        <f t="shared" ref="F5:F17" ca="1" si="0">IF(E5=0,"",E5-TODAY())</f>
        <v>-263</v>
      </c>
      <c r="G5" s="311" t="s">
        <v>341</v>
      </c>
    </row>
    <row r="6" spans="1:8" ht="15.75" thickBot="1" x14ac:dyDescent="0.25">
      <c r="A6" s="286" t="str">
        <f>INDEX('Tracker Sheet'!$A:$A,17)</f>
        <v>Rech/15/ACR10787</v>
      </c>
      <c r="B6" s="286" t="str">
        <f>INDEX('Tracker Sheet'!$C:$C,17)</f>
        <v>LSTOC Accommodation Workstream</v>
      </c>
      <c r="C6" s="286" t="str">
        <f>INDEX('Tracker Sheet'!$E:$E,17)</f>
        <v>Tony Hunter</v>
      </c>
      <c r="D6" s="279">
        <f>INDEX('Tracker Sheet'!$AX:$AX,17)</f>
        <v>42593</v>
      </c>
      <c r="E6" s="279">
        <f>INDEX('Tracker Sheet'!$AY:$AY,17)</f>
        <v>42685</v>
      </c>
      <c r="F6" s="297">
        <f t="shared" ca="1" si="0"/>
        <v>-83</v>
      </c>
      <c r="G6" s="311" t="s">
        <v>341</v>
      </c>
    </row>
    <row r="7" spans="1:8" ht="15.75" thickBot="1" x14ac:dyDescent="0.25">
      <c r="A7" s="286" t="str">
        <f>INDEX('Tracker Sheet'!$A:$A,15)</f>
        <v>RECH/16/ACR13748</v>
      </c>
      <c r="B7" s="286" t="str">
        <f>INDEX('Tracker Sheet'!$C:$C,15)</f>
        <v>13 Allsop Place Refurbishment ex-police cells to make new into lockers</v>
      </c>
      <c r="C7" s="286" t="str">
        <f>INDEX('Tracker Sheet'!$E:$E,15)</f>
        <v>Laurie Morely</v>
      </c>
      <c r="D7" s="279">
        <f>INDEX('Tracker Sheet'!$AX:$AX,15)</f>
        <v>42692</v>
      </c>
      <c r="E7" s="279">
        <f>INDEX('Tracker Sheet'!$AY:$AY,15)</f>
        <v>42784</v>
      </c>
      <c r="F7" s="297">
        <f t="shared" ca="1" si="0"/>
        <v>16</v>
      </c>
      <c r="G7" s="311" t="s">
        <v>341</v>
      </c>
      <c r="H7" s="357">
        <f ca="1">IF(D7=0,"",D7-TODAY()+356)</f>
        <v>280</v>
      </c>
    </row>
    <row r="8" spans="1:8" ht="15.75" thickBot="1" x14ac:dyDescent="0.25">
      <c r="A8" s="286" t="str">
        <f>INDEX('Tracker Sheet'!$A:$A,13)</f>
        <v>FACOPS/16/001</v>
      </c>
      <c r="B8" s="286" t="str">
        <f>INDEX('Tracker Sheet'!$C:$C,13)</f>
        <v>172 BPR 5th Floor Power</v>
      </c>
      <c r="C8" s="286" t="str">
        <f>INDEX('Tracker Sheet'!$E:$E,13)</f>
        <v>John Murphy</v>
      </c>
      <c r="D8" s="279">
        <f>INDEX('Tracker Sheet'!$AX:$AX,13)</f>
        <v>42705</v>
      </c>
      <c r="E8" s="279">
        <f>INDEX('Tracker Sheet'!$AY:$AY,13)</f>
        <v>42795</v>
      </c>
      <c r="F8" s="297">
        <f t="shared" ca="1" si="0"/>
        <v>27</v>
      </c>
      <c r="G8" s="311" t="s">
        <v>341</v>
      </c>
      <c r="H8" s="357">
        <f ca="1">IF(D8=0,"",D8-TODAY()+356)</f>
        <v>293</v>
      </c>
    </row>
    <row r="9" spans="1:8" ht="15.75" thickBot="1" x14ac:dyDescent="0.25">
      <c r="A9" s="286" t="str">
        <f>INDEX('Tracker Sheet'!$A:$A,14)</f>
        <v>Rech/16/ACR12721</v>
      </c>
      <c r="B9" s="286" t="str">
        <f>INDEX('Tracker Sheet'!$C:$C,14)</f>
        <v>200 BPR New Kitchens 4th,5th and 6th Floors</v>
      </c>
      <c r="C9" s="286" t="str">
        <f>INDEX('Tracker Sheet'!$E:$E,14)</f>
        <v>Alan Crossan</v>
      </c>
      <c r="D9" s="279">
        <f>INDEX('Tracker Sheet'!$AX:$AX,14)</f>
        <v>42706</v>
      </c>
      <c r="E9" s="279">
        <f>INDEX('Tracker Sheet'!$AY:$AY,14)</f>
        <v>42796</v>
      </c>
      <c r="F9" s="297">
        <f t="shared" ca="1" si="0"/>
        <v>28</v>
      </c>
      <c r="G9" s="311" t="s">
        <v>341</v>
      </c>
    </row>
    <row r="10" spans="1:8" ht="15.75" thickBot="1" x14ac:dyDescent="0.25">
      <c r="A10" s="286" t="str">
        <f>INDEX('Tracker Sheet'!$A:$A,18)</f>
        <v>Rech/16/ACR6446</v>
      </c>
      <c r="B10" s="286" t="str">
        <f>INDEX('Tracker Sheet'!$C:$C,18)</f>
        <v xml:space="preserve">New Meeting Rooms for Steve Burton EOS Director </v>
      </c>
      <c r="C10" s="286" t="str">
        <f>INDEX('Tracker Sheet'!$E:$E,18)</f>
        <v>Martina Perkins</v>
      </c>
      <c r="D10" s="279">
        <f>INDEX('Tracker Sheet'!$AX:$AX,18)</f>
        <v>42711</v>
      </c>
      <c r="E10" s="279">
        <f>INDEX('Tracker Sheet'!$AY:$AY,18)</f>
        <v>42801</v>
      </c>
      <c r="F10" s="297">
        <f t="shared" ca="1" si="0"/>
        <v>33</v>
      </c>
      <c r="G10" s="311" t="s">
        <v>341</v>
      </c>
      <c r="H10" s="332"/>
    </row>
    <row r="11" spans="1:8" ht="15.75" thickBot="1" x14ac:dyDescent="0.25">
      <c r="A11" s="286" t="str">
        <f>INDEX('Tracker Sheet'!$A:$A,10)</f>
        <v>PCP/16/016</v>
      </c>
      <c r="B11" s="286" t="str">
        <f>INDEX('Tracker Sheet'!$C:$C,10)</f>
        <v>Templar House Boiler Replacement</v>
      </c>
      <c r="C11" s="286" t="str">
        <f>INDEX('Tracker Sheet'!$E:$E,10)</f>
        <v>John Murphy</v>
      </c>
      <c r="D11" s="279">
        <f>INDEX('Tracker Sheet'!$AX:$AX,10)</f>
        <v>42716</v>
      </c>
      <c r="E11" s="279">
        <f>INDEX('Tracker Sheet'!$AY:$AY,10)</f>
        <v>42806</v>
      </c>
      <c r="F11" s="297">
        <f t="shared" ca="1" si="0"/>
        <v>38</v>
      </c>
      <c r="G11" s="311" t="s">
        <v>341</v>
      </c>
    </row>
    <row r="12" spans="1:8" ht="15.75" thickBot="1" x14ac:dyDescent="0.25">
      <c r="A12" s="286" t="str">
        <f>INDEX('Tracker Sheet'!$A:$A,8)</f>
        <v>PCP/15/009</v>
      </c>
      <c r="B12" s="286" t="str">
        <f>INDEX('Tracker Sheet'!$C:$C,8)</f>
        <v>Basement Leak Detection and Sump Pump</v>
      </c>
      <c r="C12" s="286" t="str">
        <f>INDEX('Tracker Sheet'!$E:$E,8)</f>
        <v>John Cousins</v>
      </c>
      <c r="D12" s="279">
        <f>INDEX('Tracker Sheet'!$AX:$AX,8)</f>
        <v>42720</v>
      </c>
      <c r="E12" s="279">
        <f>INDEX('Tracker Sheet'!$AY:$AY,8)</f>
        <v>42810</v>
      </c>
      <c r="F12" s="297">
        <f t="shared" ca="1" si="0"/>
        <v>42</v>
      </c>
      <c r="G12" s="311" t="s">
        <v>341</v>
      </c>
    </row>
    <row r="13" spans="1:8" ht="15.75" thickBot="1" x14ac:dyDescent="0.25">
      <c r="A13" s="286" t="str">
        <f>INDEX('Tracker Sheet'!$A:$A,22)</f>
        <v>PCP/16/023</v>
      </c>
      <c r="B13" s="286" t="str">
        <f>INDEX('Tracker Sheet'!$C:$C,22)</f>
        <v>Broadway PA/VA system</v>
      </c>
      <c r="C13" s="286" t="str">
        <f>INDEX('Tracker Sheet'!$E:$E,22)</f>
        <v>Helena Healy</v>
      </c>
      <c r="D13" s="279">
        <f>INDEX('Tracker Sheet'!$AX:$AX,22)</f>
        <v>0</v>
      </c>
      <c r="E13" s="279" t="str">
        <f>INDEX('Tracker Sheet'!$AY:$AY,22)</f>
        <v/>
      </c>
      <c r="F13" s="297" t="e">
        <f t="shared" ca="1" si="0"/>
        <v>#VALUE!</v>
      </c>
      <c r="G13" s="311" t="s">
        <v>341</v>
      </c>
    </row>
    <row r="14" spans="1:8" ht="15.75" thickBot="1" x14ac:dyDescent="0.25">
      <c r="A14" s="286" t="str">
        <f>INDEX('Tracker Sheet'!$A:$A,19)</f>
        <v>Rech/16/ACR14011</v>
      </c>
      <c r="B14" s="286" t="str">
        <f>INDEX('Tracker Sheet'!$C:$C,19)</f>
        <v>2nd Floor Kitchen area Palestra</v>
      </c>
      <c r="C14" s="286" t="str">
        <f>INDEX('Tracker Sheet'!$E:$E,19)</f>
        <v>Martina Perkins</v>
      </c>
      <c r="D14" s="279">
        <f>INDEX('Tracker Sheet'!$AX:$AX,19)</f>
        <v>42756</v>
      </c>
      <c r="E14" s="279">
        <f>INDEX('Tracker Sheet'!$AY:$AY,19)</f>
        <v>42846</v>
      </c>
      <c r="F14" s="297">
        <f t="shared" ca="1" si="0"/>
        <v>78</v>
      </c>
      <c r="G14" s="311" t="s">
        <v>341</v>
      </c>
    </row>
    <row r="15" spans="1:8" ht="15.75" thickBot="1" x14ac:dyDescent="0.25">
      <c r="A15" s="286" t="str">
        <f>INDEX('Tracker Sheet'!$A:$A,23)</f>
        <v>RECH/16/ACR8658</v>
      </c>
      <c r="B15" s="286" t="str">
        <f>INDEX('Tracker Sheet'!$C:$C,23)</f>
        <v>4L Emergancy Service Control Centre</v>
      </c>
      <c r="C15" s="286" t="str">
        <f>INDEX('Tracker Sheet'!$E:$E,23)</f>
        <v>Tony Hunter</v>
      </c>
      <c r="D15" s="279">
        <f>INDEX('Tracker Sheet'!$AX:$AX,23)</f>
        <v>0</v>
      </c>
      <c r="E15" s="279" t="str">
        <f>INDEX('Tracker Sheet'!$AY:$AY,23)</f>
        <v/>
      </c>
      <c r="F15" s="297" t="e">
        <f t="shared" ca="1" si="0"/>
        <v>#VALUE!</v>
      </c>
      <c r="G15" s="311" t="s">
        <v>341</v>
      </c>
    </row>
    <row r="16" spans="1:8" ht="15.75" thickBot="1" x14ac:dyDescent="0.25">
      <c r="A16" s="286" t="str">
        <f>INDEX('Tracker Sheet'!$A:$A,24)</f>
        <v>RECH/16/ACR16145</v>
      </c>
      <c r="B16" s="286" t="str">
        <f>INDEX('Tracker Sheet'!$C:$C,24)</f>
        <v>Bringing Back to use Staircase/chained door leading to the track</v>
      </c>
      <c r="C16" s="286" t="str">
        <f>INDEX('Tracker Sheet'!$E:$E,24)</f>
        <v>Martina Perkins</v>
      </c>
      <c r="D16" s="279">
        <f>INDEX('Tracker Sheet'!$AX:$AX,24)</f>
        <v>0</v>
      </c>
      <c r="E16" s="279" t="str">
        <f>INDEX('Tracker Sheet'!$AY:$AY,24)</f>
        <v/>
      </c>
      <c r="F16" s="297" t="e">
        <f t="shared" ca="1" si="0"/>
        <v>#VALUE!</v>
      </c>
      <c r="G16" s="311" t="s">
        <v>341</v>
      </c>
    </row>
    <row r="17" spans="1:8" ht="15.75" thickBot="1" x14ac:dyDescent="0.25">
      <c r="A17" s="286" t="str">
        <f>INDEX('Tracker Sheet'!$A:$A,16)</f>
        <v>OCR/16/001</v>
      </c>
      <c r="B17" s="286" t="str">
        <f>INDEX('Tracker Sheet'!$C:$C,16)</f>
        <v>Uniform Store relocation to Penton Street</v>
      </c>
      <c r="C17" s="286" t="str">
        <f>INDEX('Tracker Sheet'!$E:$E,16)</f>
        <v>Laurie Morely</v>
      </c>
      <c r="D17" s="279">
        <f>INDEX('Tracker Sheet'!$AX:$AX,16)</f>
        <v>42724</v>
      </c>
      <c r="E17" s="279">
        <f>INDEX('Tracker Sheet'!$AY:$AY,16)</f>
        <v>42814</v>
      </c>
      <c r="F17" s="297">
        <f t="shared" ca="1" si="0"/>
        <v>46</v>
      </c>
      <c r="G17" s="311" t="s">
        <v>341</v>
      </c>
    </row>
    <row r="18" spans="1:8" ht="15.75" thickBot="1" x14ac:dyDescent="0.25">
      <c r="A18" s="286" t="str">
        <f>INDEX('Tracker Sheet'!$A:$A,3)</f>
        <v>PCP/12/033</v>
      </c>
      <c r="B18" s="286" t="str">
        <f>INDEX('Tracker Sheet'!$C:$C,3)</f>
        <v>Albany House - Plant Optimisation</v>
      </c>
      <c r="C18" s="286" t="str">
        <f>INDEX('Tracker Sheet'!$E:$E,3)</f>
        <v>Jerry Young</v>
      </c>
      <c r="D18" s="279">
        <f>INDEX('Tracker Sheet'!$AX:$AX,3)</f>
        <v>0</v>
      </c>
      <c r="E18" s="279" t="str">
        <f>INDEX('Tracker Sheet'!$AY:$AY,3)</f>
        <v/>
      </c>
      <c r="F18" s="297" t="e">
        <f t="shared" ref="F18:F41" ca="1" si="1">IF(E18=0,"",E18-TODAY())</f>
        <v>#VALUE!</v>
      </c>
      <c r="G18" s="311"/>
    </row>
    <row r="19" spans="1:8" ht="15.75" thickBot="1" x14ac:dyDescent="0.25">
      <c r="A19" s="286" t="str">
        <f>INDEX('Tracker Sheet'!$A:$A,4)</f>
        <v>PCP/15/006</v>
      </c>
      <c r="B19" s="286" t="str">
        <f>INDEX('Tracker Sheet'!$C:$C,4)</f>
        <v>Baker Street Complex - Fire Compliance - Fire Alarms no MICC</v>
      </c>
      <c r="C19" s="286" t="str">
        <f>INDEX('Tracker Sheet'!$E:$E,4)</f>
        <v>Jerry Young</v>
      </c>
      <c r="D19" s="279">
        <f>INDEX('Tracker Sheet'!$AX:$AX,4)</f>
        <v>0</v>
      </c>
      <c r="E19" s="279" t="str">
        <f>INDEX('Tracker Sheet'!$AY:$AY,4)</f>
        <v/>
      </c>
      <c r="F19" s="297" t="e">
        <f t="shared" ca="1" si="1"/>
        <v>#VALUE!</v>
      </c>
      <c r="G19" s="311" t="s">
        <v>341</v>
      </c>
    </row>
    <row r="20" spans="1:8" ht="15.75" thickBot="1" x14ac:dyDescent="0.25">
      <c r="A20" s="286" t="str">
        <f>INDEX('Tracker Sheet'!$A:$A,5)</f>
        <v>PCP/16/020</v>
      </c>
      <c r="B20" s="286" t="str">
        <f>INDEX('Tracker Sheet'!$C:$C,5)</f>
        <v>Building Facades Risk Assessments (7 Building)</v>
      </c>
      <c r="C20" s="286" t="str">
        <f>INDEX('Tracker Sheet'!$E:$E,5)</f>
        <v>John Murphy</v>
      </c>
      <c r="D20" s="279">
        <f>INDEX('Tracker Sheet'!$AX:$AX,5)</f>
        <v>0</v>
      </c>
      <c r="E20" s="279" t="str">
        <f>INDEX('Tracker Sheet'!$AY:$AY,5)</f>
        <v/>
      </c>
      <c r="F20" s="297" t="e">
        <f t="shared" ca="1" si="1"/>
        <v>#VALUE!</v>
      </c>
      <c r="G20" s="311" t="s">
        <v>341</v>
      </c>
      <c r="H20" s="332"/>
    </row>
    <row r="21" spans="1:8" ht="15.75" thickBot="1" x14ac:dyDescent="0.25">
      <c r="A21" s="286" t="str">
        <f>INDEX('Tracker Sheet'!$A:$A,6)</f>
        <v>PCP/16/007</v>
      </c>
      <c r="B21" s="286" t="str">
        <f>INDEX('Tracker Sheet'!$C:$C,6)</f>
        <v>200 BPR Toilet Refurbishment</v>
      </c>
      <c r="C21" s="286" t="str">
        <f>INDEX('Tracker Sheet'!$E:$E,6)</f>
        <v>John Murphy</v>
      </c>
      <c r="D21" s="279">
        <f>INDEX('Tracker Sheet'!$AX:$AX,6)</f>
        <v>0</v>
      </c>
      <c r="E21" s="279" t="str">
        <f>INDEX('Tracker Sheet'!$AY:$AY,6)</f>
        <v/>
      </c>
      <c r="F21" s="297" t="e">
        <f t="shared" ca="1" si="1"/>
        <v>#VALUE!</v>
      </c>
      <c r="G21" s="311" t="s">
        <v>341</v>
      </c>
      <c r="H21" s="332"/>
    </row>
    <row r="22" spans="1:8" ht="15.75" thickBot="1" x14ac:dyDescent="0.25">
      <c r="A22" s="286" t="str">
        <f>INDEX('Tracker Sheet'!$A:$A,7)</f>
        <v>PCP/15/007</v>
      </c>
      <c r="B22" s="286" t="str">
        <f>INDEX('Tracker Sheet'!$C:$C,7)</f>
        <v>172 BPR &amp; Windsor House Chiller Remedial</v>
      </c>
      <c r="C22" s="286" t="str">
        <f>INDEX('Tracker Sheet'!$E:$E,7)</f>
        <v>John Cousins</v>
      </c>
      <c r="D22" s="279">
        <f>INDEX('Tracker Sheet'!$AX:$AX,7)</f>
        <v>0</v>
      </c>
      <c r="E22" s="279" t="str">
        <f>INDEX('Tracker Sheet'!$AY:$AY,7)</f>
        <v/>
      </c>
      <c r="F22" s="297" t="e">
        <f t="shared" ca="1" si="1"/>
        <v>#VALUE!</v>
      </c>
      <c r="G22" s="311" t="s">
        <v>341</v>
      </c>
      <c r="H22" s="102" t="str">
        <f ca="1">IF(D22=0,"",D22-TODAY()+356)</f>
        <v/>
      </c>
    </row>
    <row r="23" spans="1:8" ht="15.75" thickBot="1" x14ac:dyDescent="0.25">
      <c r="A23" s="286" t="str">
        <f>INDEX('Tracker Sheet'!$A:$A,9)</f>
        <v>PCP/16/006</v>
      </c>
      <c r="B23" s="286" t="str">
        <f>INDEX('Tracker Sheet'!$C:$C,9)</f>
        <v>Toilet Flushing Upgrade</v>
      </c>
      <c r="C23" s="286" t="str">
        <f>INDEX('Tracker Sheet'!$E:$E,9)</f>
        <v>John Cousins</v>
      </c>
      <c r="D23" s="279">
        <f>INDEX('Tracker Sheet'!$AX:$AX,9)</f>
        <v>0</v>
      </c>
      <c r="E23" s="279" t="str">
        <f>INDEX('Tracker Sheet'!$AY:$AY,9)</f>
        <v/>
      </c>
      <c r="F23" s="297" t="e">
        <f t="shared" ca="1" si="1"/>
        <v>#VALUE!</v>
      </c>
      <c r="G23" s="311" t="s">
        <v>341</v>
      </c>
      <c r="H23" s="332"/>
    </row>
    <row r="24" spans="1:8" ht="15.75" thickBot="1" x14ac:dyDescent="0.25">
      <c r="A24" s="286" t="str">
        <f>INDEX('Tracker Sheet'!$A:$A,11)</f>
        <v>PCP/16/018</v>
      </c>
      <c r="B24" s="286" t="str">
        <f>INDEX('Tracker Sheet'!$C:$C,11)</f>
        <v>VSH Roof and Facades Repairs</v>
      </c>
      <c r="C24" s="286" t="str">
        <f>INDEX('Tracker Sheet'!$E:$E,11)</f>
        <v>John Cousins</v>
      </c>
      <c r="D24" s="279">
        <f>INDEX('Tracker Sheet'!$AX:$AX,11)</f>
        <v>0</v>
      </c>
      <c r="E24" s="279" t="str">
        <f>INDEX('Tracker Sheet'!$AY:$AY,11)</f>
        <v/>
      </c>
      <c r="F24" s="297" t="e">
        <f t="shared" ca="1" si="1"/>
        <v>#VALUE!</v>
      </c>
      <c r="G24" s="311" t="s">
        <v>341</v>
      </c>
      <c r="H24" s="102" t="str">
        <f ca="1">IF(D24=0,"",D24-TODAY()+356)</f>
        <v/>
      </c>
    </row>
    <row r="25" spans="1:8" ht="15.75" thickBot="1" x14ac:dyDescent="0.25">
      <c r="A25" s="286" t="str">
        <f>INDEX('Tracker Sheet'!$A:$A,12)</f>
        <v>PCP/16/019</v>
      </c>
      <c r="B25" s="286" t="str">
        <f>INDEX('Tracker Sheet'!$C:$C,12)</f>
        <v>172 BPR LV Infrastructure Upgrade</v>
      </c>
      <c r="C25" s="286" t="str">
        <f>INDEX('Tracker Sheet'!$E:$E,12)</f>
        <v>Laurie Morely</v>
      </c>
      <c r="D25" s="279">
        <f>INDEX('Tracker Sheet'!$AX:$AX,12)</f>
        <v>0</v>
      </c>
      <c r="E25" s="279" t="str">
        <f>INDEX('Tracker Sheet'!$AY:$AY,12)</f>
        <v/>
      </c>
      <c r="F25" s="297" t="e">
        <f t="shared" ca="1" si="1"/>
        <v>#VALUE!</v>
      </c>
      <c r="G25" s="311" t="s">
        <v>341</v>
      </c>
      <c r="H25" s="102" t="str">
        <f ca="1">IF(D25=0,"",D25-TODAY()+356)</f>
        <v/>
      </c>
    </row>
    <row r="26" spans="1:8" ht="15.75" thickBot="1" x14ac:dyDescent="0.25">
      <c r="A26" s="286" t="str">
        <f>INDEX('Tracker Sheet'!$A:$A,21)</f>
        <v>PCP/16/024</v>
      </c>
      <c r="B26" s="286" t="str">
        <f>INDEX('Tracker Sheet'!$C:$C,21)</f>
        <v>Griffith House Facade Repairs</v>
      </c>
      <c r="C26" s="286" t="str">
        <f>INDEX('Tracker Sheet'!$E:$E,21)</f>
        <v>John Cousins</v>
      </c>
      <c r="D26" s="279">
        <f>INDEX('Tracker Sheet'!$AX:$AX,21)</f>
        <v>0</v>
      </c>
      <c r="E26" s="279" t="str">
        <f>INDEX('Tracker Sheet'!$AY:$AY,21)</f>
        <v/>
      </c>
      <c r="F26" s="297" t="e">
        <f t="shared" ca="1" si="1"/>
        <v>#VALUE!</v>
      </c>
      <c r="G26" s="311"/>
      <c r="H26" s="102" t="str">
        <f ca="1">IF(D26=0,"",D26-TODAY()+356)</f>
        <v/>
      </c>
    </row>
    <row r="27" spans="1:8" ht="15.75" thickBot="1" x14ac:dyDescent="0.25">
      <c r="A27" s="286">
        <f>INDEX('Tracker Sheet'!$A:$A,25)</f>
        <v>0</v>
      </c>
      <c r="B27" s="286">
        <f>INDEX('Tracker Sheet'!$C:$C,25)</f>
        <v>0</v>
      </c>
      <c r="C27" s="286">
        <f>INDEX('Tracker Sheet'!$E:$E,25)</f>
        <v>0</v>
      </c>
      <c r="D27" s="279">
        <f>INDEX('Tracker Sheet'!$AX:$AX,25)</f>
        <v>0</v>
      </c>
      <c r="E27" s="279" t="str">
        <f>INDEX('Tracker Sheet'!$AY:$AY,25)</f>
        <v/>
      </c>
      <c r="F27" s="297" t="e">
        <f t="shared" ca="1" si="1"/>
        <v>#VALUE!</v>
      </c>
      <c r="G27" s="311"/>
      <c r="H27" s="357" t="str">
        <f ca="1">IF(D27=0,"",D27-TODAY()+356)</f>
        <v/>
      </c>
    </row>
    <row r="28" spans="1:8" ht="15.75" thickBot="1" x14ac:dyDescent="0.25">
      <c r="A28" s="286">
        <f>INDEX('Tracker Sheet'!$A:$A,26)</f>
        <v>0</v>
      </c>
      <c r="B28" s="286">
        <f>INDEX('Tracker Sheet'!$C:$C,26)</f>
        <v>0</v>
      </c>
      <c r="C28" s="286">
        <f>INDEX('Tracker Sheet'!$E:$E,26)</f>
        <v>0</v>
      </c>
      <c r="D28" s="279">
        <f>INDEX('Tracker Sheet'!$AX:$AX,26)</f>
        <v>0</v>
      </c>
      <c r="E28" s="279" t="str">
        <f>INDEX('Tracker Sheet'!$AY:$AY,26)</f>
        <v/>
      </c>
      <c r="F28" s="297" t="e">
        <f t="shared" ca="1" si="1"/>
        <v>#VALUE!</v>
      </c>
      <c r="G28" s="311"/>
    </row>
    <row r="29" spans="1:8" ht="15.75" thickBot="1" x14ac:dyDescent="0.25">
      <c r="A29" s="286">
        <f>INDEX('Tracker Sheet'!$A:$A,27)</f>
        <v>0</v>
      </c>
      <c r="B29" s="286">
        <f>INDEX('Tracker Sheet'!$C:$C,27)</f>
        <v>0</v>
      </c>
      <c r="C29" s="286">
        <f>INDEX('Tracker Sheet'!$E:$E,27)</f>
        <v>0</v>
      </c>
      <c r="D29" s="279">
        <f>INDEX('Tracker Sheet'!$AX:$AX,27)</f>
        <v>0</v>
      </c>
      <c r="E29" s="279" t="str">
        <f>INDEX('Tracker Sheet'!$AY:$AY,27)</f>
        <v/>
      </c>
      <c r="F29" s="297" t="e">
        <f t="shared" ca="1" si="1"/>
        <v>#VALUE!</v>
      </c>
      <c r="G29" s="311"/>
    </row>
    <row r="30" spans="1:8" ht="15.75" thickBot="1" x14ac:dyDescent="0.25">
      <c r="A30" s="286">
        <f>INDEX('Tracker Sheet'!$A:$A,28)</f>
        <v>0</v>
      </c>
      <c r="B30" s="286">
        <f>INDEX('Tracker Sheet'!$C:$C,28)</f>
        <v>0</v>
      </c>
      <c r="C30" s="286">
        <f>INDEX('Tracker Sheet'!$E:$E,28)</f>
        <v>0</v>
      </c>
      <c r="D30" s="279">
        <f>INDEX('Tracker Sheet'!$AX:$AX,28)</f>
        <v>0</v>
      </c>
      <c r="E30" s="279" t="str">
        <f>INDEX('Tracker Sheet'!$AY:$AY,28)</f>
        <v/>
      </c>
      <c r="F30" s="297" t="e">
        <f t="shared" ca="1" si="1"/>
        <v>#VALUE!</v>
      </c>
      <c r="G30" s="311"/>
    </row>
    <row r="31" spans="1:8" ht="15.75" thickBot="1" x14ac:dyDescent="0.25">
      <c r="A31" s="286">
        <f>INDEX('Tracker Sheet'!$A:$A,29)</f>
        <v>0</v>
      </c>
      <c r="B31" s="286">
        <f>INDEX('Tracker Sheet'!$C:$C,29)</f>
        <v>0</v>
      </c>
      <c r="C31" s="286">
        <f>INDEX('Tracker Sheet'!$E:$E,29)</f>
        <v>0</v>
      </c>
      <c r="D31" s="279">
        <f>INDEX('Tracker Sheet'!$AX:$AX,29)</f>
        <v>0</v>
      </c>
      <c r="E31" s="279" t="str">
        <f>INDEX('Tracker Sheet'!$AY:$AY,29)</f>
        <v/>
      </c>
      <c r="F31" s="297" t="e">
        <f t="shared" ca="1" si="1"/>
        <v>#VALUE!</v>
      </c>
      <c r="G31" s="311"/>
    </row>
    <row r="32" spans="1:8" ht="15.75" thickBot="1" x14ac:dyDescent="0.25">
      <c r="A32" s="286">
        <f>INDEX('Tracker Sheet'!$A:$A,30)</f>
        <v>0</v>
      </c>
      <c r="B32" s="286">
        <f>INDEX('Tracker Sheet'!$C:$C,30)</f>
        <v>0</v>
      </c>
      <c r="C32" s="286">
        <f>INDEX('Tracker Sheet'!$E:$E,30)</f>
        <v>0</v>
      </c>
      <c r="D32" s="279">
        <f>INDEX('Tracker Sheet'!$AX:$AX,30)</f>
        <v>0</v>
      </c>
      <c r="E32" s="279" t="str">
        <f>INDEX('Tracker Sheet'!$AY:$AY,30)</f>
        <v/>
      </c>
      <c r="F32" s="297" t="e">
        <f t="shared" ca="1" si="1"/>
        <v>#VALUE!</v>
      </c>
      <c r="G32" s="311"/>
    </row>
    <row r="33" spans="1:7" ht="15.75" thickBot="1" x14ac:dyDescent="0.25">
      <c r="A33" s="286">
        <f>INDEX('Tracker Sheet'!$A:$A,31)</f>
        <v>0</v>
      </c>
      <c r="B33" s="286">
        <f>INDEX('Tracker Sheet'!$C:$C,31)</f>
        <v>0</v>
      </c>
      <c r="C33" s="286">
        <f>INDEX('Tracker Sheet'!$E:$E,31)</f>
        <v>0</v>
      </c>
      <c r="D33" s="279">
        <f>INDEX('Tracker Sheet'!$AX:$AX,31)</f>
        <v>0</v>
      </c>
      <c r="E33" s="279" t="str">
        <f>INDEX('Tracker Sheet'!$AY:$AY,31)</f>
        <v/>
      </c>
      <c r="F33" s="297" t="e">
        <f t="shared" ca="1" si="1"/>
        <v>#VALUE!</v>
      </c>
      <c r="G33" s="311"/>
    </row>
    <row r="34" spans="1:7" ht="15.75" thickBot="1" x14ac:dyDescent="0.25">
      <c r="A34" s="286">
        <f>INDEX('Tracker Sheet'!$A:$A,32)</f>
        <v>0</v>
      </c>
      <c r="B34" s="286">
        <f>INDEX('Tracker Sheet'!$C:$C,32)</f>
        <v>0</v>
      </c>
      <c r="C34" s="286">
        <f>INDEX('Tracker Sheet'!$E:$E,32)</f>
        <v>0</v>
      </c>
      <c r="D34" s="279">
        <f>INDEX('Tracker Sheet'!$AX:$AX,32)</f>
        <v>0</v>
      </c>
      <c r="E34" s="279" t="str">
        <f>INDEX('Tracker Sheet'!$AY:$AY,32)</f>
        <v/>
      </c>
      <c r="F34" s="297" t="e">
        <f t="shared" ca="1" si="1"/>
        <v>#VALUE!</v>
      </c>
      <c r="G34" s="311"/>
    </row>
    <row r="35" spans="1:7" ht="15.75" thickBot="1" x14ac:dyDescent="0.25">
      <c r="A35" s="286">
        <f>INDEX('Tracker Sheet'!$A:$A,33)</f>
        <v>0</v>
      </c>
      <c r="B35" s="286">
        <f>INDEX('Tracker Sheet'!$C:$C,33)</f>
        <v>0</v>
      </c>
      <c r="C35" s="286">
        <f>INDEX('Tracker Sheet'!$E:$E,33)</f>
        <v>0</v>
      </c>
      <c r="D35" s="279">
        <f>INDEX('Tracker Sheet'!$AX:$AX,33)</f>
        <v>0</v>
      </c>
      <c r="E35" s="279" t="str">
        <f>INDEX('Tracker Sheet'!$AY:$AY,33)</f>
        <v/>
      </c>
      <c r="F35" s="297" t="e">
        <f t="shared" ca="1" si="1"/>
        <v>#VALUE!</v>
      </c>
      <c r="G35" s="311"/>
    </row>
    <row r="36" spans="1:7" ht="15.75" thickBot="1" x14ac:dyDescent="0.25">
      <c r="A36" s="286">
        <f>INDEX('Tracker Sheet'!$A:$A,34)</f>
        <v>0</v>
      </c>
      <c r="B36" s="286">
        <f>INDEX('Tracker Sheet'!$C:$C,34)</f>
        <v>0</v>
      </c>
      <c r="C36" s="286">
        <f>INDEX('Tracker Sheet'!$E:$E,34)</f>
        <v>0</v>
      </c>
      <c r="D36" s="279">
        <f>INDEX('Tracker Sheet'!$AX:$AX,34)</f>
        <v>0</v>
      </c>
      <c r="E36" s="279" t="str">
        <f>INDEX('Tracker Sheet'!$AY:$AY,34)</f>
        <v/>
      </c>
      <c r="F36" s="297" t="e">
        <f t="shared" ca="1" si="1"/>
        <v>#VALUE!</v>
      </c>
      <c r="G36" s="311"/>
    </row>
    <row r="37" spans="1:7" ht="15.75" thickBot="1" x14ac:dyDescent="0.25">
      <c r="A37" s="286">
        <f>INDEX('Tracker Sheet'!$A:$A,35)</f>
        <v>0</v>
      </c>
      <c r="B37" s="286">
        <f>INDEX('Tracker Sheet'!$C:$C,35)</f>
        <v>0</v>
      </c>
      <c r="C37" s="286">
        <f>INDEX('Tracker Sheet'!$E:$E,35)</f>
        <v>0</v>
      </c>
      <c r="D37" s="279">
        <f>INDEX('Tracker Sheet'!$AX:$AX,35)</f>
        <v>0</v>
      </c>
      <c r="E37" s="279" t="str">
        <f>INDEX('Tracker Sheet'!$AY:$AY,35)</f>
        <v/>
      </c>
      <c r="F37" s="297" t="e">
        <f t="shared" ca="1" si="1"/>
        <v>#VALUE!</v>
      </c>
      <c r="G37" s="311"/>
    </row>
    <row r="38" spans="1:7" ht="15.75" thickBot="1" x14ac:dyDescent="0.25">
      <c r="A38" s="286">
        <f>INDEX('Tracker Sheet'!$A:$A,36)</f>
        <v>0</v>
      </c>
      <c r="B38" s="286">
        <f>INDEX('Tracker Sheet'!$C:$C,36)</f>
        <v>0</v>
      </c>
      <c r="C38" s="286">
        <f>INDEX('Tracker Sheet'!$E:$E,36)</f>
        <v>0</v>
      </c>
      <c r="D38" s="279">
        <f>INDEX('Tracker Sheet'!$AX:$AX,36)</f>
        <v>0</v>
      </c>
      <c r="E38" s="279" t="str">
        <f>INDEX('Tracker Sheet'!$AY:$AY,36)</f>
        <v/>
      </c>
      <c r="F38" s="297" t="e">
        <f t="shared" ca="1" si="1"/>
        <v>#VALUE!</v>
      </c>
      <c r="G38" s="311"/>
    </row>
    <row r="39" spans="1:7" ht="15.75" thickBot="1" x14ac:dyDescent="0.25">
      <c r="A39" s="286">
        <f>INDEX('Tracker Sheet'!$A:$A,37)</f>
        <v>0</v>
      </c>
      <c r="B39" s="286">
        <f>INDEX('Tracker Sheet'!$C:$C,37)</f>
        <v>0</v>
      </c>
      <c r="C39" s="286">
        <f>INDEX('Tracker Sheet'!$E:$E,37)</f>
        <v>0</v>
      </c>
      <c r="D39" s="279">
        <f>INDEX('Tracker Sheet'!$AX:$AX,37)</f>
        <v>0</v>
      </c>
      <c r="E39" s="279" t="str">
        <f>INDEX('Tracker Sheet'!$AY:$AY,37)</f>
        <v/>
      </c>
      <c r="F39" s="297" t="e">
        <f t="shared" ca="1" si="1"/>
        <v>#VALUE!</v>
      </c>
      <c r="G39" s="311"/>
    </row>
    <row r="40" spans="1:7" ht="15.75" thickBot="1" x14ac:dyDescent="0.25">
      <c r="A40" s="286">
        <f>INDEX('Tracker Sheet'!$A:$A,38)</f>
        <v>0</v>
      </c>
      <c r="B40" s="286">
        <f>INDEX('Tracker Sheet'!$C:$C,38)</f>
        <v>0</v>
      </c>
      <c r="C40" s="286">
        <f>INDEX('Tracker Sheet'!$E:$E,38)</f>
        <v>0</v>
      </c>
      <c r="D40" s="279">
        <f>INDEX('Tracker Sheet'!$AX:$AX,38)</f>
        <v>0</v>
      </c>
      <c r="E40" s="279" t="str">
        <f>INDEX('Tracker Sheet'!$AY:$AY,38)</f>
        <v/>
      </c>
      <c r="F40" s="297" t="e">
        <f t="shared" ca="1" si="1"/>
        <v>#VALUE!</v>
      </c>
      <c r="G40" s="311"/>
    </row>
    <row r="41" spans="1:7" x14ac:dyDescent="0.2">
      <c r="A41" s="286">
        <f>INDEX('Tracker Sheet'!$A:$A,39)</f>
        <v>0</v>
      </c>
      <c r="B41" s="286">
        <f>INDEX('Tracker Sheet'!$C:$C,39)</f>
        <v>0</v>
      </c>
      <c r="C41" s="286">
        <f>INDEX('Tracker Sheet'!$E:$E,39)</f>
        <v>0</v>
      </c>
      <c r="D41" s="279">
        <f>INDEX('Tracker Sheet'!$AX:$AX,39)</f>
        <v>0</v>
      </c>
      <c r="E41" s="279" t="str">
        <f>INDEX('Tracker Sheet'!$AY:$AY,39)</f>
        <v/>
      </c>
      <c r="F41" s="297" t="e">
        <f t="shared" ca="1" si="1"/>
        <v>#VALUE!</v>
      </c>
      <c r="G41" s="311"/>
    </row>
    <row r="42" spans="1:7" x14ac:dyDescent="0.2">
      <c r="A42" s="282"/>
      <c r="B42" s="298"/>
      <c r="C42" s="273"/>
      <c r="D42" s="273"/>
      <c r="E42" s="273"/>
      <c r="F42" s="331"/>
      <c r="G42" s="311"/>
    </row>
    <row r="43" spans="1:7" x14ac:dyDescent="0.2">
      <c r="A43" s="282"/>
      <c r="B43" s="298"/>
      <c r="C43" s="273"/>
      <c r="D43" s="273"/>
      <c r="E43" s="273"/>
      <c r="F43" s="331"/>
      <c r="G43" s="311"/>
    </row>
    <row r="44" spans="1:7" x14ac:dyDescent="0.2">
      <c r="A44" s="282"/>
      <c r="B44" s="298"/>
      <c r="C44" s="273"/>
      <c r="D44" s="273"/>
      <c r="E44" s="273"/>
      <c r="F44" s="331"/>
      <c r="G44" s="311"/>
    </row>
    <row r="45" spans="1:7" x14ac:dyDescent="0.2">
      <c r="A45" s="282"/>
      <c r="B45" s="298"/>
      <c r="C45" s="273"/>
      <c r="D45" s="273"/>
      <c r="E45" s="273"/>
      <c r="F45" s="331"/>
      <c r="G45" s="311"/>
    </row>
    <row r="46" spans="1:7" x14ac:dyDescent="0.2">
      <c r="A46" s="282"/>
      <c r="B46" s="298"/>
      <c r="C46" s="273"/>
      <c r="D46" s="273"/>
      <c r="E46" s="273"/>
      <c r="F46" s="331"/>
      <c r="G46" s="311"/>
    </row>
    <row r="47" spans="1:7" x14ac:dyDescent="0.2">
      <c r="A47" s="282"/>
      <c r="B47" s="298"/>
      <c r="C47" s="273"/>
      <c r="D47" s="273"/>
      <c r="E47" s="273"/>
      <c r="F47" s="331"/>
      <c r="G47" s="311"/>
    </row>
    <row r="48" spans="1:7" x14ac:dyDescent="0.2">
      <c r="A48" s="282"/>
      <c r="B48" s="298"/>
      <c r="C48" s="273"/>
      <c r="D48" s="273"/>
      <c r="E48" s="273"/>
      <c r="F48" s="331"/>
      <c r="G48" s="311"/>
    </row>
    <row r="49" spans="1:7" x14ac:dyDescent="0.2">
      <c r="A49" s="282"/>
      <c r="B49" s="298"/>
      <c r="C49" s="273"/>
      <c r="D49" s="273"/>
      <c r="E49" s="273"/>
      <c r="F49" s="331"/>
      <c r="G49" s="311"/>
    </row>
    <row r="50" spans="1:7" x14ac:dyDescent="0.2">
      <c r="A50" s="282"/>
      <c r="B50" s="298"/>
      <c r="C50" s="273"/>
      <c r="D50" s="273"/>
      <c r="E50" s="273"/>
      <c r="F50" s="331"/>
      <c r="G50" s="311"/>
    </row>
    <row r="51" spans="1:7" x14ac:dyDescent="0.2">
      <c r="A51" s="282"/>
      <c r="B51" s="298"/>
      <c r="C51" s="273"/>
      <c r="D51" s="273"/>
      <c r="E51" s="273"/>
      <c r="F51" s="331"/>
      <c r="G51" s="311"/>
    </row>
    <row r="52" spans="1:7" x14ac:dyDescent="0.2">
      <c r="A52" s="282"/>
      <c r="B52" s="298"/>
      <c r="C52" s="273"/>
      <c r="D52" s="273"/>
      <c r="E52" s="273"/>
      <c r="F52" s="331"/>
      <c r="G52" s="311"/>
    </row>
    <row r="53" spans="1:7" x14ac:dyDescent="0.2">
      <c r="A53" s="282"/>
      <c r="B53" s="298"/>
      <c r="C53" s="273"/>
      <c r="D53" s="273"/>
      <c r="E53" s="273"/>
      <c r="F53" s="331"/>
      <c r="G53" s="311"/>
    </row>
    <row r="54" spans="1:7" x14ac:dyDescent="0.2">
      <c r="A54" s="282"/>
      <c r="B54" s="298"/>
      <c r="C54" s="273"/>
      <c r="D54" s="273"/>
      <c r="E54" s="273"/>
      <c r="F54" s="331"/>
      <c r="G54" s="311"/>
    </row>
    <row r="55" spans="1:7" x14ac:dyDescent="0.2">
      <c r="A55" s="282"/>
      <c r="B55" s="298"/>
      <c r="C55" s="273"/>
      <c r="D55" s="273"/>
      <c r="E55" s="273"/>
      <c r="F55" s="331"/>
      <c r="G55" s="311"/>
    </row>
    <row r="56" spans="1:7" x14ac:dyDescent="0.2">
      <c r="A56" s="282"/>
      <c r="B56" s="298"/>
      <c r="C56" s="273"/>
      <c r="D56" s="273"/>
      <c r="E56" s="273"/>
      <c r="F56" s="331"/>
      <c r="G56" s="311"/>
    </row>
    <row r="57" spans="1:7" x14ac:dyDescent="0.2">
      <c r="A57" s="282"/>
      <c r="B57" s="298"/>
      <c r="C57" s="273"/>
      <c r="D57" s="273"/>
      <c r="E57" s="273"/>
      <c r="F57" s="331"/>
      <c r="G57" s="311"/>
    </row>
    <row r="58" spans="1:7" x14ac:dyDescent="0.2">
      <c r="A58" s="282"/>
      <c r="B58" s="298"/>
      <c r="C58" s="273"/>
      <c r="D58" s="273"/>
      <c r="E58" s="273"/>
      <c r="F58" s="331"/>
      <c r="G58" s="311"/>
    </row>
    <row r="59" spans="1:7" x14ac:dyDescent="0.2">
      <c r="A59" s="282"/>
      <c r="B59" s="298"/>
      <c r="C59" s="273"/>
      <c r="D59" s="273"/>
      <c r="E59" s="273"/>
      <c r="F59" s="331"/>
      <c r="G59" s="311"/>
    </row>
    <row r="60" spans="1:7" x14ac:dyDescent="0.2">
      <c r="A60" s="282"/>
      <c r="B60" s="298"/>
      <c r="C60" s="273"/>
      <c r="D60" s="273"/>
      <c r="E60" s="273"/>
      <c r="F60" s="331"/>
      <c r="G60" s="311"/>
    </row>
    <row r="61" spans="1:7" x14ac:dyDescent="0.2">
      <c r="A61" s="282"/>
      <c r="B61" s="298"/>
      <c r="C61" s="273"/>
      <c r="D61" s="273"/>
      <c r="E61" s="273"/>
      <c r="F61" s="331"/>
      <c r="G61" s="311"/>
    </row>
    <row r="62" spans="1:7" x14ac:dyDescent="0.2">
      <c r="A62" s="282"/>
      <c r="B62" s="298"/>
      <c r="C62" s="273"/>
      <c r="D62" s="273"/>
      <c r="E62" s="273"/>
      <c r="F62" s="331"/>
      <c r="G62" s="311"/>
    </row>
    <row r="63" spans="1:7" x14ac:dyDescent="0.2">
      <c r="A63" s="282"/>
      <c r="B63" s="298"/>
      <c r="C63" s="273"/>
      <c r="D63" s="273"/>
      <c r="E63" s="273"/>
      <c r="F63" s="331"/>
      <c r="G63" s="311"/>
    </row>
    <row r="64" spans="1:7" x14ac:dyDescent="0.2">
      <c r="A64" s="282"/>
      <c r="B64" s="298"/>
      <c r="C64" s="273"/>
      <c r="D64" s="273"/>
      <c r="E64" s="273"/>
      <c r="F64" s="331"/>
      <c r="G64" s="311"/>
    </row>
    <row r="65" spans="1:7" x14ac:dyDescent="0.2">
      <c r="A65" s="282"/>
      <c r="B65" s="298"/>
      <c r="C65" s="273"/>
      <c r="D65" s="273"/>
      <c r="E65" s="273"/>
      <c r="F65" s="331"/>
      <c r="G65" s="311"/>
    </row>
    <row r="66" spans="1:7" x14ac:dyDescent="0.2">
      <c r="A66" s="282"/>
      <c r="B66" s="298"/>
      <c r="C66" s="273"/>
      <c r="D66" s="273"/>
      <c r="E66" s="273"/>
      <c r="F66" s="331"/>
      <c r="G66" s="311"/>
    </row>
    <row r="67" spans="1:7" x14ac:dyDescent="0.2">
      <c r="A67" s="282"/>
      <c r="B67" s="298"/>
      <c r="C67" s="273"/>
      <c r="D67" s="273"/>
      <c r="E67" s="273"/>
      <c r="F67" s="331"/>
      <c r="G67" s="311"/>
    </row>
    <row r="68" spans="1:7" x14ac:dyDescent="0.2">
      <c r="A68" s="282"/>
      <c r="B68" s="298"/>
      <c r="C68" s="273"/>
      <c r="D68" s="273"/>
      <c r="E68" s="273"/>
      <c r="F68" s="331"/>
      <c r="G68" s="311"/>
    </row>
    <row r="69" spans="1:7" x14ac:dyDescent="0.2">
      <c r="A69" s="291"/>
      <c r="B69" s="289"/>
      <c r="C69" s="299"/>
      <c r="D69" s="299"/>
      <c r="E69" s="299"/>
      <c r="F69" s="309"/>
      <c r="G69" s="303"/>
    </row>
    <row r="70" spans="1:7" x14ac:dyDescent="0.2">
      <c r="A70" s="135"/>
      <c r="B70" s="134"/>
      <c r="C70" s="150"/>
      <c r="D70" s="150"/>
      <c r="E70" s="150"/>
      <c r="F70" s="102"/>
    </row>
    <row r="71" spans="1:7" x14ac:dyDescent="0.2">
      <c r="A71" s="135"/>
      <c r="B71" s="134"/>
      <c r="C71" s="150"/>
      <c r="D71" s="150"/>
      <c r="E71" s="150"/>
      <c r="F71" s="102"/>
    </row>
    <row r="72" spans="1:7" x14ac:dyDescent="0.2">
      <c r="A72" s="135"/>
      <c r="B72" s="134"/>
      <c r="C72" s="150"/>
      <c r="D72" s="150"/>
      <c r="E72" s="150"/>
      <c r="F72" s="102"/>
    </row>
    <row r="73" spans="1:7" x14ac:dyDescent="0.2">
      <c r="A73" s="135"/>
      <c r="B73" s="134"/>
      <c r="C73" s="150"/>
      <c r="D73" s="150"/>
      <c r="E73" s="150"/>
      <c r="F73" s="102"/>
    </row>
    <row r="74" spans="1:7" x14ac:dyDescent="0.2">
      <c r="A74" s="135"/>
      <c r="B74" s="134"/>
      <c r="C74" s="150"/>
      <c r="D74" s="150"/>
      <c r="E74" s="150"/>
      <c r="F74" s="102"/>
    </row>
    <row r="75" spans="1:7" x14ac:dyDescent="0.2">
      <c r="A75" s="135"/>
      <c r="B75" s="134"/>
      <c r="C75" s="150"/>
      <c r="D75" s="150"/>
      <c r="E75" s="150"/>
      <c r="F75" s="102"/>
    </row>
    <row r="76" spans="1:7" x14ac:dyDescent="0.2">
      <c r="A76" s="135"/>
      <c r="B76" s="134"/>
      <c r="C76" s="150"/>
      <c r="D76" s="150"/>
      <c r="E76" s="150"/>
      <c r="F76" s="102"/>
    </row>
    <row r="77" spans="1:7" x14ac:dyDescent="0.2">
      <c r="A77" s="135"/>
      <c r="B77" s="134"/>
      <c r="C77" s="150"/>
      <c r="D77" s="150"/>
      <c r="E77" s="150"/>
      <c r="F77" s="102"/>
    </row>
    <row r="78" spans="1:7" x14ac:dyDescent="0.2">
      <c r="A78" s="135"/>
      <c r="B78" s="134"/>
      <c r="C78" s="150"/>
      <c r="D78" s="150"/>
      <c r="E78" s="150"/>
      <c r="F78" s="102"/>
    </row>
    <row r="79" spans="1:7" x14ac:dyDescent="0.2">
      <c r="A79" s="135"/>
      <c r="B79" s="134"/>
      <c r="C79" s="150"/>
      <c r="D79" s="150"/>
      <c r="E79" s="150"/>
      <c r="F79" s="102"/>
    </row>
    <row r="80" spans="1:7" x14ac:dyDescent="0.2">
      <c r="A80" s="135"/>
      <c r="B80" s="134"/>
      <c r="C80" s="150"/>
      <c r="D80" s="150"/>
      <c r="E80" s="150"/>
      <c r="F80" s="102"/>
    </row>
    <row r="81" spans="1:6" x14ac:dyDescent="0.2">
      <c r="A81" s="135"/>
      <c r="B81" s="135"/>
      <c r="C81" s="151"/>
      <c r="D81" s="151"/>
      <c r="E81" s="151"/>
      <c r="F81" s="102" t="str">
        <f t="shared" ref="F81:F107" ca="1" si="2">IF(E81=0,"",E81-TODAY())</f>
        <v/>
      </c>
    </row>
    <row r="82" spans="1:6" x14ac:dyDescent="0.2">
      <c r="A82" s="135"/>
      <c r="B82" s="135"/>
      <c r="C82" s="151"/>
      <c r="D82" s="151"/>
      <c r="E82" s="151"/>
      <c r="F82" s="102" t="str">
        <f t="shared" ca="1" si="2"/>
        <v/>
      </c>
    </row>
    <row r="83" spans="1:6" x14ac:dyDescent="0.2">
      <c r="A83" s="135"/>
      <c r="B83" s="135"/>
      <c r="C83" s="151"/>
      <c r="D83" s="151"/>
      <c r="E83" s="151"/>
      <c r="F83" s="102" t="str">
        <f t="shared" ca="1" si="2"/>
        <v/>
      </c>
    </row>
    <row r="84" spans="1:6" x14ac:dyDescent="0.2">
      <c r="A84" s="135"/>
      <c r="B84" s="135"/>
      <c r="C84" s="151"/>
      <c r="D84" s="151"/>
      <c r="E84" s="151"/>
      <c r="F84" s="102" t="str">
        <f t="shared" ca="1" si="2"/>
        <v/>
      </c>
    </row>
    <row r="85" spans="1:6" x14ac:dyDescent="0.2">
      <c r="A85" s="135"/>
      <c r="B85" s="135"/>
      <c r="C85" s="151"/>
      <c r="D85" s="151"/>
      <c r="E85" s="151"/>
      <c r="F85" s="102" t="str">
        <f t="shared" ca="1" si="2"/>
        <v/>
      </c>
    </row>
    <row r="86" spans="1:6" x14ac:dyDescent="0.2">
      <c r="A86" s="135"/>
      <c r="B86" s="135"/>
      <c r="C86" s="151"/>
      <c r="D86" s="151"/>
      <c r="E86" s="151"/>
      <c r="F86" s="102" t="str">
        <f t="shared" ca="1" si="2"/>
        <v/>
      </c>
    </row>
    <row r="87" spans="1:6" x14ac:dyDescent="0.2">
      <c r="A87" s="135"/>
      <c r="B87" s="135"/>
      <c r="C87" s="151"/>
      <c r="D87" s="151"/>
      <c r="E87" s="151"/>
      <c r="F87" s="102" t="str">
        <f t="shared" ca="1" si="2"/>
        <v/>
      </c>
    </row>
    <row r="88" spans="1:6" x14ac:dyDescent="0.2">
      <c r="A88" s="135"/>
      <c r="B88" s="135"/>
      <c r="C88" s="151"/>
      <c r="D88" s="151"/>
      <c r="E88" s="151"/>
      <c r="F88" s="102" t="str">
        <f t="shared" ca="1" si="2"/>
        <v/>
      </c>
    </row>
    <row r="89" spans="1:6" x14ac:dyDescent="0.2">
      <c r="A89" s="135"/>
      <c r="B89" s="135"/>
      <c r="C89" s="151"/>
      <c r="D89" s="151"/>
      <c r="E89" s="151"/>
      <c r="F89" s="102" t="str">
        <f t="shared" ca="1" si="2"/>
        <v/>
      </c>
    </row>
    <row r="90" spans="1:6" x14ac:dyDescent="0.2">
      <c r="A90" s="135"/>
      <c r="B90" s="135"/>
      <c r="C90" s="151"/>
      <c r="D90" s="151"/>
      <c r="E90" s="151"/>
      <c r="F90" s="102" t="str">
        <f t="shared" ca="1" si="2"/>
        <v/>
      </c>
    </row>
    <row r="91" spans="1:6" x14ac:dyDescent="0.2">
      <c r="A91" s="135"/>
      <c r="B91" s="135"/>
      <c r="C91" s="151"/>
      <c r="D91" s="151"/>
      <c r="E91" s="151"/>
      <c r="F91" s="102" t="str">
        <f t="shared" ca="1" si="2"/>
        <v/>
      </c>
    </row>
    <row r="92" spans="1:6" x14ac:dyDescent="0.2">
      <c r="A92" s="135"/>
      <c r="B92" s="135"/>
      <c r="C92" s="151"/>
      <c r="D92" s="151"/>
      <c r="E92" s="151"/>
      <c r="F92" s="102" t="str">
        <f t="shared" ca="1" si="2"/>
        <v/>
      </c>
    </row>
    <row r="93" spans="1:6" x14ac:dyDescent="0.2">
      <c r="A93" s="135"/>
      <c r="B93" s="135"/>
      <c r="C93" s="151"/>
      <c r="D93" s="151"/>
      <c r="E93" s="151"/>
      <c r="F93" s="102" t="str">
        <f t="shared" ca="1" si="2"/>
        <v/>
      </c>
    </row>
    <row r="94" spans="1:6" x14ac:dyDescent="0.2">
      <c r="A94" s="135"/>
      <c r="B94" s="135"/>
      <c r="C94" s="151"/>
      <c r="D94" s="151"/>
      <c r="E94" s="151"/>
      <c r="F94" s="102" t="str">
        <f t="shared" ca="1" si="2"/>
        <v/>
      </c>
    </row>
    <row r="95" spans="1:6" x14ac:dyDescent="0.2">
      <c r="A95" s="135"/>
      <c r="B95" s="135"/>
      <c r="C95" s="151"/>
      <c r="D95" s="151"/>
      <c r="E95" s="151"/>
      <c r="F95" s="102" t="str">
        <f t="shared" ca="1" si="2"/>
        <v/>
      </c>
    </row>
    <row r="96" spans="1:6" x14ac:dyDescent="0.2">
      <c r="A96" s="135"/>
      <c r="B96" s="135"/>
      <c r="C96" s="151"/>
      <c r="D96" s="151"/>
      <c r="E96" s="151"/>
      <c r="F96" s="102" t="str">
        <f t="shared" ca="1" si="2"/>
        <v/>
      </c>
    </row>
    <row r="97" spans="1:6" x14ac:dyDescent="0.2">
      <c r="A97" s="135"/>
      <c r="B97" s="135"/>
      <c r="C97" s="151"/>
      <c r="D97" s="151"/>
      <c r="E97" s="151"/>
      <c r="F97" s="102" t="str">
        <f t="shared" ca="1" si="2"/>
        <v/>
      </c>
    </row>
    <row r="98" spans="1:6" x14ac:dyDescent="0.2">
      <c r="A98" s="135"/>
      <c r="B98" s="135"/>
      <c r="C98" s="151"/>
      <c r="D98" s="151"/>
      <c r="E98" s="151"/>
      <c r="F98" s="102" t="str">
        <f t="shared" ca="1" si="2"/>
        <v/>
      </c>
    </row>
    <row r="99" spans="1:6" x14ac:dyDescent="0.2">
      <c r="A99" s="135"/>
      <c r="B99" s="135"/>
      <c r="C99" s="151"/>
      <c r="D99" s="151"/>
      <c r="E99" s="151"/>
      <c r="F99" s="102" t="str">
        <f t="shared" ca="1" si="2"/>
        <v/>
      </c>
    </row>
    <row r="100" spans="1:6" x14ac:dyDescent="0.2">
      <c r="A100" s="135"/>
      <c r="B100" s="135"/>
      <c r="C100" s="151"/>
      <c r="D100" s="151"/>
      <c r="E100" s="151"/>
      <c r="F100" s="102" t="str">
        <f t="shared" ca="1" si="2"/>
        <v/>
      </c>
    </row>
    <row r="101" spans="1:6" x14ac:dyDescent="0.2">
      <c r="A101" s="135"/>
      <c r="B101" s="135"/>
      <c r="C101" s="151"/>
      <c r="D101" s="151"/>
      <c r="E101" s="151"/>
      <c r="F101" s="102" t="str">
        <f t="shared" ca="1" si="2"/>
        <v/>
      </c>
    </row>
    <row r="102" spans="1:6" x14ac:dyDescent="0.2">
      <c r="A102" s="213"/>
      <c r="B102" s="101"/>
      <c r="C102" s="214"/>
      <c r="D102" s="214"/>
      <c r="E102" s="214"/>
      <c r="F102" s="102" t="str">
        <f t="shared" ca="1" si="2"/>
        <v/>
      </c>
    </row>
    <row r="103" spans="1:6" x14ac:dyDescent="0.2">
      <c r="A103" s="213"/>
      <c r="B103" s="101"/>
      <c r="C103" s="214"/>
      <c r="D103" s="214"/>
      <c r="E103" s="214"/>
      <c r="F103" s="102" t="str">
        <f t="shared" ca="1" si="2"/>
        <v/>
      </c>
    </row>
    <row r="104" spans="1:6" x14ac:dyDescent="0.2">
      <c r="A104" s="213"/>
      <c r="B104" s="101"/>
      <c r="C104" s="214"/>
      <c r="D104" s="214"/>
      <c r="E104" s="214"/>
      <c r="F104" s="102" t="str">
        <f t="shared" ca="1" si="2"/>
        <v/>
      </c>
    </row>
    <row r="105" spans="1:6" x14ac:dyDescent="0.2">
      <c r="A105" s="213"/>
      <c r="B105" s="101"/>
      <c r="C105" s="214"/>
      <c r="D105" s="214"/>
      <c r="E105" s="214"/>
      <c r="F105" s="102" t="str">
        <f t="shared" ca="1" si="2"/>
        <v/>
      </c>
    </row>
    <row r="106" spans="1:6" x14ac:dyDescent="0.2">
      <c r="A106" s="213"/>
      <c r="B106" s="101"/>
      <c r="C106" s="214"/>
      <c r="D106" s="214"/>
      <c r="E106" s="214"/>
      <c r="F106" s="102" t="str">
        <f t="shared" ca="1" si="2"/>
        <v/>
      </c>
    </row>
    <row r="107" spans="1:6" x14ac:dyDescent="0.2">
      <c r="A107" s="213"/>
      <c r="B107" s="101"/>
      <c r="C107" s="214"/>
      <c r="D107" s="214"/>
      <c r="E107" s="214"/>
      <c r="F107" s="102" t="str">
        <f t="shared" ca="1" si="2"/>
        <v/>
      </c>
    </row>
  </sheetData>
  <autoFilter ref="A1:G41">
    <sortState ref="A5:G17">
      <sortCondition ref="E1:E106"/>
    </sortState>
  </autoFilter>
  <sortState ref="A3:G29">
    <sortCondition ref="G29"/>
  </sortState>
  <conditionalFormatting sqref="F2:F40">
    <cfRule type="expression" dxfId="74" priority="10">
      <formula>G2="YES"</formula>
    </cfRule>
    <cfRule type="cellIs" dxfId="73" priority="12" stopIfTrue="1" operator="lessThan">
      <formula>0</formula>
    </cfRule>
    <cfRule type="cellIs" dxfId="72" priority="13" operator="greaterThanOrEqual">
      <formula>0</formula>
    </cfRule>
  </conditionalFormatting>
  <conditionalFormatting sqref="H10">
    <cfRule type="cellIs" dxfId="71" priority="5" stopIfTrue="1" operator="lessThan">
      <formula>0</formula>
    </cfRule>
    <cfRule type="cellIs" dxfId="70" priority="6" operator="greaterThan">
      <formula>0</formula>
    </cfRule>
  </conditionalFormatting>
  <conditionalFormatting sqref="H10">
    <cfRule type="expression" dxfId="69" priority="4">
      <formula>I10="YES"</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6" r:id="rId4" name="Button 4">
              <controlPr defaultSize="0" print="0" autoFill="0" autoPict="0" macro="[0]!StageGate5sort">
                <anchor moveWithCells="1" sizeWithCells="1">
                  <from>
                    <xdr:col>8</xdr:col>
                    <xdr:colOff>95250</xdr:colOff>
                    <xdr:row>0</xdr:row>
                    <xdr:rowOff>66675</xdr:rowOff>
                  </from>
                  <to>
                    <xdr:col>9</xdr:col>
                    <xdr:colOff>714375</xdr:colOff>
                    <xdr:row>0</xdr:row>
                    <xdr:rowOff>400050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'Rag Coding'!$F$1:$F$3</xm:f>
          </x14:formula1>
          <xm:sqref>G3:G49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0070C0"/>
  </sheetPr>
  <dimension ref="A1:S42"/>
  <sheetViews>
    <sheetView topLeftCell="A7" zoomScaleNormal="100" workbookViewId="0">
      <selection activeCell="L17" sqref="L17"/>
    </sheetView>
  </sheetViews>
  <sheetFormatPr defaultRowHeight="15" outlineLevelRow="1" x14ac:dyDescent="0.2"/>
  <cols>
    <col min="1" max="1" width="11.6640625" style="26" customWidth="1"/>
    <col min="2" max="2" width="8.109375" style="26" customWidth="1"/>
    <col min="3" max="3" width="9.6640625" style="26" customWidth="1"/>
    <col min="4" max="4" width="10" style="26" customWidth="1"/>
    <col min="5" max="5" width="8.88671875" style="26"/>
    <col min="6" max="6" width="7.77734375" style="26" customWidth="1"/>
    <col min="7" max="7" width="10" style="26" bestFit="1" customWidth="1"/>
    <col min="8" max="9" width="10" style="26" customWidth="1"/>
    <col min="10" max="10" width="9.5546875" style="26" customWidth="1"/>
    <col min="11" max="12" width="10" style="26" customWidth="1"/>
    <col min="13" max="13" width="10" style="26" hidden="1" customWidth="1"/>
    <col min="14" max="14" width="10" style="26" customWidth="1"/>
    <col min="15" max="17" width="8.33203125" style="68" customWidth="1"/>
    <col min="18" max="18" width="10.44140625" style="26" customWidth="1"/>
    <col min="19" max="19" width="7.77734375" style="26" customWidth="1"/>
    <col min="20" max="16384" width="8.88671875" style="26"/>
  </cols>
  <sheetData>
    <row r="1" spans="1:19" ht="15" customHeight="1" x14ac:dyDescent="0.2">
      <c r="A1" s="388" t="s">
        <v>11</v>
      </c>
      <c r="B1" s="389"/>
      <c r="C1" s="389"/>
      <c r="D1" s="389"/>
      <c r="E1" s="389"/>
      <c r="F1" s="389"/>
      <c r="G1" s="389"/>
      <c r="H1" s="409" t="s">
        <v>582</v>
      </c>
      <c r="I1" s="409"/>
      <c r="J1" s="409"/>
      <c r="K1" s="409"/>
      <c r="L1" s="409"/>
      <c r="M1" s="409"/>
      <c r="N1" s="409"/>
      <c r="O1" s="393" t="s">
        <v>7</v>
      </c>
      <c r="P1" s="393"/>
      <c r="Q1" s="393"/>
      <c r="R1" s="393"/>
      <c r="S1" s="393"/>
    </row>
    <row r="2" spans="1:19" ht="34.5" thickBot="1" x14ac:dyDescent="0.25">
      <c r="A2" s="42" t="s">
        <v>8</v>
      </c>
      <c r="B2" s="43" t="s">
        <v>9</v>
      </c>
      <c r="C2" s="43" t="s">
        <v>10</v>
      </c>
      <c r="D2" s="43" t="s">
        <v>18</v>
      </c>
      <c r="E2" s="43" t="s">
        <v>20</v>
      </c>
      <c r="F2" s="43" t="s">
        <v>262</v>
      </c>
      <c r="G2" s="43" t="s">
        <v>19</v>
      </c>
      <c r="H2" s="43" t="s">
        <v>13</v>
      </c>
      <c r="I2" s="43" t="s">
        <v>576</v>
      </c>
      <c r="J2" s="43" t="s">
        <v>580</v>
      </c>
      <c r="K2" s="43" t="s">
        <v>577</v>
      </c>
      <c r="L2" s="43" t="s">
        <v>578</v>
      </c>
      <c r="M2" s="43"/>
      <c r="N2" s="43" t="s">
        <v>579</v>
      </c>
      <c r="O2" s="49" t="s">
        <v>25</v>
      </c>
      <c r="P2" s="49" t="s">
        <v>112</v>
      </c>
      <c r="Q2" s="49" t="s">
        <v>259</v>
      </c>
      <c r="R2" s="15" t="s">
        <v>111</v>
      </c>
      <c r="S2" s="15" t="s">
        <v>346</v>
      </c>
    </row>
    <row r="3" spans="1:19" ht="102" thickBot="1" x14ac:dyDescent="0.25">
      <c r="A3" s="236" t="s">
        <v>183</v>
      </c>
      <c r="B3" s="243"/>
      <c r="C3" s="243" t="s">
        <v>184</v>
      </c>
      <c r="D3" s="236" t="s">
        <v>352</v>
      </c>
      <c r="E3" s="236" t="s">
        <v>105</v>
      </c>
      <c r="F3" s="236"/>
      <c r="G3" s="236" t="s">
        <v>178</v>
      </c>
      <c r="H3" s="242"/>
      <c r="I3" s="237">
        <v>42291</v>
      </c>
      <c r="J3" s="236">
        <v>0</v>
      </c>
      <c r="K3" s="237">
        <f t="shared" ref="K3:K10" si="0">IF(J3="","",DATE(YEAR(I3),MONTH(I3)+J3,DAY(I3)-1))</f>
        <v>42290</v>
      </c>
      <c r="L3" s="240">
        <v>0</v>
      </c>
      <c r="M3" s="236" t="str">
        <f t="shared" ref="M3:M42" ca="1" si="1">IF(K3="","",IF(AND(K3&gt;=TODAY(),N3="NO"),"Green",IF(AND(K3&lt;TODAY(),N3="NO"),"Red",IF(N3="YES","Green",""))))</f>
        <v>Green</v>
      </c>
      <c r="N3" s="378" t="s">
        <v>339</v>
      </c>
      <c r="O3" s="261" t="e">
        <f>VLOOKUP($A3,'Tracker Sheet'!$A$3:$BQ$40,58,FALSE)</f>
        <v>#N/A</v>
      </c>
      <c r="P3" s="261" t="e">
        <f>VLOOKUP($A3,'Tracker Sheet'!$A$3:$BQ$40,59,FALSE)</f>
        <v>#N/A</v>
      </c>
      <c r="Q3" s="261" t="e">
        <f>VLOOKUP($A3,'Tracker Sheet'!$A$3:$BQ$40,60,FALSE)</f>
        <v>#N/A</v>
      </c>
      <c r="R3" s="261" t="e">
        <f>VLOOKUP($A3,'Tracker Sheet'!$A$3:$BQ$40,61,FALSE)</f>
        <v>#N/A</v>
      </c>
      <c r="S3" s="261" t="e">
        <f>VLOOKUP($A3,'Tracker Sheet'!$A$3:$BQ$40,62,FALSE)</f>
        <v>#N/A</v>
      </c>
    </row>
    <row r="4" spans="1:19" ht="90.75" thickBot="1" x14ac:dyDescent="0.25">
      <c r="A4" s="244" t="s">
        <v>314</v>
      </c>
      <c r="B4" s="245" t="s">
        <v>350</v>
      </c>
      <c r="C4" s="245" t="s">
        <v>351</v>
      </c>
      <c r="D4" s="246" t="s">
        <v>93</v>
      </c>
      <c r="E4" s="246" t="s">
        <v>105</v>
      </c>
      <c r="F4" s="246"/>
      <c r="G4" s="246" t="s">
        <v>100</v>
      </c>
      <c r="H4" s="242"/>
      <c r="I4" s="237">
        <v>42415</v>
      </c>
      <c r="J4" s="236">
        <v>0</v>
      </c>
      <c r="K4" s="237">
        <f t="shared" si="0"/>
        <v>42414</v>
      </c>
      <c r="L4" s="240">
        <v>0</v>
      </c>
      <c r="M4" s="236" t="str">
        <f t="shared" ca="1" si="1"/>
        <v>Green</v>
      </c>
      <c r="N4" s="379" t="s">
        <v>339</v>
      </c>
      <c r="O4" s="262">
        <f>VLOOKUP($A4,'Tracker Sheet'!$A$3:$BQ$40,58,FALSE)</f>
        <v>0</v>
      </c>
      <c r="P4" s="262">
        <f>VLOOKUP($A4,'Tracker Sheet'!$A$3:$BQ$40,59,FALSE)</f>
        <v>0</v>
      </c>
      <c r="Q4" s="262">
        <f>VLOOKUP($A4,'Tracker Sheet'!$A$3:$BQ$40,60,FALSE)</f>
        <v>0</v>
      </c>
      <c r="R4" s="262">
        <f>VLOOKUP($A4,'Tracker Sheet'!$A$3:$BQ$40,61,FALSE)</f>
        <v>0</v>
      </c>
      <c r="S4" s="262">
        <f>VLOOKUP($A4,'Tracker Sheet'!$A$3:$BQ$40,62,FALSE)</f>
        <v>0</v>
      </c>
    </row>
    <row r="5" spans="1:19" s="66" customFormat="1" ht="23.25" thickBot="1" x14ac:dyDescent="0.25">
      <c r="A5" s="242" t="s">
        <v>316</v>
      </c>
      <c r="B5" s="243" t="s">
        <v>317</v>
      </c>
      <c r="C5" s="243" t="s">
        <v>342</v>
      </c>
      <c r="D5" s="236" t="s">
        <v>93</v>
      </c>
      <c r="E5" s="236" t="s">
        <v>103</v>
      </c>
      <c r="F5" s="236"/>
      <c r="G5" s="236" t="s">
        <v>100</v>
      </c>
      <c r="H5" s="242"/>
      <c r="I5" s="237">
        <v>42440</v>
      </c>
      <c r="J5" s="236">
        <v>0</v>
      </c>
      <c r="K5" s="237">
        <f t="shared" si="0"/>
        <v>42439</v>
      </c>
      <c r="L5" s="240">
        <v>0</v>
      </c>
      <c r="M5" s="238" t="str">
        <f t="shared" ca="1" si="1"/>
        <v>Green</v>
      </c>
      <c r="N5" s="379" t="s">
        <v>339</v>
      </c>
      <c r="O5" s="263" t="e">
        <f>VLOOKUP($A5,'Tracker Sheet'!$A$3:$BQ$40,58,FALSE)</f>
        <v>#N/A</v>
      </c>
      <c r="P5" s="263" t="e">
        <f>VLOOKUP($A5,'Tracker Sheet'!$A$3:$BQ$40,59,FALSE)</f>
        <v>#N/A</v>
      </c>
      <c r="Q5" s="263" t="e">
        <f>VLOOKUP($A5,'Tracker Sheet'!$A$3:$BQ$40,60,FALSE)</f>
        <v>#N/A</v>
      </c>
      <c r="R5" s="263" t="e">
        <f>VLOOKUP($A5,'Tracker Sheet'!$A$3:$BQ$40,61,FALSE)</f>
        <v>#N/A</v>
      </c>
      <c r="S5" s="263" t="e">
        <f>VLOOKUP($A5,'Tracker Sheet'!$A$3:$BQ$40,62,FALSE)</f>
        <v>#N/A</v>
      </c>
    </row>
    <row r="6" spans="1:19" ht="79.5" thickBot="1" x14ac:dyDescent="0.25">
      <c r="A6" s="242" t="s">
        <v>322</v>
      </c>
      <c r="B6" s="243" t="s">
        <v>325</v>
      </c>
      <c r="C6" s="243" t="s">
        <v>354</v>
      </c>
      <c r="D6" s="236" t="s">
        <v>91</v>
      </c>
      <c r="E6" s="236" t="s">
        <v>105</v>
      </c>
      <c r="F6" s="236"/>
      <c r="G6" s="236" t="s">
        <v>100</v>
      </c>
      <c r="H6" s="242"/>
      <c r="I6" s="237">
        <v>42619</v>
      </c>
      <c r="J6" s="236">
        <v>0</v>
      </c>
      <c r="K6" s="237">
        <f t="shared" si="0"/>
        <v>42618</v>
      </c>
      <c r="L6" s="240">
        <v>0</v>
      </c>
      <c r="M6" s="236" t="str">
        <f t="shared" ca="1" si="1"/>
        <v>Green</v>
      </c>
      <c r="N6" s="379" t="s">
        <v>339</v>
      </c>
      <c r="O6" s="263" t="e">
        <f>VLOOKUP($A6,'Tracker Sheet'!$A$3:$BQ$40,58,FALSE)</f>
        <v>#N/A</v>
      </c>
      <c r="P6" s="263" t="e">
        <f>VLOOKUP($A6,'Tracker Sheet'!$A$3:$BQ$40,59,FALSE)</f>
        <v>#N/A</v>
      </c>
      <c r="Q6" s="263" t="e">
        <f>VLOOKUP($A6,'Tracker Sheet'!$A$3:$BQ$40,60,FALSE)</f>
        <v>#N/A</v>
      </c>
      <c r="R6" s="263" t="e">
        <f>VLOOKUP($A6,'Tracker Sheet'!$A$3:$BQ$40,61,FALSE)</f>
        <v>#N/A</v>
      </c>
      <c r="S6" s="263" t="e">
        <f>VLOOKUP($A6,'Tracker Sheet'!$A$3:$BQ$40,62,FALSE)</f>
        <v>#N/A</v>
      </c>
    </row>
    <row r="7" spans="1:19" ht="45.75" thickBot="1" x14ac:dyDescent="0.25">
      <c r="A7" s="242" t="s">
        <v>310</v>
      </c>
      <c r="B7" s="243" t="s">
        <v>311</v>
      </c>
      <c r="C7" s="243" t="s">
        <v>345</v>
      </c>
      <c r="D7" s="236" t="s">
        <v>87</v>
      </c>
      <c r="E7" s="236" t="s">
        <v>109</v>
      </c>
      <c r="F7" s="236"/>
      <c r="G7" s="236" t="s">
        <v>99</v>
      </c>
      <c r="H7" s="242"/>
      <c r="I7" s="237">
        <v>42689</v>
      </c>
      <c r="J7" s="236">
        <v>0</v>
      </c>
      <c r="K7" s="237">
        <f t="shared" si="0"/>
        <v>42688</v>
      </c>
      <c r="L7" s="240">
        <v>0</v>
      </c>
      <c r="M7" s="237" t="str">
        <f t="shared" ca="1" si="1"/>
        <v>Green</v>
      </c>
      <c r="N7" s="379" t="s">
        <v>581</v>
      </c>
      <c r="O7" s="263">
        <v>70000</v>
      </c>
      <c r="P7" s="263">
        <v>27000</v>
      </c>
      <c r="Q7" s="263">
        <f>VLOOKUP(A7,Finance!$A$3:$J$45,10,FALSE)</f>
        <v>26302.86</v>
      </c>
      <c r="R7" s="263"/>
      <c r="S7" s="263"/>
    </row>
    <row r="8" spans="1:19" ht="45.75" thickBot="1" x14ac:dyDescent="0.25">
      <c r="A8" s="242" t="s">
        <v>320</v>
      </c>
      <c r="B8" s="243" t="s">
        <v>347</v>
      </c>
      <c r="C8" s="243" t="s">
        <v>348</v>
      </c>
      <c r="D8" s="236" t="s">
        <v>92</v>
      </c>
      <c r="E8" s="236" t="s">
        <v>109</v>
      </c>
      <c r="F8" s="236"/>
      <c r="G8" s="236" t="s">
        <v>178</v>
      </c>
      <c r="H8" s="242"/>
      <c r="I8" s="237">
        <v>42711</v>
      </c>
      <c r="J8" s="236">
        <v>0</v>
      </c>
      <c r="K8" s="237">
        <f t="shared" si="0"/>
        <v>42710</v>
      </c>
      <c r="L8" s="240">
        <v>0</v>
      </c>
      <c r="M8" s="236" t="str">
        <f t="shared" ca="1" si="1"/>
        <v>Green</v>
      </c>
      <c r="N8" s="379" t="s">
        <v>581</v>
      </c>
      <c r="O8" s="263">
        <f>VLOOKUP($A8,'Tracker Sheet'!$A$3:$BQ$40,58,FALSE)</f>
        <v>215160</v>
      </c>
      <c r="P8" s="263">
        <f>VLOOKUP($A8,'Tracker Sheet'!$A$3:$BQ$40,59,FALSE)</f>
        <v>155871</v>
      </c>
      <c r="Q8" s="263">
        <f>VLOOKUP($A8,'Tracker Sheet'!$A$3:$BQ$40,60,FALSE)</f>
        <v>0</v>
      </c>
      <c r="R8" s="263">
        <f>VLOOKUP($A8,'Tracker Sheet'!$A$3:$BQ$40,61,FALSE)</f>
        <v>0</v>
      </c>
      <c r="S8" s="263">
        <f>VLOOKUP($A8,'Tracker Sheet'!$A$3:$BQ$40,62,FALSE)</f>
        <v>0</v>
      </c>
    </row>
    <row r="9" spans="1:19" ht="34.5" thickBot="1" x14ac:dyDescent="0.25">
      <c r="A9" s="242" t="s">
        <v>318</v>
      </c>
      <c r="B9" s="243" t="s">
        <v>568</v>
      </c>
      <c r="C9" s="243" t="s">
        <v>168</v>
      </c>
      <c r="D9" s="236" t="s">
        <v>90</v>
      </c>
      <c r="E9" s="236" t="s">
        <v>103</v>
      </c>
      <c r="F9" s="236"/>
      <c r="G9" s="236" t="s">
        <v>100</v>
      </c>
      <c r="H9" s="242"/>
      <c r="I9" s="237">
        <v>42706</v>
      </c>
      <c r="J9" s="236">
        <v>6</v>
      </c>
      <c r="K9" s="237">
        <f t="shared" si="0"/>
        <v>42887</v>
      </c>
      <c r="L9" s="240">
        <v>0</v>
      </c>
      <c r="M9" s="236" t="str">
        <f t="shared" ca="1" si="1"/>
        <v>Green</v>
      </c>
      <c r="N9" s="379" t="s">
        <v>341</v>
      </c>
      <c r="O9" s="263">
        <f>VLOOKUP($A9,'Tracker Sheet'!$A$3:$BQ$40,58,FALSE)</f>
        <v>135000</v>
      </c>
      <c r="P9" s="263">
        <f>VLOOKUP($A9,'Tracker Sheet'!$A$3:$BQ$40,59,FALSE)</f>
        <v>135000</v>
      </c>
      <c r="Q9" s="263">
        <f>VLOOKUP($A9,'Tracker Sheet'!$A$3:$BQ$40,60,FALSE)</f>
        <v>0</v>
      </c>
      <c r="R9" s="263">
        <f>VLOOKUP($A9,'Tracker Sheet'!$A$3:$BQ$40,61,FALSE)</f>
        <v>135000</v>
      </c>
      <c r="S9" s="263">
        <f>VLOOKUP($A9,'Tracker Sheet'!$A$3:$BQ$40,62,FALSE)</f>
        <v>0</v>
      </c>
    </row>
    <row r="10" spans="1:19" ht="34.5" thickBot="1" x14ac:dyDescent="0.25">
      <c r="A10" s="242" t="s">
        <v>255</v>
      </c>
      <c r="B10" s="243" t="s">
        <v>256</v>
      </c>
      <c r="C10" s="243" t="s">
        <v>293</v>
      </c>
      <c r="D10" s="236" t="s">
        <v>225</v>
      </c>
      <c r="E10" s="236" t="s">
        <v>107</v>
      </c>
      <c r="F10" s="236"/>
      <c r="G10" s="236" t="s">
        <v>99</v>
      </c>
      <c r="H10" s="242"/>
      <c r="I10" s="237">
        <v>42552</v>
      </c>
      <c r="J10" s="236">
        <v>0</v>
      </c>
      <c r="K10" s="237">
        <f t="shared" si="0"/>
        <v>42551</v>
      </c>
      <c r="L10" s="240">
        <v>0</v>
      </c>
      <c r="M10" s="236" t="str">
        <f t="shared" ca="1" si="1"/>
        <v>Green</v>
      </c>
      <c r="N10" s="379" t="s">
        <v>339</v>
      </c>
      <c r="O10" s="263" t="e">
        <f>VLOOKUP($A10,'Tracker Sheet'!$A$3:$BQ$40,58,FALSE)</f>
        <v>#N/A</v>
      </c>
      <c r="P10" s="263" t="e">
        <f>VLOOKUP($A10,'Tracker Sheet'!$A$3:$BQ$40,59,FALSE)</f>
        <v>#N/A</v>
      </c>
      <c r="Q10" s="263" t="e">
        <f>VLOOKUP($A10,'Tracker Sheet'!$A$3:$BQ$40,60,FALSE)</f>
        <v>#N/A</v>
      </c>
      <c r="R10" s="263" t="e">
        <f>VLOOKUP($A10,'Tracker Sheet'!$A$3:$BQ$40,61,FALSE)</f>
        <v>#N/A</v>
      </c>
      <c r="S10" s="263" t="e">
        <f>VLOOKUP($A10,'Tracker Sheet'!$A$3:$BQ$40,62,FALSE)</f>
        <v>#N/A</v>
      </c>
    </row>
    <row r="11" spans="1:19" ht="34.5" thickBot="1" x14ac:dyDescent="0.25">
      <c r="A11" s="242" t="s">
        <v>124</v>
      </c>
      <c r="B11" s="243" t="s">
        <v>125</v>
      </c>
      <c r="C11" s="243" t="s">
        <v>126</v>
      </c>
      <c r="D11" s="236" t="s">
        <v>94</v>
      </c>
      <c r="E11" s="236" t="s">
        <v>264</v>
      </c>
      <c r="F11" s="236"/>
      <c r="G11" s="236" t="s">
        <v>99</v>
      </c>
      <c r="H11" s="242"/>
      <c r="I11" s="237">
        <v>42604</v>
      </c>
      <c r="J11" s="236">
        <v>12</v>
      </c>
      <c r="K11" s="237">
        <f>IF(J11="","",DATE(YEAR(I11),MONTH(I11)+J11,DAY(I11)))</f>
        <v>42969</v>
      </c>
      <c r="L11" s="240">
        <v>2439.12</v>
      </c>
      <c r="M11" s="236" t="str">
        <f t="shared" ca="1" si="1"/>
        <v>Green</v>
      </c>
      <c r="N11" s="379" t="s">
        <v>341</v>
      </c>
      <c r="O11" s="263">
        <v>114918</v>
      </c>
      <c r="P11" s="263">
        <v>104215</v>
      </c>
      <c r="Q11" s="263">
        <f>VLOOKUP(A11,Finance!$A$3:$J$45,10,FALSE)</f>
        <v>102415</v>
      </c>
      <c r="R11" s="263">
        <v>50433</v>
      </c>
      <c r="S11" s="263">
        <v>104215</v>
      </c>
    </row>
    <row r="12" spans="1:19" ht="34.5" thickBot="1" x14ac:dyDescent="0.25">
      <c r="A12" s="242" t="s">
        <v>312</v>
      </c>
      <c r="B12" s="243"/>
      <c r="C12" s="243" t="s">
        <v>180</v>
      </c>
      <c r="D12" s="236" t="s">
        <v>92</v>
      </c>
      <c r="E12" s="236" t="s">
        <v>104</v>
      </c>
      <c r="F12" s="236"/>
      <c r="G12" s="236" t="s">
        <v>178</v>
      </c>
      <c r="H12" s="242"/>
      <c r="I12" s="237">
        <v>42613</v>
      </c>
      <c r="J12" s="236">
        <v>12</v>
      </c>
      <c r="K12" s="237">
        <f>IF(J12="","",DATE(YEAR(I12),MONTH(I12)+J12,DAY(I12)-1))</f>
        <v>42977</v>
      </c>
      <c r="L12" s="240"/>
      <c r="M12" s="236" t="str">
        <f t="shared" ca="1" si="1"/>
        <v>Green</v>
      </c>
      <c r="N12" s="379" t="s">
        <v>341</v>
      </c>
      <c r="O12" s="263">
        <f>VLOOKUP($A12,'Tracker Sheet'!$A$3:$BQ$40,58,FALSE)</f>
        <v>647000</v>
      </c>
      <c r="P12" s="263">
        <f>VLOOKUP($A12,'Tracker Sheet'!$A$3:$BQ$40,59,FALSE)</f>
        <v>479000</v>
      </c>
      <c r="Q12" s="263">
        <f>VLOOKUP($A12,'Tracker Sheet'!$A$3:$BQ$40,60,FALSE)</f>
        <v>0</v>
      </c>
      <c r="R12" s="263">
        <f>VLOOKUP($A12,'Tracker Sheet'!$A$3:$BQ$40,61,FALSE)</f>
        <v>0</v>
      </c>
      <c r="S12" s="263">
        <f>VLOOKUP($A12,'Tracker Sheet'!$A$3:$BQ$40,62,FALSE)</f>
        <v>0</v>
      </c>
    </row>
    <row r="13" spans="1:19" ht="79.5" thickBot="1" x14ac:dyDescent="0.25">
      <c r="A13" s="242" t="s">
        <v>322</v>
      </c>
      <c r="B13" s="243" t="s">
        <v>323</v>
      </c>
      <c r="C13" s="243" t="s">
        <v>354</v>
      </c>
      <c r="D13" s="236" t="s">
        <v>91</v>
      </c>
      <c r="E13" s="236" t="s">
        <v>105</v>
      </c>
      <c r="F13" s="236"/>
      <c r="G13" s="236" t="s">
        <v>100</v>
      </c>
      <c r="H13" s="242"/>
      <c r="I13" s="237">
        <v>42619</v>
      </c>
      <c r="J13" s="236">
        <v>12</v>
      </c>
      <c r="K13" s="237">
        <f>IF(J13="","",DATE(YEAR(I13),MONTH(I13)+J13,DAY(I13)-1))</f>
        <v>42983</v>
      </c>
      <c r="L13" s="240">
        <v>1062.5</v>
      </c>
      <c r="M13" s="236" t="str">
        <f t="shared" ca="1" si="1"/>
        <v>Green</v>
      </c>
      <c r="N13" s="379" t="s">
        <v>341</v>
      </c>
      <c r="O13" s="263" t="e">
        <f>VLOOKUP($A13,'Tracker Sheet'!$A$3:$BQ$40,58,FALSE)</f>
        <v>#N/A</v>
      </c>
      <c r="P13" s="263" t="e">
        <f>VLOOKUP($A13,'Tracker Sheet'!$A$3:$BQ$40,59,FALSE)</f>
        <v>#N/A</v>
      </c>
      <c r="Q13" s="263" t="e">
        <f>VLOOKUP($A13,'Tracker Sheet'!$A$3:$BQ$40,60,FALSE)</f>
        <v>#N/A</v>
      </c>
      <c r="R13" s="263" t="e">
        <f>VLOOKUP($A13,'Tracker Sheet'!$A$3:$BQ$40,61,FALSE)</f>
        <v>#N/A</v>
      </c>
      <c r="S13" s="263" t="e">
        <f>VLOOKUP($A13,'Tracker Sheet'!$A$3:$BQ$40,62,FALSE)</f>
        <v>#N/A</v>
      </c>
    </row>
    <row r="14" spans="1:19" ht="34.5" thickBot="1" x14ac:dyDescent="0.25">
      <c r="A14" s="242" t="s">
        <v>161</v>
      </c>
      <c r="B14" s="243" t="s">
        <v>159</v>
      </c>
      <c r="C14" s="243" t="s">
        <v>162</v>
      </c>
      <c r="D14" s="236" t="s">
        <v>84</v>
      </c>
      <c r="E14" s="236" t="s">
        <v>102</v>
      </c>
      <c r="F14" s="236"/>
      <c r="G14" s="236" t="s">
        <v>99</v>
      </c>
      <c r="H14" s="242"/>
      <c r="I14" s="237">
        <v>42685</v>
      </c>
      <c r="J14" s="236">
        <v>12</v>
      </c>
      <c r="K14" s="237">
        <f>IF(J14="","",DATE(YEAR(I14),MONTH(I14)+J14,DAY(I14)-1))</f>
        <v>43049</v>
      </c>
      <c r="L14" s="240">
        <v>2935.65</v>
      </c>
      <c r="M14" s="236" t="str">
        <f t="shared" ca="1" si="1"/>
        <v>Green</v>
      </c>
      <c r="N14" s="379" t="s">
        <v>341</v>
      </c>
      <c r="O14" s="263">
        <v>140000</v>
      </c>
      <c r="P14" s="263">
        <v>125711.65</v>
      </c>
      <c r="Q14" s="263">
        <v>131096</v>
      </c>
      <c r="R14" s="263">
        <v>140000</v>
      </c>
      <c r="S14" s="263"/>
    </row>
    <row r="15" spans="1:19" ht="57" thickBot="1" x14ac:dyDescent="0.25">
      <c r="A15" s="242" t="s">
        <v>560</v>
      </c>
      <c r="B15" s="243" t="s">
        <v>171</v>
      </c>
      <c r="C15" s="243" t="s">
        <v>172</v>
      </c>
      <c r="D15" s="236" t="s">
        <v>86</v>
      </c>
      <c r="E15" s="236" t="s">
        <v>106</v>
      </c>
      <c r="F15" s="236"/>
      <c r="G15" s="236" t="s">
        <v>100</v>
      </c>
      <c r="H15" s="242"/>
      <c r="I15" s="237">
        <v>42692</v>
      </c>
      <c r="J15" s="236">
        <v>12</v>
      </c>
      <c r="K15" s="237">
        <f>IF(J15="","",DATE(YEAR(I15),MONTH(I15)+J15,DAY(I15)-1))</f>
        <v>43056</v>
      </c>
      <c r="L15" s="240"/>
      <c r="M15" s="236" t="str">
        <f t="shared" ca="1" si="1"/>
        <v>Green</v>
      </c>
      <c r="N15" s="379" t="s">
        <v>341</v>
      </c>
      <c r="O15" s="263">
        <f>VLOOKUP($A15,'Tracker Sheet'!$A$3:$BQ$40,58,FALSE)</f>
        <v>174000</v>
      </c>
      <c r="P15" s="263">
        <f>VLOOKUP($A15,'Tracker Sheet'!$A$3:$BQ$40,59,FALSE)</f>
        <v>174000</v>
      </c>
      <c r="Q15" s="263">
        <f>VLOOKUP($A15,'Tracker Sheet'!$A$3:$BQ$40,60,FALSE)</f>
        <v>0</v>
      </c>
      <c r="R15" s="263">
        <f>VLOOKUP($A15,'Tracker Sheet'!$A$3:$BQ$40,61,FALSE)</f>
        <v>174000</v>
      </c>
      <c r="S15" s="263">
        <f>VLOOKUP($A15,'Tracker Sheet'!$A$3:$BQ$40,62,FALSE)</f>
        <v>0</v>
      </c>
    </row>
    <row r="16" spans="1:19" ht="34.5" thickBot="1" x14ac:dyDescent="0.25">
      <c r="A16" s="242" t="s">
        <v>158</v>
      </c>
      <c r="B16" s="243" t="s">
        <v>159</v>
      </c>
      <c r="C16" s="243" t="s">
        <v>160</v>
      </c>
      <c r="D16" s="236" t="s">
        <v>89</v>
      </c>
      <c r="E16" s="236" t="s">
        <v>101</v>
      </c>
      <c r="F16" s="236"/>
      <c r="G16" s="236" t="s">
        <v>99</v>
      </c>
      <c r="H16" s="242"/>
      <c r="I16" s="237">
        <v>42705</v>
      </c>
      <c r="J16" s="236">
        <v>12</v>
      </c>
      <c r="K16" s="237">
        <f>IF(J16="","",DATE(YEAR(I16),MONTH(I16)+J16,DAY(I16)))</f>
        <v>43070</v>
      </c>
      <c r="L16" s="240">
        <v>3428.63</v>
      </c>
      <c r="M16" s="240" t="str">
        <f t="shared" ca="1" si="1"/>
        <v>Green</v>
      </c>
      <c r="N16" s="379" t="s">
        <v>341</v>
      </c>
      <c r="O16" s="263">
        <f>VLOOKUP($A16,'Tracker Sheet'!$A$3:$BQ$40,58,FALSE)</f>
        <v>175000</v>
      </c>
      <c r="P16" s="263">
        <f>VLOOKUP($A16,'Tracker Sheet'!$A$3:$BQ$40,59,FALSE)</f>
        <v>175000</v>
      </c>
      <c r="Q16" s="263">
        <f>VLOOKUP($A16,'Tracker Sheet'!$A$3:$BQ$40,60,FALSE)</f>
        <v>126281</v>
      </c>
      <c r="R16" s="263">
        <f>VLOOKUP($A16,'Tracker Sheet'!$A$3:$BQ$40,61,FALSE)</f>
        <v>0</v>
      </c>
      <c r="S16" s="263">
        <f>VLOOKUP($A16,'Tracker Sheet'!$A$3:$BQ$40,62,FALSE)</f>
        <v>0</v>
      </c>
    </row>
    <row r="17" spans="1:19" ht="34.5" thickBot="1" x14ac:dyDescent="0.25">
      <c r="A17" s="244" t="s">
        <v>150</v>
      </c>
      <c r="B17" s="245" t="s">
        <v>151</v>
      </c>
      <c r="C17" s="245" t="s">
        <v>152</v>
      </c>
      <c r="D17" s="246" t="s">
        <v>93</v>
      </c>
      <c r="E17" s="246" t="s">
        <v>101</v>
      </c>
      <c r="F17" s="246" t="s">
        <v>601</v>
      </c>
      <c r="G17" s="246" t="s">
        <v>99</v>
      </c>
      <c r="H17" s="242"/>
      <c r="I17" s="237">
        <v>42716</v>
      </c>
      <c r="J17" s="236">
        <v>12</v>
      </c>
      <c r="K17" s="237">
        <f t="shared" ref="K17:K39" si="2">IF(J17="","",DATE(YEAR(I17),MONTH(I17)+J17,DAY(I17)-1))</f>
        <v>43080</v>
      </c>
      <c r="L17" s="240"/>
      <c r="M17" s="236" t="str">
        <f t="shared" ca="1" si="1"/>
        <v>Green</v>
      </c>
      <c r="N17" s="379" t="s">
        <v>341</v>
      </c>
      <c r="O17" s="374">
        <v>179311</v>
      </c>
      <c r="P17" s="374">
        <v>179311</v>
      </c>
      <c r="Q17" s="374">
        <v>124370</v>
      </c>
      <c r="R17" s="374"/>
      <c r="S17" s="374"/>
    </row>
    <row r="18" spans="1:19" ht="34.5" thickBot="1" x14ac:dyDescent="0.25">
      <c r="A18" s="242" t="s">
        <v>141</v>
      </c>
      <c r="B18" s="243" t="s">
        <v>142</v>
      </c>
      <c r="C18" s="243" t="s">
        <v>143</v>
      </c>
      <c r="D18" s="236" t="s">
        <v>92</v>
      </c>
      <c r="E18" s="236" t="s">
        <v>264</v>
      </c>
      <c r="F18" s="236" t="s">
        <v>600</v>
      </c>
      <c r="G18" s="236" t="s">
        <v>99</v>
      </c>
      <c r="H18" s="242"/>
      <c r="I18" s="237">
        <v>42720</v>
      </c>
      <c r="J18" s="236">
        <v>12</v>
      </c>
      <c r="K18" s="237">
        <f t="shared" si="2"/>
        <v>43084</v>
      </c>
      <c r="L18" s="240"/>
      <c r="M18" s="236" t="str">
        <f t="shared" ca="1" si="1"/>
        <v>Green</v>
      </c>
      <c r="N18" s="379" t="s">
        <v>341</v>
      </c>
      <c r="O18" s="375">
        <v>131343</v>
      </c>
      <c r="P18" s="375">
        <v>113674</v>
      </c>
      <c r="Q18" s="375">
        <v>96973</v>
      </c>
      <c r="R18" s="375">
        <v>81430</v>
      </c>
      <c r="S18" s="375"/>
    </row>
    <row r="19" spans="1:19" ht="15.75" hidden="1" outlineLevel="1" thickBot="1" x14ac:dyDescent="0.25">
      <c r="A19" s="242"/>
      <c r="B19" s="243"/>
      <c r="C19" s="243"/>
      <c r="D19" s="236"/>
      <c r="E19" s="236"/>
      <c r="F19" s="236"/>
      <c r="G19" s="236"/>
      <c r="H19" s="242"/>
      <c r="I19" s="237"/>
      <c r="J19" s="236"/>
      <c r="K19" s="237" t="str">
        <f t="shared" si="2"/>
        <v/>
      </c>
      <c r="L19" s="240"/>
      <c r="M19" s="236" t="str">
        <f t="shared" ca="1" si="1"/>
        <v/>
      </c>
      <c r="N19" s="373"/>
      <c r="O19" s="375"/>
      <c r="P19" s="375"/>
      <c r="Q19" s="375"/>
      <c r="R19" s="375"/>
      <c r="S19" s="375"/>
    </row>
    <row r="20" spans="1:19" ht="15.75" hidden="1" outlineLevel="1" thickBot="1" x14ac:dyDescent="0.25">
      <c r="A20" s="242"/>
      <c r="B20" s="243"/>
      <c r="C20" s="243"/>
      <c r="D20" s="236"/>
      <c r="E20" s="236"/>
      <c r="F20" s="236"/>
      <c r="G20" s="236"/>
      <c r="H20" s="242"/>
      <c r="I20" s="237"/>
      <c r="J20" s="236"/>
      <c r="K20" s="237" t="str">
        <f t="shared" si="2"/>
        <v/>
      </c>
      <c r="L20" s="240"/>
      <c r="M20" s="236" t="str">
        <f t="shared" ca="1" si="1"/>
        <v/>
      </c>
      <c r="N20" s="373"/>
      <c r="O20" s="375"/>
      <c r="P20" s="375"/>
      <c r="Q20" s="375"/>
      <c r="R20" s="375"/>
      <c r="S20" s="375"/>
    </row>
    <row r="21" spans="1:19" ht="15.75" hidden="1" outlineLevel="1" thickBot="1" x14ac:dyDescent="0.25">
      <c r="A21" s="242"/>
      <c r="B21" s="243"/>
      <c r="C21" s="243"/>
      <c r="D21" s="236"/>
      <c r="E21" s="236"/>
      <c r="F21" s="236"/>
      <c r="G21" s="236"/>
      <c r="H21" s="242"/>
      <c r="I21" s="237"/>
      <c r="J21" s="236"/>
      <c r="K21" s="237" t="str">
        <f t="shared" si="2"/>
        <v/>
      </c>
      <c r="L21" s="240"/>
      <c r="M21" s="236" t="str">
        <f t="shared" ca="1" si="1"/>
        <v/>
      </c>
      <c r="N21" s="373"/>
      <c r="O21" s="375"/>
      <c r="P21" s="375"/>
      <c r="Q21" s="375"/>
      <c r="R21" s="375"/>
      <c r="S21" s="375"/>
    </row>
    <row r="22" spans="1:19" ht="15.75" hidden="1" outlineLevel="1" thickBot="1" x14ac:dyDescent="0.25">
      <c r="A22" s="242"/>
      <c r="B22" s="243"/>
      <c r="C22" s="243"/>
      <c r="D22" s="236"/>
      <c r="E22" s="236"/>
      <c r="F22" s="236"/>
      <c r="G22" s="236"/>
      <c r="H22" s="242"/>
      <c r="I22" s="237"/>
      <c r="J22" s="236"/>
      <c r="K22" s="237" t="str">
        <f t="shared" si="2"/>
        <v/>
      </c>
      <c r="L22" s="240"/>
      <c r="M22" s="236" t="str">
        <f t="shared" ca="1" si="1"/>
        <v/>
      </c>
      <c r="N22" s="373"/>
      <c r="O22" s="375"/>
      <c r="P22" s="375"/>
      <c r="Q22" s="375"/>
      <c r="R22" s="375"/>
      <c r="S22" s="375"/>
    </row>
    <row r="23" spans="1:19" ht="15.75" hidden="1" outlineLevel="1" thickBot="1" x14ac:dyDescent="0.25">
      <c r="A23" s="242"/>
      <c r="B23" s="243"/>
      <c r="C23" s="243"/>
      <c r="D23" s="236"/>
      <c r="E23" s="236"/>
      <c r="F23" s="236"/>
      <c r="G23" s="236"/>
      <c r="H23" s="242"/>
      <c r="I23" s="237"/>
      <c r="J23" s="236"/>
      <c r="K23" s="237" t="str">
        <f t="shared" si="2"/>
        <v/>
      </c>
      <c r="L23" s="240"/>
      <c r="M23" s="236" t="str">
        <f t="shared" ca="1" si="1"/>
        <v/>
      </c>
      <c r="N23" s="373"/>
      <c r="O23" s="375"/>
      <c r="P23" s="375"/>
      <c r="Q23" s="375"/>
      <c r="R23" s="375"/>
      <c r="S23" s="375"/>
    </row>
    <row r="24" spans="1:19" ht="15.75" hidden="1" outlineLevel="1" thickBot="1" x14ac:dyDescent="0.25">
      <c r="A24" s="242"/>
      <c r="B24" s="243"/>
      <c r="C24" s="243"/>
      <c r="D24" s="236"/>
      <c r="E24" s="236"/>
      <c r="F24" s="236"/>
      <c r="G24" s="236"/>
      <c r="H24" s="242"/>
      <c r="I24" s="237"/>
      <c r="J24" s="236"/>
      <c r="K24" s="237" t="str">
        <f t="shared" si="2"/>
        <v/>
      </c>
      <c r="L24" s="240"/>
      <c r="M24" s="236" t="str">
        <f t="shared" ca="1" si="1"/>
        <v/>
      </c>
      <c r="N24" s="373"/>
      <c r="O24" s="375"/>
      <c r="P24" s="375"/>
      <c r="Q24" s="375"/>
      <c r="R24" s="375"/>
      <c r="S24" s="375"/>
    </row>
    <row r="25" spans="1:19" ht="15.75" hidden="1" outlineLevel="1" thickBot="1" x14ac:dyDescent="0.25">
      <c r="A25" s="242"/>
      <c r="B25" s="243"/>
      <c r="C25" s="243"/>
      <c r="D25" s="236"/>
      <c r="E25" s="236"/>
      <c r="F25" s="236"/>
      <c r="G25" s="236"/>
      <c r="H25" s="242"/>
      <c r="I25" s="237"/>
      <c r="J25" s="236"/>
      <c r="K25" s="237" t="str">
        <f t="shared" si="2"/>
        <v/>
      </c>
      <c r="L25" s="240"/>
      <c r="M25" s="236" t="str">
        <f t="shared" ca="1" si="1"/>
        <v/>
      </c>
      <c r="N25" s="373"/>
      <c r="O25" s="375"/>
      <c r="P25" s="375"/>
      <c r="Q25" s="375"/>
      <c r="R25" s="375"/>
      <c r="S25" s="375"/>
    </row>
    <row r="26" spans="1:19" ht="15.75" hidden="1" outlineLevel="1" thickBot="1" x14ac:dyDescent="0.25">
      <c r="A26" s="242"/>
      <c r="B26" s="243"/>
      <c r="C26" s="243"/>
      <c r="D26" s="236"/>
      <c r="E26" s="236"/>
      <c r="F26" s="236"/>
      <c r="G26" s="236"/>
      <c r="H26" s="242"/>
      <c r="I26" s="237"/>
      <c r="J26" s="236"/>
      <c r="K26" s="237" t="str">
        <f t="shared" si="2"/>
        <v/>
      </c>
      <c r="L26" s="240"/>
      <c r="M26" s="236" t="str">
        <f t="shared" ca="1" si="1"/>
        <v/>
      </c>
      <c r="N26" s="373"/>
      <c r="O26" s="375"/>
      <c r="P26" s="375"/>
      <c r="Q26" s="375"/>
      <c r="R26" s="375"/>
      <c r="S26" s="375"/>
    </row>
    <row r="27" spans="1:19" ht="15.75" hidden="1" outlineLevel="1" thickBot="1" x14ac:dyDescent="0.25">
      <c r="A27" s="242"/>
      <c r="B27" s="243"/>
      <c r="C27" s="243"/>
      <c r="D27" s="236"/>
      <c r="E27" s="236"/>
      <c r="F27" s="236"/>
      <c r="G27" s="236"/>
      <c r="H27" s="242"/>
      <c r="I27" s="237"/>
      <c r="J27" s="236"/>
      <c r="K27" s="237" t="str">
        <f t="shared" si="2"/>
        <v/>
      </c>
      <c r="L27" s="240"/>
      <c r="M27" s="236" t="str">
        <f t="shared" ca="1" si="1"/>
        <v/>
      </c>
      <c r="N27" s="373"/>
      <c r="O27" s="375"/>
      <c r="P27" s="375"/>
      <c r="Q27" s="375"/>
      <c r="R27" s="375"/>
      <c r="S27" s="375"/>
    </row>
    <row r="28" spans="1:19" ht="15.75" hidden="1" outlineLevel="1" thickBot="1" x14ac:dyDescent="0.25">
      <c r="A28" s="242"/>
      <c r="B28" s="243"/>
      <c r="C28" s="243"/>
      <c r="D28" s="236"/>
      <c r="E28" s="236"/>
      <c r="F28" s="236"/>
      <c r="G28" s="236"/>
      <c r="H28" s="242"/>
      <c r="I28" s="237"/>
      <c r="J28" s="236"/>
      <c r="K28" s="237" t="str">
        <f t="shared" si="2"/>
        <v/>
      </c>
      <c r="L28" s="240"/>
      <c r="M28" s="236" t="str">
        <f t="shared" ca="1" si="1"/>
        <v/>
      </c>
      <c r="N28" s="373"/>
      <c r="O28" s="375"/>
      <c r="P28" s="375"/>
      <c r="Q28" s="375"/>
      <c r="R28" s="375"/>
      <c r="S28" s="375"/>
    </row>
    <row r="29" spans="1:19" ht="15.75" hidden="1" outlineLevel="1" thickBot="1" x14ac:dyDescent="0.25">
      <c r="A29" s="242"/>
      <c r="B29" s="243"/>
      <c r="C29" s="243"/>
      <c r="D29" s="236"/>
      <c r="E29" s="236"/>
      <c r="F29" s="236"/>
      <c r="G29" s="236"/>
      <c r="H29" s="242"/>
      <c r="I29" s="237"/>
      <c r="J29" s="236"/>
      <c r="K29" s="237" t="str">
        <f t="shared" si="2"/>
        <v/>
      </c>
      <c r="L29" s="240"/>
      <c r="M29" s="236" t="str">
        <f t="shared" ca="1" si="1"/>
        <v/>
      </c>
      <c r="N29" s="373"/>
      <c r="O29" s="375"/>
      <c r="P29" s="375"/>
      <c r="Q29" s="375"/>
      <c r="R29" s="375"/>
      <c r="S29" s="375"/>
    </row>
    <row r="30" spans="1:19" ht="15.75" hidden="1" outlineLevel="1" thickBot="1" x14ac:dyDescent="0.25">
      <c r="A30" s="242"/>
      <c r="B30" s="243"/>
      <c r="C30" s="243"/>
      <c r="D30" s="236"/>
      <c r="E30" s="236"/>
      <c r="F30" s="236"/>
      <c r="G30" s="236"/>
      <c r="H30" s="242"/>
      <c r="I30" s="237"/>
      <c r="J30" s="236"/>
      <c r="K30" s="237" t="str">
        <f t="shared" si="2"/>
        <v/>
      </c>
      <c r="L30" s="240"/>
      <c r="M30" s="236" t="str">
        <f t="shared" ca="1" si="1"/>
        <v/>
      </c>
      <c r="N30" s="373"/>
      <c r="O30" s="375"/>
      <c r="P30" s="375"/>
      <c r="Q30" s="375"/>
      <c r="R30" s="375"/>
      <c r="S30" s="375"/>
    </row>
    <row r="31" spans="1:19" ht="15.75" hidden="1" outlineLevel="1" thickBot="1" x14ac:dyDescent="0.25">
      <c r="A31" s="242"/>
      <c r="B31" s="243"/>
      <c r="C31" s="243"/>
      <c r="D31" s="236"/>
      <c r="E31" s="236"/>
      <c r="F31" s="236"/>
      <c r="G31" s="236"/>
      <c r="H31" s="242"/>
      <c r="I31" s="237"/>
      <c r="J31" s="236"/>
      <c r="K31" s="237" t="str">
        <f t="shared" si="2"/>
        <v/>
      </c>
      <c r="L31" s="240"/>
      <c r="M31" s="236" t="str">
        <f t="shared" ca="1" si="1"/>
        <v/>
      </c>
      <c r="N31" s="373"/>
      <c r="O31" s="375"/>
      <c r="P31" s="375"/>
      <c r="Q31" s="375"/>
      <c r="R31" s="375"/>
      <c r="S31" s="375"/>
    </row>
    <row r="32" spans="1:19" ht="15.75" hidden="1" outlineLevel="1" thickBot="1" x14ac:dyDescent="0.25">
      <c r="A32" s="242"/>
      <c r="B32" s="243"/>
      <c r="C32" s="243"/>
      <c r="D32" s="236"/>
      <c r="E32" s="236"/>
      <c r="F32" s="236"/>
      <c r="G32" s="236"/>
      <c r="H32" s="242"/>
      <c r="I32" s="237"/>
      <c r="J32" s="236"/>
      <c r="K32" s="237" t="str">
        <f t="shared" si="2"/>
        <v/>
      </c>
      <c r="L32" s="240"/>
      <c r="M32" s="236" t="str">
        <f t="shared" ca="1" si="1"/>
        <v/>
      </c>
      <c r="N32" s="373"/>
      <c r="O32" s="375"/>
      <c r="P32" s="375"/>
      <c r="Q32" s="375"/>
      <c r="R32" s="375"/>
      <c r="S32" s="375"/>
    </row>
    <row r="33" spans="1:19" ht="15.75" hidden="1" outlineLevel="1" thickBot="1" x14ac:dyDescent="0.25">
      <c r="A33" s="242"/>
      <c r="B33" s="243"/>
      <c r="C33" s="243"/>
      <c r="D33" s="236"/>
      <c r="E33" s="236"/>
      <c r="F33" s="236"/>
      <c r="G33" s="236"/>
      <c r="H33" s="242"/>
      <c r="I33" s="237"/>
      <c r="J33" s="236"/>
      <c r="K33" s="237" t="str">
        <f t="shared" si="2"/>
        <v/>
      </c>
      <c r="L33" s="240"/>
      <c r="M33" s="236" t="str">
        <f t="shared" ca="1" si="1"/>
        <v/>
      </c>
      <c r="N33" s="373"/>
      <c r="O33" s="375"/>
      <c r="P33" s="375"/>
      <c r="Q33" s="375"/>
      <c r="R33" s="375"/>
      <c r="S33" s="375"/>
    </row>
    <row r="34" spans="1:19" ht="15.75" hidden="1" outlineLevel="1" thickBot="1" x14ac:dyDescent="0.25">
      <c r="A34" s="242"/>
      <c r="B34" s="243"/>
      <c r="C34" s="243"/>
      <c r="D34" s="236"/>
      <c r="E34" s="236"/>
      <c r="F34" s="236"/>
      <c r="G34" s="236"/>
      <c r="H34" s="242"/>
      <c r="I34" s="237"/>
      <c r="J34" s="236"/>
      <c r="K34" s="237" t="str">
        <f t="shared" si="2"/>
        <v/>
      </c>
      <c r="L34" s="240"/>
      <c r="M34" s="236" t="str">
        <f t="shared" ca="1" si="1"/>
        <v/>
      </c>
      <c r="N34" s="373"/>
      <c r="O34" s="375"/>
      <c r="P34" s="375"/>
      <c r="Q34" s="375"/>
      <c r="R34" s="375"/>
      <c r="S34" s="375"/>
    </row>
    <row r="35" spans="1:19" ht="15.75" hidden="1" outlineLevel="1" thickBot="1" x14ac:dyDescent="0.25">
      <c r="A35" s="242"/>
      <c r="B35" s="243"/>
      <c r="C35" s="243"/>
      <c r="D35" s="236"/>
      <c r="E35" s="236"/>
      <c r="F35" s="236"/>
      <c r="G35" s="236"/>
      <c r="H35" s="242"/>
      <c r="I35" s="237"/>
      <c r="J35" s="236"/>
      <c r="K35" s="237" t="str">
        <f t="shared" si="2"/>
        <v/>
      </c>
      <c r="L35" s="240"/>
      <c r="M35" s="236" t="str">
        <f t="shared" ca="1" si="1"/>
        <v/>
      </c>
      <c r="N35" s="373"/>
      <c r="O35" s="375"/>
      <c r="P35" s="375"/>
      <c r="Q35" s="375"/>
      <c r="R35" s="375"/>
      <c r="S35" s="375"/>
    </row>
    <row r="36" spans="1:19" ht="15.75" hidden="1" outlineLevel="1" thickBot="1" x14ac:dyDescent="0.25">
      <c r="A36" s="242"/>
      <c r="B36" s="243"/>
      <c r="C36" s="243"/>
      <c r="D36" s="236"/>
      <c r="E36" s="236"/>
      <c r="F36" s="236"/>
      <c r="G36" s="236"/>
      <c r="H36" s="242"/>
      <c r="I36" s="237"/>
      <c r="J36" s="236"/>
      <c r="K36" s="237" t="str">
        <f t="shared" si="2"/>
        <v/>
      </c>
      <c r="L36" s="240"/>
      <c r="M36" s="236" t="str">
        <f t="shared" ca="1" si="1"/>
        <v/>
      </c>
      <c r="N36" s="373"/>
      <c r="O36" s="375"/>
      <c r="P36" s="375"/>
      <c r="Q36" s="375"/>
      <c r="R36" s="375"/>
      <c r="S36" s="375"/>
    </row>
    <row r="37" spans="1:19" ht="15.75" hidden="1" outlineLevel="1" thickBot="1" x14ac:dyDescent="0.25">
      <c r="A37" s="242"/>
      <c r="B37" s="243"/>
      <c r="C37" s="243"/>
      <c r="D37" s="236"/>
      <c r="E37" s="236"/>
      <c r="F37" s="236"/>
      <c r="G37" s="236"/>
      <c r="H37" s="242"/>
      <c r="I37" s="237"/>
      <c r="J37" s="236"/>
      <c r="K37" s="237" t="str">
        <f t="shared" si="2"/>
        <v/>
      </c>
      <c r="L37" s="240"/>
      <c r="M37" s="236" t="str">
        <f t="shared" ca="1" si="1"/>
        <v/>
      </c>
      <c r="N37" s="373"/>
      <c r="O37" s="375"/>
      <c r="P37" s="375"/>
      <c r="Q37" s="375"/>
      <c r="R37" s="375"/>
      <c r="S37" s="375"/>
    </row>
    <row r="38" spans="1:19" ht="15.75" hidden="1" outlineLevel="1" thickBot="1" x14ac:dyDescent="0.25">
      <c r="A38" s="242"/>
      <c r="B38" s="243"/>
      <c r="C38" s="243"/>
      <c r="D38" s="236"/>
      <c r="E38" s="236"/>
      <c r="F38" s="236"/>
      <c r="G38" s="236"/>
      <c r="H38" s="242"/>
      <c r="I38" s="237"/>
      <c r="J38" s="236"/>
      <c r="K38" s="237" t="str">
        <f t="shared" si="2"/>
        <v/>
      </c>
      <c r="L38" s="240"/>
      <c r="M38" s="236" t="str">
        <f t="shared" ca="1" si="1"/>
        <v/>
      </c>
      <c r="N38" s="373"/>
      <c r="O38" s="375"/>
      <c r="P38" s="375"/>
      <c r="Q38" s="375"/>
      <c r="R38" s="375"/>
      <c r="S38" s="375"/>
    </row>
    <row r="39" spans="1:19" ht="15.75" hidden="1" outlineLevel="1" thickBot="1" x14ac:dyDescent="0.25">
      <c r="A39" s="242"/>
      <c r="B39" s="243"/>
      <c r="C39" s="243"/>
      <c r="D39" s="236"/>
      <c r="E39" s="236"/>
      <c r="F39" s="236"/>
      <c r="G39" s="236"/>
      <c r="H39" s="242"/>
      <c r="I39" s="237"/>
      <c r="J39" s="236"/>
      <c r="K39" s="237" t="str">
        <f t="shared" si="2"/>
        <v/>
      </c>
      <c r="L39" s="240"/>
      <c r="M39" s="236" t="str">
        <f t="shared" ca="1" si="1"/>
        <v/>
      </c>
      <c r="N39" s="373"/>
      <c r="O39" s="375"/>
      <c r="P39" s="375"/>
      <c r="Q39" s="375"/>
      <c r="R39" s="375"/>
      <c r="S39" s="375"/>
    </row>
    <row r="40" spans="1:19" ht="20.25" customHeight="1" collapsed="1" thickBot="1" x14ac:dyDescent="0.25">
      <c r="A40" s="238"/>
      <c r="B40" s="376"/>
      <c r="C40" s="376"/>
      <c r="D40" s="238"/>
      <c r="E40" s="238"/>
      <c r="F40" s="238"/>
      <c r="G40" s="238"/>
      <c r="H40" s="410"/>
      <c r="I40" s="411"/>
      <c r="J40" s="412"/>
      <c r="K40" s="384" t="s">
        <v>200</v>
      </c>
      <c r="L40" s="383">
        <f>SUM(L3:L39)</f>
        <v>9865.9000000000015</v>
      </c>
      <c r="M40" s="238" t="str">
        <f t="shared" ca="1" si="1"/>
        <v/>
      </c>
      <c r="N40" s="382"/>
      <c r="O40" s="241"/>
      <c r="P40" s="241"/>
      <c r="Q40" s="241"/>
      <c r="R40" s="241"/>
      <c r="S40" s="241"/>
    </row>
    <row r="41" spans="1:19" x14ac:dyDescent="0.2">
      <c r="A41" s="238"/>
      <c r="B41" s="376"/>
      <c r="C41" s="376"/>
      <c r="D41" s="238"/>
      <c r="E41" s="238"/>
      <c r="F41" s="238"/>
      <c r="G41" s="238"/>
      <c r="H41" s="238"/>
      <c r="I41" s="377"/>
      <c r="J41" s="238"/>
      <c r="K41" s="377" t="str">
        <f>IF(J41="","",DATE(YEAR(I41),MONTH(I41)+J41,DAY(I41)-1))</f>
        <v/>
      </c>
      <c r="L41" s="241"/>
      <c r="M41" s="238" t="str">
        <f t="shared" ca="1" si="1"/>
        <v/>
      </c>
      <c r="N41" s="238"/>
      <c r="O41" s="241"/>
      <c r="P41" s="241"/>
      <c r="Q41" s="241"/>
      <c r="R41" s="241"/>
      <c r="S41" s="241"/>
    </row>
    <row r="42" spans="1:19" x14ac:dyDescent="0.2">
      <c r="A42" s="238"/>
      <c r="B42" s="376"/>
      <c r="C42" s="376"/>
      <c r="D42" s="238"/>
      <c r="E42" s="238"/>
      <c r="F42" s="238"/>
      <c r="G42" s="238"/>
      <c r="H42" s="238"/>
      <c r="I42" s="377"/>
      <c r="J42" s="238"/>
      <c r="K42" s="380"/>
      <c r="L42" s="381"/>
      <c r="M42" s="238" t="str">
        <f t="shared" ca="1" si="1"/>
        <v/>
      </c>
      <c r="N42" s="238"/>
      <c r="O42" s="241"/>
      <c r="P42" s="241"/>
      <c r="Q42" s="241"/>
      <c r="R42" s="241"/>
      <c r="S42" s="241"/>
    </row>
  </sheetData>
  <sheetProtection password="CC3D" sheet="1" objects="1" scenarios="1" autoFilter="0"/>
  <protectedRanges>
    <protectedRange sqref="A5:G42" name="Range18"/>
    <protectedRange sqref="A3:G3" name="Range18_3"/>
    <protectedRange sqref="A4:J4 H3:J3 H5:J42 M3:N42 L3:L39 L41:L42" name="Range18_2"/>
  </protectedRanges>
  <autoFilter ref="A2:S43">
    <sortState ref="A3:S42">
      <sortCondition ref="K2:K43"/>
    </sortState>
  </autoFilter>
  <dataConsolidate/>
  <mergeCells count="4">
    <mergeCell ref="O1:S1"/>
    <mergeCell ref="A1:G1"/>
    <mergeCell ref="H1:N1"/>
    <mergeCell ref="H40:J40"/>
  </mergeCells>
  <conditionalFormatting sqref="N3:N42">
    <cfRule type="cellIs" dxfId="68" priority="1" operator="equal">
      <formula>"YES"</formula>
    </cfRule>
    <cfRule type="expression" dxfId="67" priority="2">
      <formula>M3="Green"</formula>
    </cfRule>
    <cfRule type="expression" dxfId="66" priority="3">
      <formula>M3="Red"</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'Project Managers &amp; FacOps Reps'!$A$1:$A$20</xm:f>
          </x14:formula1>
          <xm:sqref>F3:F4 F6:F26 E27:F42 E3:E26</xm:sqref>
        </x14:dataValidation>
        <x14:dataValidation type="list" allowBlank="1" showInputMessage="1" showErrorMessage="1">
          <x14:formula1>
            <xm:f>Sponsors!$A$1:$A$19</xm:f>
          </x14:formula1>
          <xm:sqref>G3:G42</xm:sqref>
        </x14:dataValidation>
        <x14:dataValidation type="list" allowBlank="1" showInputMessage="1" showErrorMessage="1">
          <x14:formula1>
            <xm:f>'Head Office Buildings'!$A$1:$A$96</xm:f>
          </x14:formula1>
          <xm:sqref>D3:D42</xm:sqref>
        </x14:dataValidation>
        <x14:dataValidation type="list" allowBlank="1" showInputMessage="1" showErrorMessage="1">
          <x14:formula1>
            <xm:f>'Rag Coding'!$D$1:$D$2</xm:f>
          </x14:formula1>
          <xm:sqref>N3:N42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0070C0"/>
  </sheetPr>
  <dimension ref="A1:CA51"/>
  <sheetViews>
    <sheetView zoomScaleNormal="100" workbookViewId="0">
      <pane xSplit="7" ySplit="2" topLeftCell="AS3" activePane="bottomRight" state="frozen"/>
      <selection pane="topRight" activeCell="G1" sqref="G1"/>
      <selection pane="bottomLeft" activeCell="A3" sqref="A3"/>
      <selection pane="bottomRight" activeCell="AY7" sqref="AY7"/>
    </sheetView>
  </sheetViews>
  <sheetFormatPr defaultRowHeight="15" outlineLevelCol="1" x14ac:dyDescent="0.2"/>
  <cols>
    <col min="1" max="1" width="11.6640625" style="26" customWidth="1"/>
    <col min="2" max="2" width="8.109375" style="26" customWidth="1"/>
    <col min="3" max="3" width="9.6640625" style="26" customWidth="1"/>
    <col min="4" max="4" width="10" style="26" customWidth="1"/>
    <col min="5" max="5" width="8.88671875" style="26"/>
    <col min="6" max="6" width="7.77734375" style="26" customWidth="1"/>
    <col min="7" max="7" width="10" style="26" bestFit="1" customWidth="1"/>
    <col min="8" max="8" width="10" style="266" customWidth="1"/>
    <col min="9" max="10" width="10" style="26" customWidth="1"/>
    <col min="11" max="12" width="10" style="26" hidden="1" customWidth="1" outlineLevel="1"/>
    <col min="13" max="13" width="7.77734375" style="26" customWidth="1" collapsed="1"/>
    <col min="14" max="19" width="7.77734375" style="26" customWidth="1"/>
    <col min="20" max="22" width="8.88671875" style="26" hidden="1" customWidth="1" outlineLevel="1"/>
    <col min="23" max="23" width="5.77734375" style="26" customWidth="1" collapsed="1"/>
    <col min="24" max="30" width="7.77734375" style="26" customWidth="1"/>
    <col min="31" max="33" width="8.88671875" style="26" hidden="1" customWidth="1" outlineLevel="1"/>
    <col min="34" max="34" width="5.77734375" style="26" customWidth="1" collapsed="1"/>
    <col min="35" max="41" width="7.77734375" style="26" customWidth="1"/>
    <col min="42" max="44" width="8.88671875" style="26" hidden="1" customWidth="1" outlineLevel="1"/>
    <col min="45" max="45" width="5.77734375" style="26" customWidth="1" collapsed="1"/>
    <col min="46" max="50" width="7.77734375" style="26" customWidth="1"/>
    <col min="51" max="51" width="12.33203125" style="26" customWidth="1"/>
    <col min="52" max="53" width="7.77734375" style="26" customWidth="1"/>
    <col min="54" max="56" width="8.88671875" style="26" hidden="1" customWidth="1" outlineLevel="1"/>
    <col min="57" max="57" width="5.77734375" style="26" customWidth="1" collapsed="1"/>
    <col min="58" max="58" width="8.33203125" style="67" customWidth="1"/>
    <col min="59" max="59" width="8.33203125" style="68" customWidth="1"/>
    <col min="60" max="60" width="8.33203125" style="69" customWidth="1"/>
    <col min="61" max="61" width="10.44140625" style="26" hidden="1" customWidth="1" outlineLevel="1"/>
    <col min="62" max="62" width="7.77734375" style="26" hidden="1" customWidth="1" outlineLevel="1"/>
    <col min="63" max="64" width="8.88671875" style="26" hidden="1" customWidth="1" outlineLevel="1"/>
    <col min="65" max="65" width="5.77734375" style="26" customWidth="1" collapsed="1"/>
    <col min="66" max="66" width="28.77734375" style="26" customWidth="1"/>
    <col min="67" max="67" width="51.6640625" style="128" customWidth="1"/>
    <col min="68" max="68" width="17" style="26" customWidth="1"/>
    <col min="69" max="69" width="17.44140625" style="26" customWidth="1"/>
    <col min="70" max="78" width="8.88671875" style="26" customWidth="1" outlineLevel="1"/>
    <col min="79" max="16384" width="8.88671875" style="26"/>
  </cols>
  <sheetData>
    <row r="1" spans="1:79" ht="15" customHeight="1" x14ac:dyDescent="0.2">
      <c r="A1" s="388" t="s">
        <v>11</v>
      </c>
      <c r="B1" s="389"/>
      <c r="C1" s="389"/>
      <c r="D1" s="389"/>
      <c r="E1" s="389"/>
      <c r="F1" s="389"/>
      <c r="G1" s="389"/>
      <c r="H1" s="413" t="s">
        <v>361</v>
      </c>
      <c r="I1" s="414"/>
      <c r="J1" s="415"/>
      <c r="K1" s="168"/>
      <c r="L1" s="169"/>
      <c r="M1" s="416" t="s">
        <v>6</v>
      </c>
      <c r="N1" s="399"/>
      <c r="O1" s="399"/>
      <c r="P1" s="399"/>
      <c r="Q1" s="399"/>
      <c r="R1" s="399"/>
      <c r="S1" s="399"/>
      <c r="T1" s="399"/>
      <c r="U1" s="399"/>
      <c r="V1" s="399"/>
      <c r="W1" s="400"/>
      <c r="X1" s="401" t="s">
        <v>186</v>
      </c>
      <c r="Y1" s="402"/>
      <c r="Z1" s="402"/>
      <c r="AA1" s="402"/>
      <c r="AB1" s="402"/>
      <c r="AC1" s="402"/>
      <c r="AD1" s="402"/>
      <c r="AE1" s="402"/>
      <c r="AF1" s="402"/>
      <c r="AG1" s="402"/>
      <c r="AH1" s="403"/>
      <c r="AI1" s="417" t="s">
        <v>185</v>
      </c>
      <c r="AJ1" s="418"/>
      <c r="AK1" s="418"/>
      <c r="AL1" s="418"/>
      <c r="AM1" s="418"/>
      <c r="AN1" s="418"/>
      <c r="AO1" s="418"/>
      <c r="AP1" s="418"/>
      <c r="AQ1" s="418"/>
      <c r="AR1" s="418"/>
      <c r="AS1" s="419"/>
      <c r="AT1" s="420" t="s">
        <v>5</v>
      </c>
      <c r="AU1" s="421"/>
      <c r="AV1" s="421"/>
      <c r="AW1" s="421"/>
      <c r="AX1" s="421"/>
      <c r="AY1" s="421"/>
      <c r="AZ1" s="421"/>
      <c r="BA1" s="421"/>
      <c r="BB1" s="421"/>
      <c r="BC1" s="421"/>
      <c r="BD1" s="421"/>
      <c r="BE1" s="422"/>
      <c r="BF1" s="393" t="s">
        <v>7</v>
      </c>
      <c r="BG1" s="393"/>
      <c r="BH1" s="393"/>
      <c r="BI1" s="393"/>
      <c r="BJ1" s="393"/>
      <c r="BK1" s="393"/>
      <c r="BL1" s="393"/>
      <c r="BM1" s="393"/>
      <c r="BN1" s="394" t="s">
        <v>14</v>
      </c>
      <c r="BO1" s="395"/>
      <c r="BP1" s="387" t="s">
        <v>114</v>
      </c>
      <c r="BQ1" s="387"/>
      <c r="BR1" s="386" t="s">
        <v>193</v>
      </c>
      <c r="BS1" s="386"/>
      <c r="BT1" s="386"/>
      <c r="BU1" s="386"/>
      <c r="BV1" s="386"/>
      <c r="BW1" s="386"/>
      <c r="BX1" s="386"/>
      <c r="BY1" s="386"/>
      <c r="BZ1" s="386"/>
    </row>
    <row r="2" spans="1:79" ht="45" x14ac:dyDescent="0.2">
      <c r="A2" s="42" t="s">
        <v>8</v>
      </c>
      <c r="B2" s="43" t="s">
        <v>9</v>
      </c>
      <c r="C2" s="43" t="s">
        <v>10</v>
      </c>
      <c r="D2" s="43" t="s">
        <v>18</v>
      </c>
      <c r="E2" s="43" t="s">
        <v>20</v>
      </c>
      <c r="F2" s="43" t="s">
        <v>262</v>
      </c>
      <c r="G2" s="43" t="s">
        <v>19</v>
      </c>
      <c r="H2" s="264" t="s">
        <v>362</v>
      </c>
      <c r="I2" s="166" t="s">
        <v>363</v>
      </c>
      <c r="J2" s="167" t="s">
        <v>364</v>
      </c>
      <c r="K2" s="166"/>
      <c r="L2" s="167" t="s">
        <v>368</v>
      </c>
      <c r="M2" s="22" t="s">
        <v>22</v>
      </c>
      <c r="N2" s="22" t="s">
        <v>23</v>
      </c>
      <c r="O2" s="22" t="s">
        <v>1</v>
      </c>
      <c r="P2" s="22" t="s">
        <v>0</v>
      </c>
      <c r="Q2" s="22" t="s">
        <v>24</v>
      </c>
      <c r="R2" s="22" t="s">
        <v>113</v>
      </c>
      <c r="S2" s="22" t="s">
        <v>117</v>
      </c>
      <c r="T2" s="22" t="s">
        <v>23</v>
      </c>
      <c r="U2" s="22" t="s">
        <v>0</v>
      </c>
      <c r="V2" s="22" t="s">
        <v>24</v>
      </c>
      <c r="W2" s="41" t="s">
        <v>3</v>
      </c>
      <c r="X2" s="40" t="s">
        <v>22</v>
      </c>
      <c r="Y2" s="22" t="s">
        <v>23</v>
      </c>
      <c r="Z2" s="22" t="s">
        <v>1</v>
      </c>
      <c r="AA2" s="22" t="s">
        <v>0</v>
      </c>
      <c r="AB2" s="22" t="s">
        <v>24</v>
      </c>
      <c r="AC2" s="22" t="s">
        <v>260</v>
      </c>
      <c r="AD2" s="22" t="s">
        <v>12</v>
      </c>
      <c r="AE2" s="22" t="s">
        <v>23</v>
      </c>
      <c r="AF2" s="22" t="s">
        <v>0</v>
      </c>
      <c r="AG2" s="22" t="s">
        <v>24</v>
      </c>
      <c r="AH2" s="41" t="s">
        <v>3</v>
      </c>
      <c r="AI2" s="40" t="s">
        <v>22</v>
      </c>
      <c r="AJ2" s="22" t="s">
        <v>23</v>
      </c>
      <c r="AK2" s="22" t="s">
        <v>1</v>
      </c>
      <c r="AL2" s="22" t="s">
        <v>0</v>
      </c>
      <c r="AM2" s="22" t="s">
        <v>24</v>
      </c>
      <c r="AN2" s="22" t="s">
        <v>4</v>
      </c>
      <c r="AO2" s="22" t="s">
        <v>12</v>
      </c>
      <c r="AP2" s="22" t="s">
        <v>23</v>
      </c>
      <c r="AQ2" s="22" t="s">
        <v>0</v>
      </c>
      <c r="AR2" s="22" t="s">
        <v>24</v>
      </c>
      <c r="AS2" s="41" t="s">
        <v>3</v>
      </c>
      <c r="AT2" s="46" t="s">
        <v>22</v>
      </c>
      <c r="AU2" s="47" t="s">
        <v>23</v>
      </c>
      <c r="AV2" s="47" t="s">
        <v>1</v>
      </c>
      <c r="AW2" s="47" t="s">
        <v>0</v>
      </c>
      <c r="AX2" s="47" t="s">
        <v>356</v>
      </c>
      <c r="AY2" s="47" t="s">
        <v>2</v>
      </c>
      <c r="AZ2" s="47"/>
      <c r="BA2" s="47" t="s">
        <v>13</v>
      </c>
      <c r="BB2" s="47" t="s">
        <v>23</v>
      </c>
      <c r="BC2" s="47" t="s">
        <v>0</v>
      </c>
      <c r="BD2" s="47" t="s">
        <v>24</v>
      </c>
      <c r="BE2" s="30" t="s">
        <v>3</v>
      </c>
      <c r="BF2" s="48" t="s">
        <v>25</v>
      </c>
      <c r="BG2" s="49" t="s">
        <v>112</v>
      </c>
      <c r="BH2" s="50" t="s">
        <v>259</v>
      </c>
      <c r="BI2" s="15" t="s">
        <v>111</v>
      </c>
      <c r="BJ2" s="15" t="s">
        <v>346</v>
      </c>
      <c r="BK2" s="16"/>
      <c r="BL2" s="16"/>
      <c r="BM2" s="13" t="s">
        <v>3</v>
      </c>
      <c r="BN2" s="17" t="s">
        <v>15</v>
      </c>
      <c r="BO2" s="17" t="s">
        <v>16</v>
      </c>
      <c r="BP2" s="14" t="s">
        <v>17</v>
      </c>
      <c r="BQ2" s="14" t="s">
        <v>21</v>
      </c>
      <c r="BR2" s="38" t="s">
        <v>118</v>
      </c>
      <c r="BS2" s="38" t="s">
        <v>120</v>
      </c>
      <c r="BT2" s="38" t="s">
        <v>188</v>
      </c>
      <c r="BU2" s="38" t="s">
        <v>120</v>
      </c>
      <c r="BV2" s="38" t="s">
        <v>187</v>
      </c>
      <c r="BW2" s="38" t="s">
        <v>120</v>
      </c>
      <c r="BX2" s="38" t="s">
        <v>119</v>
      </c>
      <c r="BY2" s="38" t="s">
        <v>120</v>
      </c>
      <c r="BZ2" s="38" t="s">
        <v>29</v>
      </c>
      <c r="CA2" s="38" t="s">
        <v>669</v>
      </c>
    </row>
    <row r="3" spans="1:79" ht="45" customHeight="1" x14ac:dyDescent="0.2">
      <c r="A3" s="44" t="s">
        <v>310</v>
      </c>
      <c r="B3" s="21" t="s">
        <v>311</v>
      </c>
      <c r="C3" s="21" t="s">
        <v>345</v>
      </c>
      <c r="D3" s="20" t="s">
        <v>87</v>
      </c>
      <c r="E3" s="20" t="s">
        <v>109</v>
      </c>
      <c r="F3" s="100"/>
      <c r="G3" s="100" t="s">
        <v>99</v>
      </c>
      <c r="H3" s="170"/>
      <c r="I3" s="158" t="str">
        <f>IF(H3="","",DATE(YEAR(H3),MONTH(H3)+2,DAY(H3)))</f>
        <v/>
      </c>
      <c r="J3" s="163"/>
      <c r="K3" s="162" t="str">
        <f>IF(H3="","",IF(J3="","Board Date"&amp;CHAR(10)&amp;TEXT(I3,"dd/mm/yyyy"),"Completed"&amp;CHAR(10)&amp;TEXT(J3,"dd/mm/yyyy")))</f>
        <v/>
      </c>
      <c r="L3" s="54" t="str">
        <f ca="1">IF(AND(J3="",I3=""),"",IF(AND(J3="",I3&lt;TODAY()),"R","G"))</f>
        <v/>
      </c>
      <c r="M3" s="148"/>
      <c r="N3" s="120"/>
      <c r="O3" s="52"/>
      <c r="P3" s="121"/>
      <c r="Q3" s="120"/>
      <c r="R3" s="28"/>
      <c r="S3" s="28"/>
      <c r="T3" s="53" t="str">
        <f>IFERROR(IF(1-(N3-M3)/(O3-M3)&gt;0.9,"G",IF(1-(N3-M3)/(O3-M3)&gt;0.85,"A","R")),"")</f>
        <v/>
      </c>
      <c r="U3" s="53" t="str">
        <f>IF(P3="","",IF((O3-M3)/(P3-M3)&gt;0.9,"G",(IF((O3-M3)/(P3-M3)&gt;0.85,"A","R"))))</f>
        <v/>
      </c>
      <c r="V3" s="53" t="str">
        <f>IF(Q3="","",IF((O3-M3)/(Q3-M3)&gt;0.9,"G",(IF((O3-M3)/(Q3-M3)&gt;0.85,"A","R"))))</f>
        <v/>
      </c>
      <c r="W3" s="54" t="str">
        <f>IF(V3="",IF(U3="",T3,U3),V3)</f>
        <v/>
      </c>
      <c r="X3" s="51"/>
      <c r="Y3" s="120"/>
      <c r="Z3" s="52"/>
      <c r="AA3" s="120"/>
      <c r="AB3" s="120"/>
      <c r="AC3" s="52"/>
      <c r="AD3" s="52"/>
      <c r="AE3" s="53" t="str">
        <f>IFERROR(IF(1-(Y3-X3)/(Z3-X3)&gt;0.9,"G",IF(1-(Y3-X3)/(Z3-X3)&gt;0.85,"A","R")),"")</f>
        <v/>
      </c>
      <c r="AF3" s="53" t="str">
        <f>IF(AA3="","",IF((Z3-X3)/(AA3-X3)&gt;0.9,"G",(IF((Z3-X3)/(AA3-X3)&gt;0.85,"A","R"))))</f>
        <v/>
      </c>
      <c r="AG3" s="53" t="str">
        <f>IF(AB3="","",IF((Z3-X3)/(AB3-X3)&gt;0.9,"G",(IF((Z3-X3)/(AB3-X3)&gt;0.85,"A","R"))))</f>
        <v/>
      </c>
      <c r="AH3" s="54" t="str">
        <f>IF(AG3="",IF(AF3="",AE3,AF3),AG3)</f>
        <v/>
      </c>
      <c r="AI3" s="51"/>
      <c r="AJ3" s="120"/>
      <c r="AK3" s="52"/>
      <c r="AL3" s="120"/>
      <c r="AM3" s="120"/>
      <c r="AN3" s="52"/>
      <c r="AO3" s="52"/>
      <c r="AP3" s="53" t="str">
        <f>IFERROR(IF(1-(AJ3-AI3)/(AK3-AI3)&gt;0.9,"G",IF(1-(AJ3-AI3)/(AK3-AI3)&gt;0.85,"A","R")),"")</f>
        <v/>
      </c>
      <c r="AQ3" s="53" t="str">
        <f>IF(AL3="","",IF((AK3-AI3)/(AL3-AI3)&gt;0.9,"G",(IF((AK3-AI3)/(AL3-AI3)&gt;0.85,"A","R"))))</f>
        <v/>
      </c>
      <c r="AR3" s="53" t="str">
        <f>IF(AM3="","",IF((AK3-AI3)/(AM3-AI3)&gt;0.9,"G",(IF((AK3-AI3)/(AM3-AI3)&gt;0.85,"A","R"))))</f>
        <v/>
      </c>
      <c r="AS3" s="54" t="str">
        <f>IF(AR3="",IF(AQ3="",AP3,AQ3),AR3)</f>
        <v/>
      </c>
      <c r="AT3" s="55">
        <v>42573</v>
      </c>
      <c r="AU3" s="121">
        <v>42573</v>
      </c>
      <c r="AV3" s="56">
        <v>42689</v>
      </c>
      <c r="AW3" s="121">
        <v>42689</v>
      </c>
      <c r="AX3" s="121">
        <v>42689</v>
      </c>
      <c r="AY3" s="45">
        <f>IF(AX3="","",DATE(YEAR(AX3),MONTH(AX3)+3,DAY(AX3)))</f>
        <v>42781</v>
      </c>
      <c r="AZ3" s="45"/>
      <c r="BA3" s="45"/>
      <c r="BB3" s="57" t="str">
        <f>IFERROR(IF(1-(AU3-AT3)/(AV3-AT3)&gt;0.9,"G",IF(1-(AU3-AT3)/(AV3-AT3)&gt;0.85,"A","R")),"")</f>
        <v>G</v>
      </c>
      <c r="BC3" s="57" t="str">
        <f>IF(AW3="","",IF((AV3-AT3)/(AW3-AT3)&gt;0.9,"G",(IF((AV3-AT3)/(AW3-AT3)&gt;0.85,"A","R"))))</f>
        <v>G</v>
      </c>
      <c r="BD3" s="57" t="str">
        <f>IF(AX3="","",IF((AV3-AT3)/(AX3-AT3)&gt;0.9,"G",(IF((AV3-AT3)/(AX3-AT3)&gt;0.85,"A","R"))))</f>
        <v>G</v>
      </c>
      <c r="BE3" s="58" t="str">
        <f>IF(BD3="",IF(BC3="",BB3,BC3),BD3)</f>
        <v>G</v>
      </c>
      <c r="BF3" s="59">
        <v>70000</v>
      </c>
      <c r="BG3" s="60">
        <v>27000</v>
      </c>
      <c r="BH3" s="61">
        <f>VLOOKUP(A3,Finance!$A$3:$J$45,10,FALSE)</f>
        <v>26302.86</v>
      </c>
      <c r="BI3" s="62"/>
      <c r="BJ3" s="60"/>
      <c r="BK3" s="63">
        <f>(BG3-BF3)/BF3</f>
        <v>-0.61428571428571432</v>
      </c>
      <c r="BL3" s="63">
        <f>(BH3-BF3)/BF3</f>
        <v>-0.62424485714285716</v>
      </c>
      <c r="BM3" s="64" t="str">
        <f>IF(BF3="","",IF(AND(BK3&lt;0.025,BL3&lt;0.025),"G",IF(OR(BK3&gt;0.05,BL3&gt;0.05),"R",IF(AND(BK3&gt;0.025,BL3&gt;0.025),"A","G"))))</f>
        <v>G</v>
      </c>
      <c r="BN3" s="18"/>
      <c r="BO3" s="19" t="s">
        <v>563</v>
      </c>
      <c r="BP3" s="65" t="str">
        <f>IF(AND(BM3="",BE3="",AS3="",W3=""),"",IF(AND(BM3="G",BE3="G",AS3="G",W3="G"),"G",IF(OR(BM3="R",BE3="R",AS3="R",W3="R"),"R",VLOOKUP(CONCATENATE(W3,AS3,BE3,BM3),'Rag Coding'!A:B,2,FALSE))))</f>
        <v>G</v>
      </c>
      <c r="BQ3" s="37"/>
      <c r="BR3" s="39" t="str">
        <f t="shared" ref="BR3:BR47" ca="1" si="0">IF(M3="","",IF(V3&lt;&gt;"","Completed ",IF(AND(U3&lt;&gt;"",P3&gt;TODAY()),"Forecast Completion on "&amp;DAY(P3)&amp;"-"&amp;MONTH(P3)&amp;"-"&amp;YEAR(P3)&amp;CHAR(10)&amp;IF(P3-O3&gt;0,(P3-O3)&amp;" day(s) late",(IF(P3-O3=0,"on time",(O3-P3)&amp;" day(s) early"))),IF(P3&lt;TODAY(),"Forecast Completion in the past, please update","Baseline Complete"))))</f>
        <v/>
      </c>
      <c r="BS3" s="39" t="str">
        <f t="shared" ref="BS3:BS47" ca="1" si="1">IF(BR3="Completed ",IF(Q3-O3&gt;0,Q3-O3&amp;" day(s) late",(IF(Q3-O3=0,"on time",O3-Q3&amp;" day(s) early"))),"")</f>
        <v/>
      </c>
      <c r="BT3" s="39" t="str">
        <f t="shared" ref="BT3:BT47" ca="1" si="2">IF(X3="","",IF(AG3&lt;&gt;"","Completed ",IF(AND(AF3&lt;&gt;"",AA3&gt;TODAY()),"Forecast Completion on "&amp;DAY(AA3)&amp;"-"&amp;MONTH(AA3)&amp;"-"&amp;YEAR(AA3)&amp;CHAR(10)&amp;IF(AA3-Z3&gt;0,(AA3-Z3)&amp;" day(s) late",(IF(AA3-Z3=0,"on time",(Z3-AA3)&amp;" day(s) early"))),IF(AA3&lt;TODAY(),"Forecast Completion in the past, please update","Baseline Complete"))))</f>
        <v/>
      </c>
      <c r="BU3" s="39" t="str">
        <f t="shared" ref="BU3:BU47" ca="1" si="3">IF(BT3="Completed ",IF(AB3-Z3&gt;0,AB3-Z3&amp;" day(s) late",(IF(AB3-Z3=0,"on time",Z3-AB3&amp;" day(s) early"))),"")</f>
        <v/>
      </c>
      <c r="BV3" s="39" t="str">
        <f t="shared" ref="BV3:BV47" ca="1" si="4">IF(AI3="","",IF(AR3&lt;&gt;"","Completed ",IF(AND(AQ3&lt;&gt;"",AL3&gt;TODAY()),"Forecast Completion on "&amp;DAY(AL3)&amp;"-"&amp;MONTH(AL3)&amp;"-"&amp;YEAR(AL3)&amp;CHAR(10)&amp;IF(AL3-AK3&gt;0,(AL3-AK3)&amp;" day(s) late",(IF(AL3-AK3=0,"on time",(AK3-AL3)&amp;" day(s) early"))),IF(AL3&lt;TODAY(),"Forecast Completion in the past, please update","Baseline Complete"))))</f>
        <v/>
      </c>
      <c r="BW3" s="39" t="str">
        <f t="shared" ref="BW3:BW47" ca="1" si="5">IF(BV3="Completed ",IF(AM3-AK3&gt;0,AM3-AK3&amp;" day(s) late",(IF(AM3-AK3=0,"on time",AK3-AM3&amp;" day(s) early"))),"")</f>
        <v/>
      </c>
      <c r="BX3" s="39" t="str">
        <f t="shared" ref="BX3:BX47" ca="1" si="6">IF(AT3="","",IF(BD3&lt;&gt;"","Completed ",IF(AND(BC3&lt;&gt;"",AW3&gt;TODAY()),"Forecast Completion on "&amp;DAY(AW3)&amp;"-"&amp;MONTH(AW3)&amp;"-"&amp;YEAR(AW3)&amp;CHAR(10)&amp;IF(AW3-AV3&gt;0,(AW3-AV3)&amp;" day(s) late",(IF(AW3-AV3=0,"on time",(AV3-AW3)&amp;" day(s) early"))),IF(AW3&lt;TODAY(),"Forecast Completion in the past, please update","Baseline Complete"))))</f>
        <v xml:space="preserve">Completed </v>
      </c>
      <c r="BY3" s="39" t="str">
        <f t="shared" ref="BY3:BY47" ca="1" si="7">IF(BX3="Completed ",IF(AX3-AV3&gt;0,AX3-AV3&amp;" day(s) late",(IF(AX3-AV3=0,"on time",AV3-AX3&amp;" day(s) early"))),"")</f>
        <v>on time</v>
      </c>
      <c r="BZ3" s="39" t="str">
        <f ca="1">IF(BX3="Completed ",IF(BG3-BF3&gt;0,"Over budget by £"&amp;(BG3-BF3),"Under budget by £"&amp;BF3-BG3),IF(BG3="","","Current Forecast Spend £"&amp;BG3))</f>
        <v>Under budget by £43000</v>
      </c>
      <c r="CA3" s="38"/>
    </row>
    <row r="4" spans="1:79" ht="56.25" customHeight="1" x14ac:dyDescent="0.2">
      <c r="A4" s="44" t="s">
        <v>124</v>
      </c>
      <c r="B4" s="21" t="s">
        <v>125</v>
      </c>
      <c r="C4" s="21" t="s">
        <v>126</v>
      </c>
      <c r="D4" s="20" t="s">
        <v>94</v>
      </c>
      <c r="E4" s="20" t="s">
        <v>264</v>
      </c>
      <c r="F4" s="100"/>
      <c r="G4" s="100" t="s">
        <v>99</v>
      </c>
      <c r="H4" s="170"/>
      <c r="I4" s="158" t="str">
        <f>IF(H4="","",DATE(YEAR(H4),MONTH(H4)+3,DAY(H4)))</f>
        <v/>
      </c>
      <c r="J4" s="163"/>
      <c r="K4" s="162" t="str">
        <f>IF(H4="","",IF(J4="","Board Date"&amp;CHAR(10)&amp;TEXT(I4,"dd/mm/yyyy"),"Completed"&amp;CHAR(10)&amp;TEXT(J4,"dd/mm/yyyy")))</f>
        <v/>
      </c>
      <c r="L4" s="54" t="str">
        <f ca="1">IF(AND(J4="",I4=""),"",IF(AND(J4="",I4&lt;TODAY()),"R","G"))</f>
        <v/>
      </c>
      <c r="M4" s="148"/>
      <c r="N4" s="120"/>
      <c r="O4" s="52"/>
      <c r="P4" s="121"/>
      <c r="Q4" s="120"/>
      <c r="R4" s="28"/>
      <c r="S4" s="28"/>
      <c r="T4" s="53" t="str">
        <f>IFERROR(IF(1-(N4-M4)/(O4-M4)&gt;0.9,"G",IF(1-(N4-M4)/(O4-M4)&gt;0.85,"A","R")),"")</f>
        <v/>
      </c>
      <c r="U4" s="53" t="str">
        <f>IF(P4="","",IF((O4-M4)/(P4-M4)&gt;0.9,"G",(IF((O4-M4)/(P4-M4)&gt;0.85,"A","R"))))</f>
        <v/>
      </c>
      <c r="V4" s="53" t="str">
        <f>IF(Q4="","",IF((O4-M4)/(Q4-M4)&gt;0.9,"G",(IF((O4-M4)/(Q4-M4)&gt;0.85,"A","R"))))</f>
        <v/>
      </c>
      <c r="W4" s="54" t="str">
        <f>IF(M4="N/A","B",IF(V4="",IF(U4="",T4,U4),V4))</f>
        <v/>
      </c>
      <c r="X4" s="51"/>
      <c r="Y4" s="120"/>
      <c r="Z4" s="52"/>
      <c r="AA4" s="120"/>
      <c r="AB4" s="120"/>
      <c r="AC4" s="52"/>
      <c r="AD4" s="52"/>
      <c r="AE4" s="53" t="str">
        <f>IFERROR(IF(1-(Y4-X4)/(Z4-X4)&gt;0.9,"G",IF(1-(Y4-X4)/(Z4-X4)&gt;0.85,"A","R")),"")</f>
        <v/>
      </c>
      <c r="AF4" s="53" t="str">
        <f>IF(AA4="","",IF((Z4-X4)/(AA4-X4)&gt;0.9,"G",(IF((Z4-X4)/(AA4-X4)&gt;0.85,"A","R"))))</f>
        <v/>
      </c>
      <c r="AG4" s="53" t="str">
        <f>IF(AB4="","",IF((Z4-X4)/(AB4-X4)&gt;0.9,"G",(IF((Z4-X4)/(AB4-X4)&gt;0.85,"A","R"))))</f>
        <v/>
      </c>
      <c r="AH4" s="54" t="str">
        <f>IF(AG4="",IF(AF4="",AE4,AF4),AG4)</f>
        <v/>
      </c>
      <c r="AI4" s="51"/>
      <c r="AJ4" s="120"/>
      <c r="AK4" s="52"/>
      <c r="AL4" s="120"/>
      <c r="AM4" s="120"/>
      <c r="AN4" s="52"/>
      <c r="AO4" s="52" t="s">
        <v>297</v>
      </c>
      <c r="AP4" s="53" t="str">
        <f>IFERROR(IF(1-(AJ4-AI4)/(AK4-AI4)&gt;0.9,"G",IF(1-(AJ4-AI4)/(AK4-AI4)&gt;0.85,"A","R")),"")</f>
        <v/>
      </c>
      <c r="AQ4" s="53" t="str">
        <f>IF(AL4="","",IF((AK4-AI4)/(AL4-AI4)&gt;0.9,"G",(IF((AK4-AI4)/(AL4-AI4)&gt;0.85,"A","R"))))</f>
        <v/>
      </c>
      <c r="AR4" s="53" t="str">
        <f>IF(AM4="","",IF((AK4-AI4)/(AM4-AI4)&gt;0.9,"G",(IF((AK4-AI4)/(AM4-AI4)&gt;0.85,"A","R"))))</f>
        <v/>
      </c>
      <c r="AS4" s="54" t="str">
        <f>IF(AR4="",IF(AQ4="",AP4,AQ4),AR4)</f>
        <v/>
      </c>
      <c r="AT4" s="55">
        <v>42513</v>
      </c>
      <c r="AU4" s="121">
        <v>42490</v>
      </c>
      <c r="AV4" s="56">
        <v>42611</v>
      </c>
      <c r="AW4" s="121">
        <v>42604</v>
      </c>
      <c r="AX4" s="121">
        <v>42604</v>
      </c>
      <c r="AY4" s="45">
        <f>IF(AX4="","",DATE(YEAR(AX4),MONTH(AX4)+3,DAY(AX4)))</f>
        <v>42696</v>
      </c>
      <c r="AZ4" s="45"/>
      <c r="BA4" s="45" t="s">
        <v>127</v>
      </c>
      <c r="BB4" s="57" t="str">
        <f>IFERROR(IF(1-(AU4-AT4)/(AV4-AT4)&gt;0.9,"G",IF(1-(AU4-AT4)/(AV4-AT4)&gt;0.85,"A","R")),"")</f>
        <v>G</v>
      </c>
      <c r="BC4" s="57" t="str">
        <f>IF(AW4="","",IF((AV4-AT4)/(AW4-AT4)&gt;0.9,"G",(IF((AV4-AT4)/(AW4-AT4)&gt;0.85,"A","R"))))</f>
        <v>G</v>
      </c>
      <c r="BD4" s="57" t="str">
        <f>IF(AX4="","",IF((AV4-AT4)/(AX4-AT4)&gt;0.9,"G",(IF((AV4-AT4)/(AX4-AT4)&gt;0.85,"A","R"))))</f>
        <v>G</v>
      </c>
      <c r="BE4" s="58" t="str">
        <f>IF(BD4="",IF(BC4="",BB4,BC4),BD4)</f>
        <v>G</v>
      </c>
      <c r="BF4" s="59">
        <v>114918</v>
      </c>
      <c r="BG4" s="60">
        <v>104215</v>
      </c>
      <c r="BH4" s="61">
        <f>VLOOKUP(A4,Finance!$A$3:$J$45,10,FALSE)</f>
        <v>102415</v>
      </c>
      <c r="BI4" s="62">
        <v>50433</v>
      </c>
      <c r="BJ4" s="60"/>
      <c r="BK4" s="63">
        <f>(BG4-BF4)/BF4</f>
        <v>-9.3135975217111325E-2</v>
      </c>
      <c r="BL4" s="63">
        <f>(BH4-BF4)/BF4</f>
        <v>-0.10879931777441305</v>
      </c>
      <c r="BM4" s="64" t="str">
        <f>IF(BF4="","",IF(AND(BK4&lt;0.025,BL4&lt;0.025),"G",IF(OR(BK4&gt;0.05,BL4&gt;0.05),"R",IF(AND(BK4&gt;0.025,BL4&gt;0.025),"A","G"))))</f>
        <v>G</v>
      </c>
      <c r="BN4" s="18" t="s">
        <v>498</v>
      </c>
      <c r="BO4" s="129" t="s">
        <v>499</v>
      </c>
      <c r="BP4" s="65" t="str">
        <f>IF(AND(BM4="",BE4="",AS4="",W4=""),"",IF(AND(BM4="G",BE4="G",AS4="G",W4="G"),"G",IF(OR(BM4="R",BE4="R",AS4="R",W4="R"),"R",VLOOKUP(CONCATENATE(W4,AS4,BE4,BM4),'Rag Coding'!A:B,2,FALSE))))</f>
        <v>G</v>
      </c>
      <c r="BQ4" s="37"/>
      <c r="BR4" s="39" t="str">
        <f t="shared" ca="1" si="0"/>
        <v/>
      </c>
      <c r="BS4" s="39" t="str">
        <f t="shared" ca="1" si="1"/>
        <v/>
      </c>
      <c r="BT4" s="39" t="str">
        <f t="shared" ca="1" si="2"/>
        <v/>
      </c>
      <c r="BU4" s="39" t="str">
        <f t="shared" ca="1" si="3"/>
        <v/>
      </c>
      <c r="BV4" s="39" t="str">
        <f t="shared" ca="1" si="4"/>
        <v/>
      </c>
      <c r="BW4" s="39" t="str">
        <f t="shared" ca="1" si="5"/>
        <v/>
      </c>
      <c r="BX4" s="39" t="str">
        <f t="shared" ca="1" si="6"/>
        <v xml:space="preserve">Completed </v>
      </c>
      <c r="BY4" s="39" t="str">
        <f t="shared" ca="1" si="7"/>
        <v>7 day(s) early</v>
      </c>
      <c r="BZ4" s="39" t="str">
        <f ca="1">IF(BX4="Completed ",IF(BG4-BF4&gt;0,"Over budget by £"&amp;(BG4-BF4),"Under budget by £"&amp;BF4-BG4),IF(BG4="","","Current Forecast Spend £"&amp;BG4))</f>
        <v>Under budget by £10703</v>
      </c>
      <c r="CA4" s="38"/>
    </row>
    <row r="5" spans="1:79" s="66" customFormat="1" ht="123.75" customHeight="1" x14ac:dyDescent="0.2">
      <c r="A5" s="44" t="s">
        <v>161</v>
      </c>
      <c r="B5" s="21" t="s">
        <v>159</v>
      </c>
      <c r="C5" s="21" t="s">
        <v>162</v>
      </c>
      <c r="D5" s="20" t="s">
        <v>84</v>
      </c>
      <c r="E5" s="20" t="s">
        <v>102</v>
      </c>
      <c r="F5" s="100" t="s">
        <v>598</v>
      </c>
      <c r="G5" s="100" t="s">
        <v>99</v>
      </c>
      <c r="H5" s="265">
        <v>42620</v>
      </c>
      <c r="I5" s="157">
        <v>42650</v>
      </c>
      <c r="J5" s="163"/>
      <c r="K5" s="161"/>
      <c r="L5" s="54"/>
      <c r="M5" s="148"/>
      <c r="N5" s="120"/>
      <c r="O5" s="52"/>
      <c r="P5" s="120"/>
      <c r="Q5" s="120"/>
      <c r="R5" s="28"/>
      <c r="S5" s="28" t="s">
        <v>164</v>
      </c>
      <c r="T5" s="53"/>
      <c r="U5" s="53"/>
      <c r="V5" s="53"/>
      <c r="W5" s="54"/>
      <c r="X5" s="51"/>
      <c r="Y5" s="120"/>
      <c r="Z5" s="52" t="s">
        <v>619</v>
      </c>
      <c r="AA5" s="120"/>
      <c r="AB5" s="120"/>
      <c r="AC5" s="52"/>
      <c r="AD5" s="52"/>
      <c r="AE5" s="53"/>
      <c r="AF5" s="53"/>
      <c r="AG5" s="53"/>
      <c r="AH5" s="54" t="s">
        <v>619</v>
      </c>
      <c r="AI5" s="51"/>
      <c r="AJ5" s="120"/>
      <c r="AK5" s="52"/>
      <c r="AL5" s="120"/>
      <c r="AM5" s="120"/>
      <c r="AN5" s="52"/>
      <c r="AO5" s="52"/>
      <c r="AP5" s="53" t="s">
        <v>163</v>
      </c>
      <c r="AQ5" s="53" t="s">
        <v>28</v>
      </c>
      <c r="AR5" s="53">
        <v>140000</v>
      </c>
      <c r="AS5" s="54"/>
      <c r="AT5" s="55">
        <v>42632</v>
      </c>
      <c r="AU5" s="121">
        <v>42632</v>
      </c>
      <c r="AV5" s="56">
        <v>42704</v>
      </c>
      <c r="AW5" s="121">
        <v>42704</v>
      </c>
      <c r="AX5" s="121">
        <v>42685</v>
      </c>
      <c r="AY5" s="45">
        <v>42777</v>
      </c>
      <c r="AZ5" s="45"/>
      <c r="BA5" s="45" t="s">
        <v>163</v>
      </c>
      <c r="BB5" s="57" t="s">
        <v>28</v>
      </c>
      <c r="BC5" s="57" t="s">
        <v>614</v>
      </c>
      <c r="BD5" s="57" t="s">
        <v>619</v>
      </c>
      <c r="BE5" s="58" t="str">
        <f>IF(BD5="",IF(BC5="",BB5,BC5),BD5)</f>
        <v>Remove from Tracker sheet transfer to archive and stage gate 6 sheet</v>
      </c>
      <c r="BF5" s="59">
        <v>140000</v>
      </c>
      <c r="BG5" s="60">
        <v>125711.65</v>
      </c>
      <c r="BH5" s="61">
        <v>131096</v>
      </c>
      <c r="BI5" s="62">
        <v>140000</v>
      </c>
      <c r="BJ5" s="60"/>
      <c r="BK5" s="63">
        <v>-0.1020596428571429</v>
      </c>
      <c r="BL5" s="63">
        <v>-6.3600000000000004E-2</v>
      </c>
      <c r="BM5" s="64" t="s">
        <v>28</v>
      </c>
      <c r="BN5" s="18"/>
      <c r="BO5" s="29" t="s">
        <v>608</v>
      </c>
      <c r="BP5" s="65" t="s">
        <v>28</v>
      </c>
      <c r="BQ5" s="37"/>
      <c r="BR5" s="39"/>
      <c r="BS5" s="39"/>
      <c r="BT5" s="39"/>
      <c r="BU5" s="39"/>
      <c r="BV5" s="39"/>
      <c r="BW5" s="39"/>
      <c r="BX5" s="39"/>
      <c r="BY5" s="39"/>
      <c r="BZ5" s="39"/>
      <c r="CA5" s="38"/>
    </row>
    <row r="6" spans="1:79" ht="56.25" customHeight="1" x14ac:dyDescent="0.2">
      <c r="A6" s="44" t="s">
        <v>255</v>
      </c>
      <c r="B6" s="21" t="s">
        <v>256</v>
      </c>
      <c r="C6" s="21" t="s">
        <v>293</v>
      </c>
      <c r="D6" s="20" t="s">
        <v>225</v>
      </c>
      <c r="E6" s="20" t="s">
        <v>107</v>
      </c>
      <c r="F6" s="100"/>
      <c r="G6" s="100" t="s">
        <v>99</v>
      </c>
      <c r="H6" s="170">
        <v>42370</v>
      </c>
      <c r="I6" s="158">
        <v>42401</v>
      </c>
      <c r="J6" s="163"/>
      <c r="K6" s="162" t="s">
        <v>621</v>
      </c>
      <c r="L6" s="54" t="s">
        <v>622</v>
      </c>
      <c r="M6" s="148"/>
      <c r="N6" s="120"/>
      <c r="O6" s="52"/>
      <c r="P6" s="121"/>
      <c r="Q6" s="120"/>
      <c r="R6" s="28"/>
      <c r="S6" s="28"/>
      <c r="T6" s="53" t="s">
        <v>619</v>
      </c>
      <c r="U6" s="53" t="s">
        <v>619</v>
      </c>
      <c r="V6" s="53" t="s">
        <v>619</v>
      </c>
      <c r="W6" s="54" t="s">
        <v>619</v>
      </c>
      <c r="X6" s="51"/>
      <c r="Y6" s="120"/>
      <c r="Z6" s="52"/>
      <c r="AA6" s="120"/>
      <c r="AB6" s="120"/>
      <c r="AC6" s="52"/>
      <c r="AD6" s="52"/>
      <c r="AE6" s="53" t="s">
        <v>619</v>
      </c>
      <c r="AF6" s="53" t="s">
        <v>619</v>
      </c>
      <c r="AG6" s="53" t="s">
        <v>619</v>
      </c>
      <c r="AH6" s="54" t="s">
        <v>619</v>
      </c>
      <c r="AI6" s="51"/>
      <c r="AJ6" s="120"/>
      <c r="AK6" s="52"/>
      <c r="AL6" s="120"/>
      <c r="AM6" s="120"/>
      <c r="AN6" s="52"/>
      <c r="AO6" s="52"/>
      <c r="AP6" s="53" t="s">
        <v>619</v>
      </c>
      <c r="AQ6" s="53" t="s">
        <v>619</v>
      </c>
      <c r="AR6" s="53" t="s">
        <v>619</v>
      </c>
      <c r="AS6" s="54" t="s">
        <v>619</v>
      </c>
      <c r="AT6" s="55">
        <v>42315</v>
      </c>
      <c r="AU6" s="121">
        <v>42343</v>
      </c>
      <c r="AV6" s="56">
        <v>42552</v>
      </c>
      <c r="AW6" s="121">
        <v>42552</v>
      </c>
      <c r="AX6" s="121">
        <v>42552</v>
      </c>
      <c r="AY6" s="45">
        <v>42644</v>
      </c>
      <c r="AZ6" s="45"/>
      <c r="BA6" s="45"/>
      <c r="BB6" s="57" t="s">
        <v>30</v>
      </c>
      <c r="BC6" s="57" t="s">
        <v>28</v>
      </c>
      <c r="BD6" s="57" t="s">
        <v>28</v>
      </c>
      <c r="BE6" s="58" t="s">
        <v>28</v>
      </c>
      <c r="BF6" s="59">
        <v>136300</v>
      </c>
      <c r="BG6" s="60">
        <v>94253</v>
      </c>
      <c r="BH6" s="61">
        <v>47466</v>
      </c>
      <c r="BI6" s="62"/>
      <c r="BJ6" s="60"/>
      <c r="BK6" s="63">
        <v>-0.3084886280264123</v>
      </c>
      <c r="BL6" s="63">
        <v>-0.6517534849596478</v>
      </c>
      <c r="BM6" s="64" t="s">
        <v>28</v>
      </c>
      <c r="BN6" s="18"/>
      <c r="BO6" s="129"/>
      <c r="BP6" s="65" t="s">
        <v>28</v>
      </c>
      <c r="BQ6" s="37"/>
      <c r="BR6" s="39" t="s">
        <v>619</v>
      </c>
      <c r="BS6" s="39" t="s">
        <v>619</v>
      </c>
      <c r="BT6" s="39" t="s">
        <v>619</v>
      </c>
      <c r="BU6" s="39" t="s">
        <v>619</v>
      </c>
      <c r="BV6" s="39" t="s">
        <v>619</v>
      </c>
      <c r="BW6" s="39" t="s">
        <v>619</v>
      </c>
      <c r="BX6" s="39" t="s">
        <v>620</v>
      </c>
      <c r="BY6" s="39" t="s">
        <v>623</v>
      </c>
      <c r="BZ6" s="39" t="s">
        <v>624</v>
      </c>
      <c r="CA6" s="38"/>
    </row>
    <row r="7" spans="1:79" ht="78.75" customHeight="1" x14ac:dyDescent="0.2">
      <c r="A7" s="228" t="s">
        <v>322</v>
      </c>
      <c r="B7" s="336" t="s">
        <v>323</v>
      </c>
      <c r="C7" s="336" t="s">
        <v>354</v>
      </c>
      <c r="D7" s="335" t="s">
        <v>91</v>
      </c>
      <c r="E7" s="335" t="s">
        <v>105</v>
      </c>
      <c r="F7" s="100"/>
      <c r="G7" s="100" t="s">
        <v>100</v>
      </c>
      <c r="H7" s="232">
        <v>42370</v>
      </c>
      <c r="I7" s="362">
        <f t="shared" ref="I7" si="8">IF(H7="","",DATE(YEAR(H7),MONTH(H7)+1,DAY(H7)))</f>
        <v>42401</v>
      </c>
      <c r="J7" s="231"/>
      <c r="K7" s="361" t="str">
        <f t="shared" ref="K7" si="9">IF(H7="","",IF(J7="","Board Date"&amp;CHAR(10)&amp;TEXT(I7,"dd/mm/yyyy"),"Completed"&amp;CHAR(10)&amp;TEXT(J7,"dd/mm/yyyy")))</f>
        <v>Board Date
01/02/2016</v>
      </c>
      <c r="L7" s="345" t="str">
        <f t="shared" ref="L7" ca="1" si="10">IF(AND(J7="",I7=""),"",IF(AND(J7="",I7&lt;TODAY()),"R","G"))</f>
        <v>R</v>
      </c>
      <c r="M7" s="360"/>
      <c r="N7" s="358"/>
      <c r="O7" s="343"/>
      <c r="P7" s="359"/>
      <c r="Q7" s="358"/>
      <c r="R7" s="337"/>
      <c r="S7" s="337"/>
      <c r="T7" s="344" t="str">
        <f t="shared" ref="T7" si="11">IFERROR(IF(1-(N7-M7)/(O7-M7)&gt;0.9,"G",IF(1-(N7-M7)/(O7-M7)&gt;0.85,"A","R")),"")</f>
        <v/>
      </c>
      <c r="U7" s="344" t="str">
        <f t="shared" ref="U7" si="12">IF(P7="","",IF((O7-M7)/(P7-M7)&gt;0.9,"G",(IF((O7-M7)/(P7-M7)&gt;0.85,"A","R"))))</f>
        <v/>
      </c>
      <c r="V7" s="344" t="str">
        <f t="shared" ref="V7" si="13">IF(Q7="","",IF((O7-M7)/(Q7-M7)&gt;0.9,"G",(IF((O7-M7)/(Q7-M7)&gt;0.85,"A","R"))))</f>
        <v/>
      </c>
      <c r="W7" s="345" t="str">
        <f t="shared" ref="W7" si="14">IF(V7="",IF(U7="",T7,U7),V7)</f>
        <v/>
      </c>
      <c r="X7" s="342"/>
      <c r="Y7" s="358"/>
      <c r="Z7" s="343"/>
      <c r="AA7" s="358"/>
      <c r="AB7" s="358"/>
      <c r="AC7" s="343"/>
      <c r="AD7" s="343"/>
      <c r="AE7" s="344" t="str">
        <f t="shared" ref="AE7" si="15">IFERROR(IF(1-(Y7-X7)/(Z7-X7)&gt;0.9,"G",IF(1-(Y7-X7)/(Z7-X7)&gt;0.85,"A","R")),"")</f>
        <v/>
      </c>
      <c r="AF7" s="344" t="str">
        <f t="shared" ref="AF7" si="16">IF(AA7="","",IF((Z7-X7)/(AA7-X7)&gt;0.9,"G",(IF((Z7-X7)/(AA7-X7)&gt;0.85,"A","R"))))</f>
        <v/>
      </c>
      <c r="AG7" s="344" t="str">
        <f t="shared" ref="AG7" si="17">IF(AB7="","",IF((Z7-X7)/(AB7-X7)&gt;0.9,"G",(IF((Z7-X7)/(AB7-X7)&gt;0.85,"A","R"))))</f>
        <v/>
      </c>
      <c r="AH7" s="345" t="str">
        <f t="shared" ref="AH7" si="18">IF(AG7="",IF(AF7="",AE7,AF7),AG7)</f>
        <v/>
      </c>
      <c r="AI7" s="342"/>
      <c r="AJ7" s="358"/>
      <c r="AK7" s="343"/>
      <c r="AL7" s="358"/>
      <c r="AM7" s="358"/>
      <c r="AN7" s="343"/>
      <c r="AO7" s="343"/>
      <c r="AP7" s="344" t="str">
        <f t="shared" ref="AP7" si="19">IFERROR(IF(1-(AJ7-AI7)/(AK7-AI7)&gt;0.9,"G",IF(1-(AJ7-AI7)/(AK7-AI7)&gt;0.85,"A","R")),"")</f>
        <v/>
      </c>
      <c r="AQ7" s="344" t="str">
        <f t="shared" ref="AQ7" si="20">IF(AL7="","",IF((AK7-AI7)/(AL7-AI7)&gt;0.9,"G",(IF((AK7-AI7)/(AL7-AI7)&gt;0.85,"A","R"))))</f>
        <v/>
      </c>
      <c r="AR7" s="344" t="str">
        <f t="shared" ref="AR7" si="21">IF(AM7="","",IF((AK7-AI7)/(AM7-AI7)&gt;0.9,"G",(IF((AK7-AI7)/(AM7-AI7)&gt;0.85,"A","R"))))</f>
        <v/>
      </c>
      <c r="AS7" s="345" t="str">
        <f t="shared" ref="AS7" si="22">IF(AR7="",IF(AQ7="",AP7,AQ7),AR7)</f>
        <v/>
      </c>
      <c r="AT7" s="346"/>
      <c r="AU7" s="359"/>
      <c r="AV7" s="347">
        <v>42527</v>
      </c>
      <c r="AW7" s="359">
        <v>42527</v>
      </c>
      <c r="AX7" s="359">
        <v>42619</v>
      </c>
      <c r="AY7" s="341">
        <f t="shared" ref="AY7" si="23">IF(AX7="","",DATE(YEAR(AX7),MONTH(AX7)+3,DAY(AX7)))</f>
        <v>42710</v>
      </c>
      <c r="AZ7" s="341"/>
      <c r="BA7" s="341"/>
      <c r="BB7" s="348" t="str">
        <f t="shared" ref="BB7" si="24">IFERROR(IF(1-(AU7-AT7)/(AV7-AT7)&gt;0.9,"G",IF(1-(AU7-AT7)/(AV7-AT7)&gt;0.85,"A","R")),"")</f>
        <v>G</v>
      </c>
      <c r="BC7" s="348" t="str">
        <f t="shared" ref="BC7" si="25">IF(AW7="","",IF((AV7-AT7)/(AW7-AT7)&gt;0.9,"G",(IF((AV7-AT7)/(AW7-AT7)&gt;0.85,"A","R"))))</f>
        <v>G</v>
      </c>
      <c r="BD7" s="348" t="str">
        <f t="shared" ref="BD7" si="26">IF(AX7="","",IF((AV7-AT7)/(AX7-AT7)&gt;0.9,"G",(IF((AV7-AT7)/(AX7-AT7)&gt;0.85,"A","R"))))</f>
        <v>G</v>
      </c>
      <c r="BE7" s="349" t="str">
        <f t="shared" ref="BE7" si="27">IF(BD7="",IF(BC7="",BB7,BC7),BD7)</f>
        <v>G</v>
      </c>
      <c r="BF7" s="350"/>
      <c r="BG7" s="351"/>
      <c r="BH7" s="352">
        <f>VLOOKUP(A7,Finance!$A$3:$J$45,8,FALSE)</f>
        <v>0</v>
      </c>
      <c r="BI7" s="353"/>
      <c r="BJ7" s="351"/>
      <c r="BK7" s="354" t="e">
        <f t="shared" ref="BK7" si="28">(BG7-BF7)/BF7</f>
        <v>#DIV/0!</v>
      </c>
      <c r="BL7" s="354" t="e">
        <f t="shared" ref="BL7" si="29">(BH7-BF7)/BF7</f>
        <v>#DIV/0!</v>
      </c>
      <c r="BM7" s="355" t="str">
        <f t="shared" ref="BM7" si="30">IF(BF7="","",IF(AND(BK7&lt;0.025,BL7&lt;0.025),"G",IF(OR(BK7&gt;0.05,BL7&gt;0.05),"R",IF(AND(BK7&gt;0.025,BL7&gt;0.025),"A","G"))))</f>
        <v/>
      </c>
      <c r="BN7" s="333"/>
      <c r="BO7" s="334" t="s">
        <v>629</v>
      </c>
      <c r="BP7" s="356" t="str">
        <f>IF(AND(BM7="",BE7="",AS7="",W7=""),"",IF(AND(BM7="G",BE7="G",AS7="G",W7="G"),"G",IF(OR(BM7="R",BE7="R",AS7="R",W7="R"),"R",VLOOKUP(CONCATENATE(W7,AS7,BE7,BM7),'Rag Coding'!A:B,2,FALSE))))</f>
        <v>G</v>
      </c>
      <c r="BQ7" s="338" t="s">
        <v>618</v>
      </c>
      <c r="BR7" s="339" t="str">
        <f t="shared" ref="BR7" ca="1" si="31">IF(M7="","",IF(V7&lt;&gt;"","Completed ",IF(AND(U7&lt;&gt;"",P7&gt;TODAY()),"Forecast Completion on "&amp;DAY(P7)&amp;"-"&amp;MONTH(P7)&amp;"-"&amp;YEAR(P7)&amp;CHAR(10)&amp;IF(P7-O7&gt;0,(P7-O7)&amp;" day(s) late",(IF(P7-O7=0,"on time",(O7-P7)&amp;" day(s) early"))),IF(P7&lt;TODAY(),"Forecast Completion in the past, please update","Baseline Complete"))))</f>
        <v/>
      </c>
      <c r="BS7" s="339" t="str">
        <f t="shared" ref="BS7" ca="1" si="32">IF(BR7="Completed ",IF(Q7-O7&gt;0,Q7-O7&amp;" day(s) late",(IF(Q7-O7=0,"on time",O7-Q7&amp;" day(s) early"))),"")</f>
        <v/>
      </c>
      <c r="BT7" s="339" t="str">
        <f t="shared" ref="BT7" ca="1" si="33">IF(X7="","",IF(AG7&lt;&gt;"","Completed ",IF(AND(AF7&lt;&gt;"",AA7&gt;TODAY()),"Forecast Completion on "&amp;DAY(AA7)&amp;"-"&amp;MONTH(AA7)&amp;"-"&amp;YEAR(AA7)&amp;CHAR(10)&amp;IF(AA7-Z7&gt;0,(AA7-Z7)&amp;" day(s) late",(IF(AA7-Z7=0,"on time",(Z7-AA7)&amp;" day(s) early"))),IF(AA7&lt;TODAY(),"Forecast Completion in the past, please update","Baseline Complete"))))</f>
        <v/>
      </c>
      <c r="BU7" s="339" t="str">
        <f t="shared" ref="BU7" ca="1" si="34">IF(BT7="Completed ",IF(AB7-Z7&gt;0,AB7-Z7&amp;" day(s) late",(IF(AB7-Z7=0,"on time",Z7-AB7&amp;" day(s) early"))),"")</f>
        <v/>
      </c>
      <c r="BV7" s="339" t="str">
        <f t="shared" ref="BV7" ca="1" si="35">IF(AI7="","",IF(AR7&lt;&gt;"","Completed ",IF(AND(AQ7&lt;&gt;"",AL7&gt;TODAY()),"Forecast Completion on "&amp;DAY(AL7)&amp;"-"&amp;MONTH(AL7)&amp;"-"&amp;YEAR(AL7)&amp;CHAR(10)&amp;IF(AL7-AK7&gt;0,(AL7-AK7)&amp;" day(s) late",(IF(AL7-AK7=0,"on time",(AK7-AL7)&amp;" day(s) early"))),IF(AL7&lt;TODAY(),"Forecast Completion in the past, please update","Baseline Complete"))))</f>
        <v/>
      </c>
      <c r="BW7" s="339" t="str">
        <f t="shared" ref="BW7" ca="1" si="36">IF(BV7="Completed ",IF(AM7-AK7&gt;0,AM7-AK7&amp;" day(s) late",(IF(AM7-AK7=0,"on time",AK7-AM7&amp;" day(s) early"))),"")</f>
        <v/>
      </c>
      <c r="BX7" s="339" t="str">
        <f t="shared" ref="BX7" ca="1" si="37">IF(AT7="","",IF(BD7&lt;&gt;"","Completed ",IF(AND(BC7&lt;&gt;"",AW7&gt;TODAY()),"Forecast Completion on "&amp;DAY(AW7)&amp;"-"&amp;MONTH(AW7)&amp;"-"&amp;YEAR(AW7)&amp;CHAR(10)&amp;IF(AW7-AV7&gt;0,(AW7-AV7)&amp;" day(s) late",(IF(AW7-AV7=0,"on time",(AV7-AW7)&amp;" day(s) early"))),IF(AW7&lt;TODAY(),"Forecast Completion in the past, please update","Baseline Complete"))))</f>
        <v/>
      </c>
      <c r="BY7" s="339" t="str">
        <f t="shared" ref="BY7" ca="1" si="38">IF(BX7="Completed ",IF(AX7-AV7&gt;0,AX7-AV7&amp;" day(s) late",(IF(AX7-AV7=0,"on time",AV7-AX7&amp;" day(s) early"))),"")</f>
        <v/>
      </c>
      <c r="BZ7" s="339" t="str">
        <f t="shared" ref="BZ7" ca="1" si="39">IF(BX7="Completed ",IF(BG7-BF7&gt;0,"Over budget by £"&amp;(BG7-BF7),"Under budget by £"&amp;BF7-BG7),IF(BG7="","","Current Forecast Spend £"&amp;BG7))</f>
        <v/>
      </c>
      <c r="CA7" s="339" t="str">
        <f t="shared" ref="CA7" si="40">IF(COUNTA(AT7:AX7),"Stage Gate 5",IF(COUNTA(AI7:AM7),"Stage Gate 4", IF(COUNTA(X7:AB7),"Stage Gate 3",  IF(COUNTA(M7:Q7),"Stage Gate 2", "Stage Gate 1"))))</f>
        <v>Stage Gate 5</v>
      </c>
    </row>
    <row r="8" spans="1:79" ht="78.75" customHeight="1" x14ac:dyDescent="0.2">
      <c r="A8" s="228" t="s">
        <v>322</v>
      </c>
      <c r="B8" s="336" t="s">
        <v>325</v>
      </c>
      <c r="C8" s="336" t="s">
        <v>354</v>
      </c>
      <c r="D8" s="335" t="s">
        <v>91</v>
      </c>
      <c r="E8" s="335" t="s">
        <v>105</v>
      </c>
      <c r="F8" s="100"/>
      <c r="G8" s="100" t="s">
        <v>100</v>
      </c>
      <c r="H8" s="232">
        <v>42370</v>
      </c>
      <c r="I8" s="362">
        <f t="shared" ref="I8:I10" si="41">IF(H8="","",DATE(YEAR(H8),MONTH(H8)+1,DAY(H8)))</f>
        <v>42401</v>
      </c>
      <c r="J8" s="231"/>
      <c r="K8" s="361" t="str">
        <f t="shared" ref="K8:K10" si="42">IF(H8="","",IF(J8="","Board Date"&amp;CHAR(10)&amp;TEXT(I8,"dd/mm/yyyy"),"Completed"&amp;CHAR(10)&amp;TEXT(J8,"dd/mm/yyyy")))</f>
        <v>Board Date
01/02/2016</v>
      </c>
      <c r="L8" s="345" t="str">
        <f t="shared" ref="L8:L10" ca="1" si="43">IF(AND(J8="",I8=""),"",IF(AND(J8="",I8&lt;TODAY()),"R","G"))</f>
        <v>R</v>
      </c>
      <c r="M8" s="360"/>
      <c r="N8" s="358"/>
      <c r="O8" s="343"/>
      <c r="P8" s="359"/>
      <c r="Q8" s="358"/>
      <c r="R8" s="337"/>
      <c r="S8" s="337"/>
      <c r="T8" s="344" t="str">
        <f t="shared" ref="T8:T10" si="44">IFERROR(IF(1-(N8-M8)/(O8-M8)&gt;0.9,"G",IF(1-(N8-M8)/(O8-M8)&gt;0.85,"A","R")),"")</f>
        <v/>
      </c>
      <c r="U8" s="344" t="str">
        <f t="shared" ref="U8:U10" si="45">IF(P8="","",IF((O8-M8)/(P8-M8)&gt;0.9,"G",(IF((O8-M8)/(P8-M8)&gt;0.85,"A","R"))))</f>
        <v/>
      </c>
      <c r="V8" s="344" t="str">
        <f t="shared" ref="V8:V10" si="46">IF(Q8="","",IF((O8-M8)/(Q8-M8)&gt;0.9,"G",(IF((O8-M8)/(Q8-M8)&gt;0.85,"A","R"))))</f>
        <v/>
      </c>
      <c r="W8" s="345" t="str">
        <f t="shared" ref="W8:W10" si="47">IF(V8="",IF(U8="",T8,U8),V8)</f>
        <v/>
      </c>
      <c r="X8" s="342"/>
      <c r="Y8" s="358"/>
      <c r="Z8" s="343"/>
      <c r="AA8" s="358"/>
      <c r="AB8" s="358"/>
      <c r="AC8" s="343"/>
      <c r="AD8" s="343"/>
      <c r="AE8" s="344" t="str">
        <f t="shared" ref="AE8:AE10" si="48">IFERROR(IF(1-(Y8-X8)/(Z8-X8)&gt;0.9,"G",IF(1-(Y8-X8)/(Z8-X8)&gt;0.85,"A","R")),"")</f>
        <v/>
      </c>
      <c r="AF8" s="344" t="str">
        <f t="shared" ref="AF8:AF10" si="49">IF(AA8="","",IF((Z8-X8)/(AA8-X8)&gt;0.9,"G",(IF((Z8-X8)/(AA8-X8)&gt;0.85,"A","R"))))</f>
        <v/>
      </c>
      <c r="AG8" s="344" t="str">
        <f t="shared" ref="AG8:AG10" si="50">IF(AB8="","",IF((Z8-X8)/(AB8-X8)&gt;0.9,"G",(IF((Z8-X8)/(AB8-X8)&gt;0.85,"A","R"))))</f>
        <v/>
      </c>
      <c r="AH8" s="345" t="str">
        <f t="shared" ref="AH8:AH10" si="51">IF(AG8="",IF(AF8="",AE8,AF8),AG8)</f>
        <v/>
      </c>
      <c r="AI8" s="342"/>
      <c r="AJ8" s="358"/>
      <c r="AK8" s="343"/>
      <c r="AL8" s="358"/>
      <c r="AM8" s="358"/>
      <c r="AN8" s="343"/>
      <c r="AO8" s="343"/>
      <c r="AP8" s="344" t="str">
        <f t="shared" ref="AP8:AP10" si="52">IFERROR(IF(1-(AJ8-AI8)/(AK8-AI8)&gt;0.9,"G",IF(1-(AJ8-AI8)/(AK8-AI8)&gt;0.85,"A","R")),"")</f>
        <v/>
      </c>
      <c r="AQ8" s="344" t="str">
        <f t="shared" ref="AQ8:AQ10" si="53">IF(AL8="","",IF((AK8-AI8)/(AL8-AI8)&gt;0.9,"G",(IF((AK8-AI8)/(AL8-AI8)&gt;0.85,"A","R"))))</f>
        <v/>
      </c>
      <c r="AR8" s="344" t="str">
        <f t="shared" ref="AR8:AR10" si="54">IF(AM8="","",IF((AK8-AI8)/(AM8-AI8)&gt;0.9,"G",(IF((AK8-AI8)/(AM8-AI8)&gt;0.85,"A","R"))))</f>
        <v/>
      </c>
      <c r="AS8" s="345" t="str">
        <f t="shared" ref="AS8:AS10" si="55">IF(AR8="",IF(AQ8="",AP8,AQ8),AR8)</f>
        <v/>
      </c>
      <c r="AT8" s="346"/>
      <c r="AU8" s="359"/>
      <c r="AV8" s="347">
        <v>42527</v>
      </c>
      <c r="AW8" s="359">
        <v>42527</v>
      </c>
      <c r="AX8" s="359">
        <v>42619</v>
      </c>
      <c r="AY8" s="341">
        <f t="shared" ref="AY8:AY10" si="56">IF(AX8="","",DATE(YEAR(AX8),MONTH(AX8)+3,DAY(AX8)))</f>
        <v>42710</v>
      </c>
      <c r="AZ8" s="341"/>
      <c r="BA8" s="341"/>
      <c r="BB8" s="348" t="str">
        <f t="shared" ref="BB8:BB10" si="57">IFERROR(IF(1-(AU8-AT8)/(AV8-AT8)&gt;0.9,"G",IF(1-(AU8-AT8)/(AV8-AT8)&gt;0.85,"A","R")),"")</f>
        <v>G</v>
      </c>
      <c r="BC8" s="348" t="str">
        <f t="shared" ref="BC8:BC10" si="58">IF(AW8="","",IF((AV8-AT8)/(AW8-AT8)&gt;0.9,"G",(IF((AV8-AT8)/(AW8-AT8)&gt;0.85,"A","R"))))</f>
        <v>G</v>
      </c>
      <c r="BD8" s="348" t="str">
        <f t="shared" ref="BD8:BD10" si="59">IF(AX8="","",IF((AV8-AT8)/(AX8-AT8)&gt;0.9,"G",(IF((AV8-AT8)/(AX8-AT8)&gt;0.85,"A","R"))))</f>
        <v>G</v>
      </c>
      <c r="BE8" s="349" t="str">
        <f t="shared" ref="BE8:BE10" si="60">IF(BD8="",IF(BC8="",BB8,BC8),BD8)</f>
        <v>G</v>
      </c>
      <c r="BF8" s="350"/>
      <c r="BG8" s="351"/>
      <c r="BH8" s="352">
        <f>VLOOKUP(A8,Finance!$A$3:$J$45,8,FALSE)</f>
        <v>0</v>
      </c>
      <c r="BI8" s="353"/>
      <c r="BJ8" s="351"/>
      <c r="BK8" s="354" t="e">
        <f t="shared" ref="BK8:BK10" si="61">(BG8-BF8)/BF8</f>
        <v>#DIV/0!</v>
      </c>
      <c r="BL8" s="354" t="e">
        <f t="shared" ref="BL8:BL10" si="62">(BH8-BF8)/BF8</f>
        <v>#DIV/0!</v>
      </c>
      <c r="BM8" s="355" t="str">
        <f t="shared" ref="BM8:BM10" si="63">IF(BF8="","",IF(AND(BK8&lt;0.025,BL8&lt;0.025),"G",IF(OR(BK8&gt;0.05,BL8&gt;0.05),"R",IF(AND(BK8&gt;0.025,BL8&gt;0.025),"A","G"))))</f>
        <v/>
      </c>
      <c r="BN8" s="333"/>
      <c r="BO8" s="334" t="s">
        <v>628</v>
      </c>
      <c r="BP8" s="356" t="str">
        <f>IF(AND(BM8="",BE8="",AS8="",W8=""),"",IF(AND(BM8="G",BE8="G",AS8="G",W8="G"),"G",IF(OR(BM8="R",BE8="R",AS8="R",W8="R"),"R",VLOOKUP(CONCATENATE(W8,AS8,BE8,BM8),'Rag Coding'!A:B,2,FALSE))))</f>
        <v>G</v>
      </c>
      <c r="BQ8" s="338" t="s">
        <v>618</v>
      </c>
      <c r="BR8" s="339" t="str">
        <f t="shared" ref="BR8:BR10" ca="1" si="64">IF(M8="","",IF(V8&lt;&gt;"","Completed ",IF(AND(U8&lt;&gt;"",P8&gt;TODAY()),"Forecast Completion on "&amp;DAY(P8)&amp;"-"&amp;MONTH(P8)&amp;"-"&amp;YEAR(P8)&amp;CHAR(10)&amp;IF(P8-O8&gt;0,(P8-O8)&amp;" day(s) late",(IF(P8-O8=0,"on time",(O8-P8)&amp;" day(s) early"))),IF(P8&lt;TODAY(),"Forecast Completion in the past, please update","Baseline Complete"))))</f>
        <v/>
      </c>
      <c r="BS8" s="339" t="str">
        <f t="shared" ref="BS8:BS10" ca="1" si="65">IF(BR8="Completed ",IF(Q8-O8&gt;0,Q8-O8&amp;" day(s) late",(IF(Q8-O8=0,"on time",O8-Q8&amp;" day(s) early"))),"")</f>
        <v/>
      </c>
      <c r="BT8" s="339" t="str">
        <f t="shared" ref="BT8:BT10" ca="1" si="66">IF(X8="","",IF(AG8&lt;&gt;"","Completed ",IF(AND(AF8&lt;&gt;"",AA8&gt;TODAY()),"Forecast Completion on "&amp;DAY(AA8)&amp;"-"&amp;MONTH(AA8)&amp;"-"&amp;YEAR(AA8)&amp;CHAR(10)&amp;IF(AA8-Z8&gt;0,(AA8-Z8)&amp;" day(s) late",(IF(AA8-Z8=0,"on time",(Z8-AA8)&amp;" day(s) early"))),IF(AA8&lt;TODAY(),"Forecast Completion in the past, please update","Baseline Complete"))))</f>
        <v/>
      </c>
      <c r="BU8" s="339" t="str">
        <f t="shared" ref="BU8:BU10" ca="1" si="67">IF(BT8="Completed ",IF(AB8-Z8&gt;0,AB8-Z8&amp;" day(s) late",(IF(AB8-Z8=0,"on time",Z8-AB8&amp;" day(s) early"))),"")</f>
        <v/>
      </c>
      <c r="BV8" s="339" t="str">
        <f t="shared" ref="BV8:BV10" ca="1" si="68">IF(AI8="","",IF(AR8&lt;&gt;"","Completed ",IF(AND(AQ8&lt;&gt;"",AL8&gt;TODAY()),"Forecast Completion on "&amp;DAY(AL8)&amp;"-"&amp;MONTH(AL8)&amp;"-"&amp;YEAR(AL8)&amp;CHAR(10)&amp;IF(AL8-AK8&gt;0,(AL8-AK8)&amp;" day(s) late",(IF(AL8-AK8=0,"on time",(AK8-AL8)&amp;" day(s) early"))),IF(AL8&lt;TODAY(),"Forecast Completion in the past, please update","Baseline Complete"))))</f>
        <v/>
      </c>
      <c r="BW8" s="339" t="str">
        <f t="shared" ref="BW8:BW10" ca="1" si="69">IF(BV8="Completed ",IF(AM8-AK8&gt;0,AM8-AK8&amp;" day(s) late",(IF(AM8-AK8=0,"on time",AK8-AM8&amp;" day(s) early"))),"")</f>
        <v/>
      </c>
      <c r="BX8" s="339" t="str">
        <f t="shared" ref="BX8:BX10" ca="1" si="70">IF(AT8="","",IF(BD8&lt;&gt;"","Completed ",IF(AND(BC8&lt;&gt;"",AW8&gt;TODAY()),"Forecast Completion on "&amp;DAY(AW8)&amp;"-"&amp;MONTH(AW8)&amp;"-"&amp;YEAR(AW8)&amp;CHAR(10)&amp;IF(AW8-AV8&gt;0,(AW8-AV8)&amp;" day(s) late",(IF(AW8-AV8=0,"on time",(AV8-AW8)&amp;" day(s) early"))),IF(AW8&lt;TODAY(),"Forecast Completion in the past, please update","Baseline Complete"))))</f>
        <v/>
      </c>
      <c r="BY8" s="339" t="str">
        <f t="shared" ref="BY8:BY10" ca="1" si="71">IF(BX8="Completed ",IF(AX8-AV8&gt;0,AX8-AV8&amp;" day(s) late",(IF(AX8-AV8=0,"on time",AV8-AX8&amp;" day(s) early"))),"")</f>
        <v/>
      </c>
      <c r="BZ8" s="339" t="str">
        <f t="shared" ref="BZ8:BZ10" ca="1" si="72">IF(BX8="Completed ",IF(BG8-BF8&gt;0,"Over budget by £"&amp;(BG8-BF8),"Under budget by £"&amp;BF8-BG8),IF(BG8="","","Current Forecast Spend £"&amp;BG8))</f>
        <v/>
      </c>
      <c r="CA8" s="339" t="str">
        <f t="shared" ref="CA8:CA10" si="73">IF(COUNTA(AT8:AX8),"Stage Gate 5",IF(COUNTA(AI8:AM8),"Stage Gate 4", IF(COUNTA(X8:AB8),"Stage Gate 3",  IF(COUNTA(M8:Q8),"Stage Gate 2", "Stage Gate 1"))))</f>
        <v>Stage Gate 5</v>
      </c>
    </row>
    <row r="9" spans="1:79" ht="202.5" customHeight="1" x14ac:dyDescent="0.2">
      <c r="A9" s="228" t="s">
        <v>316</v>
      </c>
      <c r="B9" s="336" t="s">
        <v>317</v>
      </c>
      <c r="C9" s="336" t="s">
        <v>342</v>
      </c>
      <c r="D9" s="335" t="s">
        <v>93</v>
      </c>
      <c r="E9" s="335" t="s">
        <v>103</v>
      </c>
      <c r="F9" s="100"/>
      <c r="G9" s="100" t="s">
        <v>100</v>
      </c>
      <c r="H9" s="232">
        <v>42370</v>
      </c>
      <c r="I9" s="362">
        <f t="shared" si="41"/>
        <v>42401</v>
      </c>
      <c r="J9" s="231"/>
      <c r="K9" s="361" t="str">
        <f t="shared" si="42"/>
        <v>Board Date
01/02/2016</v>
      </c>
      <c r="L9" s="345" t="str">
        <f t="shared" ca="1" si="43"/>
        <v>R</v>
      </c>
      <c r="M9" s="360"/>
      <c r="N9" s="358"/>
      <c r="O9" s="343"/>
      <c r="P9" s="359"/>
      <c r="Q9" s="358"/>
      <c r="R9" s="337"/>
      <c r="S9" s="337"/>
      <c r="T9" s="344" t="str">
        <f t="shared" si="44"/>
        <v/>
      </c>
      <c r="U9" s="344" t="str">
        <f t="shared" si="45"/>
        <v/>
      </c>
      <c r="V9" s="344" t="str">
        <f t="shared" si="46"/>
        <v/>
      </c>
      <c r="W9" s="345" t="str">
        <f t="shared" si="47"/>
        <v/>
      </c>
      <c r="X9" s="342"/>
      <c r="Y9" s="358"/>
      <c r="Z9" s="343"/>
      <c r="AA9" s="358"/>
      <c r="AB9" s="358"/>
      <c r="AC9" s="343"/>
      <c r="AD9" s="343"/>
      <c r="AE9" s="344" t="str">
        <f t="shared" si="48"/>
        <v/>
      </c>
      <c r="AF9" s="344" t="str">
        <f t="shared" si="49"/>
        <v/>
      </c>
      <c r="AG9" s="344" t="str">
        <f t="shared" si="50"/>
        <v/>
      </c>
      <c r="AH9" s="345" t="str">
        <f t="shared" si="51"/>
        <v/>
      </c>
      <c r="AI9" s="342"/>
      <c r="AJ9" s="358"/>
      <c r="AK9" s="343"/>
      <c r="AL9" s="358"/>
      <c r="AM9" s="358"/>
      <c r="AN9" s="343"/>
      <c r="AO9" s="343"/>
      <c r="AP9" s="344" t="str">
        <f t="shared" si="52"/>
        <v/>
      </c>
      <c r="AQ9" s="344" t="str">
        <f t="shared" si="53"/>
        <v/>
      </c>
      <c r="AR9" s="344" t="str">
        <f t="shared" si="54"/>
        <v/>
      </c>
      <c r="AS9" s="345" t="str">
        <f t="shared" si="55"/>
        <v/>
      </c>
      <c r="AT9" s="346">
        <v>42401</v>
      </c>
      <c r="AU9" s="359">
        <v>42401</v>
      </c>
      <c r="AV9" s="347">
        <v>42422</v>
      </c>
      <c r="AW9" s="359">
        <v>42440</v>
      </c>
      <c r="AX9" s="359">
        <v>42440</v>
      </c>
      <c r="AY9" s="341">
        <f t="shared" si="56"/>
        <v>42532</v>
      </c>
      <c r="AZ9" s="341"/>
      <c r="BA9" s="341"/>
      <c r="BB9" s="348" t="str">
        <f t="shared" si="57"/>
        <v>G</v>
      </c>
      <c r="BC9" s="348" t="str">
        <f t="shared" si="58"/>
        <v>R</v>
      </c>
      <c r="BD9" s="348" t="str">
        <f t="shared" si="59"/>
        <v>R</v>
      </c>
      <c r="BE9" s="349" t="str">
        <f t="shared" si="60"/>
        <v>R</v>
      </c>
      <c r="BF9" s="350">
        <v>44000</v>
      </c>
      <c r="BG9" s="351">
        <v>37400</v>
      </c>
      <c r="BH9" s="352">
        <f>VLOOKUP(A9,Finance!$A$3:$J$45,8,FALSE)</f>
        <v>0</v>
      </c>
      <c r="BI9" s="353">
        <v>25000</v>
      </c>
      <c r="BJ9" s="351"/>
      <c r="BK9" s="354">
        <f t="shared" si="61"/>
        <v>-0.15</v>
      </c>
      <c r="BL9" s="354">
        <f t="shared" si="62"/>
        <v>-1</v>
      </c>
      <c r="BM9" s="355" t="str">
        <f t="shared" si="63"/>
        <v>G</v>
      </c>
      <c r="BN9" s="333" t="s">
        <v>344</v>
      </c>
      <c r="BO9" s="334" t="s">
        <v>570</v>
      </c>
      <c r="BP9" s="356" t="str">
        <f>IF(AND(BM9="",BE9="",AS9="",W9=""),"",IF(AND(BM9="G",BE9="G",AS9="G",W9="G"),"G",IF(OR(BM9="R",BE9="R",AS9="R",W9="R"),"R",VLOOKUP(CONCATENATE(W9,AS9,BE9,BM9),'Rag Coding'!A:B,2,FALSE))))</f>
        <v>R</v>
      </c>
      <c r="BQ9" s="338" t="s">
        <v>617</v>
      </c>
      <c r="BR9" s="339" t="str">
        <f t="shared" ca="1" si="64"/>
        <v/>
      </c>
      <c r="BS9" s="339" t="str">
        <f t="shared" ca="1" si="65"/>
        <v/>
      </c>
      <c r="BT9" s="339" t="str">
        <f t="shared" ca="1" si="66"/>
        <v/>
      </c>
      <c r="BU9" s="339" t="str">
        <f t="shared" ca="1" si="67"/>
        <v/>
      </c>
      <c r="BV9" s="339" t="str">
        <f t="shared" ca="1" si="68"/>
        <v/>
      </c>
      <c r="BW9" s="339" t="str">
        <f t="shared" ca="1" si="69"/>
        <v/>
      </c>
      <c r="BX9" s="339" t="str">
        <f t="shared" ca="1" si="70"/>
        <v xml:space="preserve">Completed </v>
      </c>
      <c r="BY9" s="339" t="str">
        <f t="shared" ca="1" si="71"/>
        <v>18 day(s) late</v>
      </c>
      <c r="BZ9" s="339" t="str">
        <f t="shared" ca="1" si="72"/>
        <v>Under budget by £6600</v>
      </c>
      <c r="CA9" s="339" t="str">
        <f t="shared" si="73"/>
        <v>Stage Gate 5</v>
      </c>
    </row>
    <row r="10" spans="1:79" ht="101.25" customHeight="1" x14ac:dyDescent="0.2">
      <c r="A10" s="228" t="s">
        <v>183</v>
      </c>
      <c r="B10" s="336"/>
      <c r="C10" s="336" t="s">
        <v>184</v>
      </c>
      <c r="D10" s="335" t="s">
        <v>352</v>
      </c>
      <c r="E10" s="335" t="s">
        <v>105</v>
      </c>
      <c r="F10" s="100"/>
      <c r="G10" s="100" t="s">
        <v>178</v>
      </c>
      <c r="H10" s="232">
        <v>42005</v>
      </c>
      <c r="I10" s="362">
        <f t="shared" si="41"/>
        <v>42036</v>
      </c>
      <c r="J10" s="231"/>
      <c r="K10" s="361" t="str">
        <f t="shared" si="42"/>
        <v>Board Date
01/02/2015</v>
      </c>
      <c r="L10" s="345" t="str">
        <f t="shared" ca="1" si="43"/>
        <v>R</v>
      </c>
      <c r="M10" s="360"/>
      <c r="N10" s="358"/>
      <c r="O10" s="343"/>
      <c r="P10" s="359"/>
      <c r="Q10" s="358"/>
      <c r="R10" s="337"/>
      <c r="S10" s="337"/>
      <c r="T10" s="344" t="str">
        <f t="shared" si="44"/>
        <v/>
      </c>
      <c r="U10" s="344" t="str">
        <f t="shared" si="45"/>
        <v/>
      </c>
      <c r="V10" s="344" t="str">
        <f t="shared" si="46"/>
        <v/>
      </c>
      <c r="W10" s="345" t="str">
        <f t="shared" si="47"/>
        <v/>
      </c>
      <c r="X10" s="342"/>
      <c r="Y10" s="358"/>
      <c r="Z10" s="343"/>
      <c r="AA10" s="358"/>
      <c r="AB10" s="358"/>
      <c r="AC10" s="343"/>
      <c r="AD10" s="343"/>
      <c r="AE10" s="344" t="str">
        <f t="shared" si="48"/>
        <v/>
      </c>
      <c r="AF10" s="344" t="str">
        <f t="shared" si="49"/>
        <v/>
      </c>
      <c r="AG10" s="344" t="str">
        <f t="shared" si="50"/>
        <v/>
      </c>
      <c r="AH10" s="345" t="str">
        <f t="shared" si="51"/>
        <v/>
      </c>
      <c r="AI10" s="342"/>
      <c r="AJ10" s="358"/>
      <c r="AK10" s="343"/>
      <c r="AL10" s="358"/>
      <c r="AM10" s="358"/>
      <c r="AN10" s="343"/>
      <c r="AO10" s="343"/>
      <c r="AP10" s="344" t="str">
        <f t="shared" si="52"/>
        <v/>
      </c>
      <c r="AQ10" s="344" t="str">
        <f t="shared" si="53"/>
        <v/>
      </c>
      <c r="AR10" s="344" t="str">
        <f t="shared" si="54"/>
        <v/>
      </c>
      <c r="AS10" s="345" t="str">
        <f t="shared" si="55"/>
        <v/>
      </c>
      <c r="AT10" s="346"/>
      <c r="AU10" s="359"/>
      <c r="AV10" s="347">
        <v>42282</v>
      </c>
      <c r="AW10" s="359">
        <v>42291</v>
      </c>
      <c r="AX10" s="359">
        <v>42291</v>
      </c>
      <c r="AY10" s="341">
        <f t="shared" si="56"/>
        <v>42383</v>
      </c>
      <c r="AZ10" s="341"/>
      <c r="BA10" s="341"/>
      <c r="BB10" s="348" t="str">
        <f t="shared" si="57"/>
        <v>G</v>
      </c>
      <c r="BC10" s="348" t="str">
        <f t="shared" si="58"/>
        <v>G</v>
      </c>
      <c r="BD10" s="348" t="str">
        <f t="shared" si="59"/>
        <v>G</v>
      </c>
      <c r="BE10" s="349" t="str">
        <f t="shared" si="60"/>
        <v>G</v>
      </c>
      <c r="BF10" s="350">
        <v>10000</v>
      </c>
      <c r="BG10" s="351">
        <v>10000</v>
      </c>
      <c r="BH10" s="352">
        <f>VLOOKUP(A10,Finance!$A$3:$J$45,8,FALSE)</f>
        <v>0</v>
      </c>
      <c r="BI10" s="353"/>
      <c r="BJ10" s="351"/>
      <c r="BK10" s="354">
        <f t="shared" si="61"/>
        <v>0</v>
      </c>
      <c r="BL10" s="354">
        <f t="shared" si="62"/>
        <v>-1</v>
      </c>
      <c r="BM10" s="355" t="str">
        <f t="shared" si="63"/>
        <v>G</v>
      </c>
      <c r="BN10" s="333"/>
      <c r="BO10" s="334" t="s">
        <v>626</v>
      </c>
      <c r="BP10" s="356" t="str">
        <f>IF(AND(BM10="",BE10="",AS10="",W10=""),"",IF(AND(BM10="G",BE10="G",AS10="G",W10="G"),"G",IF(OR(BM10="R",BE10="R",AS10="R",W10="R"),"R",VLOOKUP(CONCATENATE(W10,AS10,BE10,BM10),'Rag Coding'!A:B,2,FALSE))))</f>
        <v>G</v>
      </c>
      <c r="BQ10" s="338"/>
      <c r="BR10" s="339" t="str">
        <f t="shared" ca="1" si="64"/>
        <v/>
      </c>
      <c r="BS10" s="339" t="str">
        <f t="shared" ca="1" si="65"/>
        <v/>
      </c>
      <c r="BT10" s="339" t="str">
        <f t="shared" ca="1" si="66"/>
        <v/>
      </c>
      <c r="BU10" s="339" t="str">
        <f t="shared" ca="1" si="67"/>
        <v/>
      </c>
      <c r="BV10" s="339" t="str">
        <f t="shared" ca="1" si="68"/>
        <v/>
      </c>
      <c r="BW10" s="339" t="str">
        <f t="shared" ca="1" si="69"/>
        <v/>
      </c>
      <c r="BX10" s="339" t="str">
        <f t="shared" ca="1" si="70"/>
        <v/>
      </c>
      <c r="BY10" s="339" t="str">
        <f t="shared" ca="1" si="71"/>
        <v/>
      </c>
      <c r="BZ10" s="339" t="str">
        <f t="shared" ca="1" si="72"/>
        <v>Current Forecast Spend £10000</v>
      </c>
      <c r="CA10" s="339" t="str">
        <f t="shared" si="73"/>
        <v>Stage Gate 5</v>
      </c>
    </row>
    <row r="11" spans="1:79" ht="45" x14ac:dyDescent="0.2">
      <c r="A11" s="340"/>
      <c r="B11" s="336"/>
      <c r="C11" s="336"/>
      <c r="D11" s="335"/>
      <c r="E11" s="335"/>
      <c r="F11" s="335"/>
      <c r="G11" s="280"/>
      <c r="H11" s="283"/>
      <c r="I11" s="363" t="str">
        <f t="shared" ref="I11" si="74">IF(H11="","",DATE(YEAR(H11),MONTH(H11)+1,DAY(H11)))</f>
        <v/>
      </c>
      <c r="J11" s="364"/>
      <c r="K11" s="361" t="str">
        <f t="shared" ref="K11" si="75">IF(H11="","",IF(J11="","Board Date"&amp;CHAR(10)&amp;TEXT(I11,"dd/mm/yyyy"),"Completed"&amp;CHAR(10)&amp;TEXT(J11,"dd/mm/yyyy")))</f>
        <v/>
      </c>
      <c r="L11" s="345" t="str">
        <f t="shared" ref="L11" ca="1" si="76">IF(AND(J11="",I11=""),"",IF(AND(J11="",I11&lt;TODAY()),"R","G"))</f>
        <v/>
      </c>
      <c r="M11" s="360"/>
      <c r="N11" s="358"/>
      <c r="O11" s="343"/>
      <c r="P11" s="359"/>
      <c r="Q11" s="358"/>
      <c r="R11" s="337"/>
      <c r="S11" s="337"/>
      <c r="T11" s="344" t="str">
        <f t="shared" ref="T11" si="77">IFERROR(IF(1-(N11-M11)/(O11-M11)&gt;0.9,"G",IF(1-(N11-M11)/(O11-M11)&gt;0.85,"A","R")),"")</f>
        <v/>
      </c>
      <c r="U11" s="344" t="str">
        <f t="shared" ref="U11" si="78">IF(P11="","",IF((O11-M11)/(P11-M11)&gt;0.9,"G",(IF((O11-M11)/(P11-M11)&gt;0.85,"A","R"))))</f>
        <v/>
      </c>
      <c r="V11" s="344" t="str">
        <f t="shared" ref="V11" si="79">IF(Q11="","",IF((O11-M11)/(Q11-M11)&gt;0.9,"G",(IF((O11-M11)/(Q11-M11)&gt;0.85,"A","R"))))</f>
        <v/>
      </c>
      <c r="W11" s="345" t="str">
        <f t="shared" ref="W11" si="80">IF(V11="",IF(U11="",T11,U11),V11)</f>
        <v/>
      </c>
      <c r="X11" s="342"/>
      <c r="Y11" s="358"/>
      <c r="Z11" s="343"/>
      <c r="AA11" s="358"/>
      <c r="AB11" s="358"/>
      <c r="AC11" s="343"/>
      <c r="AD11" s="343"/>
      <c r="AE11" s="344" t="str">
        <f t="shared" ref="AE11" si="81">IFERROR(IF(1-(Y11-X11)/(Z11-X11)&gt;0.9,"G",IF(1-(Y11-X11)/(Z11-X11)&gt;0.85,"A","R")),"")</f>
        <v/>
      </c>
      <c r="AF11" s="344" t="str">
        <f t="shared" ref="AF11" si="82">IF(AA11="","",IF((Z11-X11)/(AA11-X11)&gt;0.9,"G",(IF((Z11-X11)/(AA11-X11)&gt;0.85,"A","R"))))</f>
        <v/>
      </c>
      <c r="AG11" s="344" t="str">
        <f t="shared" ref="AG11" si="83">IF(AB11="","",IF((Z11-X11)/(AB11-X11)&gt;0.9,"G",(IF((Z11-X11)/(AB11-X11)&gt;0.85,"A","R"))))</f>
        <v/>
      </c>
      <c r="AH11" s="345" t="str">
        <f t="shared" ref="AH11" si="84">IF(AG11="",IF(AF11="",AE11,AF11),AG11)</f>
        <v/>
      </c>
      <c r="AI11" s="342"/>
      <c r="AJ11" s="358"/>
      <c r="AK11" s="343"/>
      <c r="AL11" s="358"/>
      <c r="AM11" s="358"/>
      <c r="AN11" s="343"/>
      <c r="AO11" s="343"/>
      <c r="AP11" s="344" t="str">
        <f t="shared" ref="AP11" si="85">IFERROR(IF(1-(AJ11-AI11)/(AK11-AI11)&gt;0.9,"G",IF(1-(AJ11-AI11)/(AK11-AI11)&gt;0.85,"A","R")),"")</f>
        <v/>
      </c>
      <c r="AQ11" s="344" t="str">
        <f t="shared" ref="AQ11" si="86">IF(AL11="","",IF((AK11-AI11)/(AL11-AI11)&gt;0.9,"G",(IF((AK11-AI11)/(AL11-AI11)&gt;0.85,"A","R"))))</f>
        <v/>
      </c>
      <c r="AR11" s="344" t="str">
        <f t="shared" ref="AR11" si="87">IF(AM11="","",IF((AK11-AI11)/(AM11-AI11)&gt;0.9,"G",(IF((AK11-AI11)/(AM11-AI11)&gt;0.85,"A","R"))))</f>
        <v/>
      </c>
      <c r="AS11" s="345" t="str">
        <f t="shared" ref="AS11" si="88">IF(AR11="",IF(AQ11="",AP11,AQ11),AR11)</f>
        <v/>
      </c>
      <c r="AT11" s="346"/>
      <c r="AU11" s="359"/>
      <c r="AV11" s="347"/>
      <c r="AW11" s="359"/>
      <c r="AX11" s="359"/>
      <c r="AY11" s="341" t="str">
        <f t="shared" ref="AY11" si="89">IF(AX11="","",DATE(YEAR(AX11),MONTH(AX11)+3,DAY(AX11)))</f>
        <v/>
      </c>
      <c r="AZ11" s="341"/>
      <c r="BA11" s="341"/>
      <c r="BB11" s="348" t="str">
        <f t="shared" ref="BB11" si="90">IFERROR(IF(1-(AU11-AT11)/(AV11-AT11)&gt;0.9,"G",IF(1-(AU11-AT11)/(AV11-AT11)&gt;0.85,"A","R")),"")</f>
        <v/>
      </c>
      <c r="BC11" s="348" t="str">
        <f t="shared" ref="BC11" si="91">IF(AW11="","",IF((AV11-AT11)/(AW11-AT11)&gt;0.9,"G",(IF((AV11-AT11)/(AW11-AT11)&gt;0.85,"A","R"))))</f>
        <v/>
      </c>
      <c r="BD11" s="348" t="str">
        <f t="shared" ref="BD11" si="92">IF(AX11="","",IF((AV11-AT11)/(AX11-AT11)&gt;0.9,"G",(IF((AV11-AT11)/(AX11-AT11)&gt;0.85,"A","R"))))</f>
        <v/>
      </c>
      <c r="BE11" s="349" t="str">
        <f t="shared" ref="BE11" si="93">IF(BD11="",IF(BC11="",BB11,BC11),BD11)</f>
        <v/>
      </c>
      <c r="BF11" s="350">
        <v>100000</v>
      </c>
      <c r="BG11" s="351">
        <v>100000</v>
      </c>
      <c r="BH11" s="352" t="e">
        <f>VLOOKUP(A11,Finance!$A$3:$J$45,8,FALSE)</f>
        <v>#N/A</v>
      </c>
      <c r="BI11" s="353"/>
      <c r="BJ11" s="351"/>
      <c r="BK11" s="354">
        <f t="shared" ref="BK11" si="94">(BG11-BF11)/BF11</f>
        <v>0</v>
      </c>
      <c r="BL11" s="354" t="e">
        <f t="shared" ref="BL11" si="95">(BH11-BF11)/BF11</f>
        <v>#N/A</v>
      </c>
      <c r="BM11" s="355" t="e">
        <f t="shared" ref="BM11" si="96">IF(BF11="","",IF(AND(BK11&lt;0.025,BL11&lt;0.025),"G",IF(OR(BK11&gt;0.05,BL11&gt;0.05),"R",IF(AND(BK11&gt;0.025,BL11&gt;0.025),"A","G"))))</f>
        <v>#N/A</v>
      </c>
      <c r="BN11" s="333" t="s">
        <v>668</v>
      </c>
      <c r="BO11" s="334" t="s">
        <v>667</v>
      </c>
      <c r="BP11" s="356" t="e">
        <f>IF(AND(BM11="",BE11="",AS11="",W11=""),"",IF(AND(BM11="G",BE11="G",AS11="G",W11="G"),"G",IF(OR(BM11="R",BE11="R",AS11="R",W11="R"),"R",VLOOKUP(CONCATENATE(W11,AS11,BE11,BM11),'Rag Coding'!A:B,2,FALSE))))</f>
        <v>#N/A</v>
      </c>
      <c r="BQ11" s="338"/>
      <c r="BR11" s="339" t="str">
        <f t="shared" ref="BR11" ca="1" si="97">IF(M11="","",IF(V11&lt;&gt;"","Completed ",IF(AND(U11&lt;&gt;"",P11&gt;TODAY()),"Forecast Completion on "&amp;DAY(P11)&amp;"-"&amp;MONTH(P11)&amp;"-"&amp;YEAR(P11)&amp;CHAR(10)&amp;IF(P11-O11&gt;0,(P11-O11)&amp;" day(s) late",(IF(P11-O11=0,"on time",(O11-P11)&amp;" day(s) early"))),IF(P11&lt;TODAY(),"Forecast Completion in the past, please update","Baseline Complete"))))</f>
        <v/>
      </c>
      <c r="BS11" s="339" t="str">
        <f t="shared" ref="BS11" ca="1" si="98">IF(BR11="Completed ",IF(Q11-O11&gt;0,Q11-O11&amp;" day(s) late",(IF(Q11-O11=0,"on time",O11-Q11&amp;" day(s) early"))),"")</f>
        <v/>
      </c>
      <c r="BT11" s="339" t="str">
        <f t="shared" ref="BT11" ca="1" si="99">IF(X11="","",IF(AG11&lt;&gt;"","Completed ",IF(AND(AF11&lt;&gt;"",AA11&gt;TODAY()),"Forecast Completion on "&amp;DAY(AA11)&amp;"-"&amp;MONTH(AA11)&amp;"-"&amp;YEAR(AA11)&amp;CHAR(10)&amp;IF(AA11-Z11&gt;0,(AA11-Z11)&amp;" day(s) late",(IF(AA11-Z11=0,"on time",(Z11-AA11)&amp;" day(s) early"))),IF(AA11&lt;TODAY(),"Forecast Completion in the past, please update","Baseline Complete"))))</f>
        <v/>
      </c>
      <c r="BU11" s="339" t="str">
        <f t="shared" ref="BU11" ca="1" si="100">IF(BT11="Completed ",IF(AB11-Z11&gt;0,AB11-Z11&amp;" day(s) late",(IF(AB11-Z11=0,"on time",Z11-AB11&amp;" day(s) early"))),"")</f>
        <v/>
      </c>
      <c r="BV11" s="339" t="str">
        <f t="shared" ref="BV11" ca="1" si="101">IF(AI11="","",IF(AR11&lt;&gt;"","Completed ",IF(AND(AQ11&lt;&gt;"",AL11&gt;TODAY()),"Forecast Completion on "&amp;DAY(AL11)&amp;"-"&amp;MONTH(AL11)&amp;"-"&amp;YEAR(AL11)&amp;CHAR(10)&amp;IF(AL11-AK11&gt;0,(AL11-AK11)&amp;" day(s) late",(IF(AL11-AK11=0,"on time",(AK11-AL11)&amp;" day(s) early"))),IF(AL11&lt;TODAY(),"Forecast Completion in the past, please update","Baseline Complete"))))</f>
        <v/>
      </c>
      <c r="BW11" s="339" t="str">
        <f t="shared" ref="BW11" ca="1" si="102">IF(BV11="Completed ",IF(AM11-AK11&gt;0,AM11-AK11&amp;" day(s) late",(IF(AM11-AK11=0,"on time",AK11-AM11&amp;" day(s) early"))),"")</f>
        <v/>
      </c>
      <c r="BX11" s="339" t="str">
        <f t="shared" ref="BX11" ca="1" si="103">IF(AT11="","",IF(BD11&lt;&gt;"","Completed ",IF(AND(BC11&lt;&gt;"",AW11&gt;TODAY()),"Forecast Completion on "&amp;DAY(AW11)&amp;"-"&amp;MONTH(AW11)&amp;"-"&amp;YEAR(AW11)&amp;CHAR(10)&amp;IF(AW11-AV11&gt;0,(AW11-AV11)&amp;" day(s) late",(IF(AW11-AV11=0,"on time",(AV11-AW11)&amp;" day(s) early"))),IF(AW11&lt;TODAY(),"Forecast Completion in the past, please update","Baseline Complete"))))</f>
        <v/>
      </c>
      <c r="BY11" s="339" t="str">
        <f t="shared" ref="BY11" ca="1" si="104">IF(BX11="Completed ",IF(AX11-AV11&gt;0,AX11-AV11&amp;" day(s) late",(IF(AX11-AV11=0,"on time",AV11-AX11&amp;" day(s) early"))),"")</f>
        <v/>
      </c>
      <c r="BZ11" s="339" t="str">
        <f t="shared" ref="BZ11" ca="1" si="105">IF(BX11="Completed ",IF(BG11-BF11&gt;0,"Over budget by £"&amp;(BG11-BF11),"Under budget by £"&amp;BF11-BG11),IF(BG11="","","Current Forecast Spend £"&amp;BG11))</f>
        <v>Current Forecast Spend £100000</v>
      </c>
      <c r="CA11" s="38" t="str">
        <f t="shared" ref="CA11" si="106">IF(COUNTA(AT11:AX11),"Stage Gate 5",IF(COUNTA(AI11:AM11),"Stage Gate 4", IF(COUNTA(X11:AB11),"Stage Gate 3",  IF(COUNTA(M11:Q11),"Stage Gate 2", "Stage Gate 1"))))</f>
        <v>Stage Gate 1</v>
      </c>
    </row>
    <row r="12" spans="1:79" ht="56.25" customHeight="1" x14ac:dyDescent="0.2">
      <c r="A12" s="44"/>
      <c r="B12" s="21"/>
      <c r="C12" s="21"/>
      <c r="D12" s="20"/>
      <c r="E12" s="20"/>
      <c r="F12" s="100"/>
      <c r="G12" s="100"/>
      <c r="H12" s="170"/>
      <c r="I12" s="158"/>
      <c r="J12" s="163"/>
      <c r="K12" s="162"/>
      <c r="L12" s="54"/>
      <c r="M12" s="148"/>
      <c r="N12" s="120"/>
      <c r="O12" s="52"/>
      <c r="P12" s="121"/>
      <c r="Q12" s="120"/>
      <c r="R12" s="28"/>
      <c r="S12" s="28"/>
      <c r="T12" s="53"/>
      <c r="U12" s="53"/>
      <c r="V12" s="53"/>
      <c r="W12" s="54"/>
      <c r="X12" s="51"/>
      <c r="Y12" s="120"/>
      <c r="Z12" s="52"/>
      <c r="AA12" s="120"/>
      <c r="AB12" s="120"/>
      <c r="AC12" s="52"/>
      <c r="AD12" s="52"/>
      <c r="AE12" s="53"/>
      <c r="AF12" s="53"/>
      <c r="AG12" s="53"/>
      <c r="AH12" s="54"/>
      <c r="AI12" s="51"/>
      <c r="AJ12" s="120"/>
      <c r="AK12" s="52"/>
      <c r="AL12" s="120"/>
      <c r="AM12" s="120"/>
      <c r="AN12" s="52"/>
      <c r="AO12" s="52"/>
      <c r="AP12" s="53"/>
      <c r="AQ12" s="53"/>
      <c r="AR12" s="53"/>
      <c r="AS12" s="54"/>
      <c r="AT12" s="55"/>
      <c r="AU12" s="121"/>
      <c r="AV12" s="56"/>
      <c r="AW12" s="121"/>
      <c r="AX12" s="121"/>
      <c r="AY12" s="45"/>
      <c r="AZ12" s="45"/>
      <c r="BA12" s="45"/>
      <c r="BB12" s="57"/>
      <c r="BC12" s="57"/>
      <c r="BD12" s="57"/>
      <c r="BE12" s="58"/>
      <c r="BF12" s="59"/>
      <c r="BG12" s="60"/>
      <c r="BH12" s="61"/>
      <c r="BI12" s="62"/>
      <c r="BJ12" s="60"/>
      <c r="BK12" s="63"/>
      <c r="BL12" s="63"/>
      <c r="BM12" s="64"/>
      <c r="BN12" s="18"/>
      <c r="BO12" s="19"/>
      <c r="BP12" s="65"/>
      <c r="BQ12" s="37"/>
      <c r="BR12" s="39" t="str">
        <f t="shared" ca="1" si="0"/>
        <v/>
      </c>
      <c r="BS12" s="39" t="str">
        <f t="shared" ca="1" si="1"/>
        <v/>
      </c>
      <c r="BT12" s="39" t="str">
        <f t="shared" ca="1" si="2"/>
        <v/>
      </c>
      <c r="BU12" s="39" t="str">
        <f t="shared" ca="1" si="3"/>
        <v/>
      </c>
      <c r="BV12" s="39" t="str">
        <f t="shared" ca="1" si="4"/>
        <v/>
      </c>
      <c r="BW12" s="39" t="str">
        <f t="shared" ca="1" si="5"/>
        <v/>
      </c>
      <c r="BX12" s="39" t="str">
        <f t="shared" ca="1" si="6"/>
        <v/>
      </c>
      <c r="BY12" s="39" t="str">
        <f t="shared" ca="1" si="7"/>
        <v/>
      </c>
      <c r="BZ12" s="39" t="str">
        <f t="shared" ref="BZ12:BZ47" ca="1" si="107">IF(BX12="Completed ",IF(BG12-BF12&gt;0,"Over budget by £"&amp;(BG12-BF12),"Under budget by £"&amp;BF12-BG12),IF(BG12="","","Current Forecast Spend £"&amp;BG12))</f>
        <v/>
      </c>
      <c r="CA12" s="38"/>
    </row>
    <row r="13" spans="1:79" ht="56.25" customHeight="1" x14ac:dyDescent="0.2">
      <c r="A13" s="44"/>
      <c r="B13" s="21"/>
      <c r="C13" s="21"/>
      <c r="D13" s="20"/>
      <c r="E13" s="20"/>
      <c r="F13" s="100"/>
      <c r="G13" s="100"/>
      <c r="H13" s="170"/>
      <c r="I13" s="158"/>
      <c r="J13" s="163"/>
      <c r="K13" s="162"/>
      <c r="L13" s="54"/>
      <c r="M13" s="148"/>
      <c r="N13" s="120"/>
      <c r="O13" s="52"/>
      <c r="P13" s="121"/>
      <c r="Q13" s="120"/>
      <c r="R13" s="28"/>
      <c r="S13" s="28"/>
      <c r="T13" s="53"/>
      <c r="U13" s="53"/>
      <c r="V13" s="53"/>
      <c r="W13" s="54"/>
      <c r="X13" s="51"/>
      <c r="Y13" s="120"/>
      <c r="Z13" s="52"/>
      <c r="AA13" s="121"/>
      <c r="AB13" s="120"/>
      <c r="AC13" s="52"/>
      <c r="AD13" s="52"/>
      <c r="AE13" s="53"/>
      <c r="AF13" s="53"/>
      <c r="AG13" s="53"/>
      <c r="AH13" s="54"/>
      <c r="AI13" s="51"/>
      <c r="AJ13" s="120"/>
      <c r="AK13" s="52"/>
      <c r="AL13" s="121"/>
      <c r="AM13" s="120"/>
      <c r="AN13" s="52"/>
      <c r="AO13" s="52"/>
      <c r="AP13" s="53"/>
      <c r="AQ13" s="53"/>
      <c r="AR13" s="53"/>
      <c r="AS13" s="54"/>
      <c r="AT13" s="55"/>
      <c r="AU13" s="121"/>
      <c r="AV13" s="56"/>
      <c r="AW13" s="121"/>
      <c r="AX13" s="121"/>
      <c r="AY13" s="45"/>
      <c r="AZ13" s="45"/>
      <c r="BA13" s="45"/>
      <c r="BB13" s="57"/>
      <c r="BC13" s="57"/>
      <c r="BD13" s="57"/>
      <c r="BE13" s="58"/>
      <c r="BF13" s="59"/>
      <c r="BG13" s="60"/>
      <c r="BH13" s="61"/>
      <c r="BI13" s="62"/>
      <c r="BJ13" s="60"/>
      <c r="BK13" s="63"/>
      <c r="BL13" s="63"/>
      <c r="BM13" s="64"/>
      <c r="BN13" s="130"/>
      <c r="BO13" s="129"/>
      <c r="BP13" s="65"/>
      <c r="BQ13" s="37"/>
      <c r="BR13" s="39" t="str">
        <f t="shared" ca="1" si="0"/>
        <v/>
      </c>
      <c r="BS13" s="39" t="str">
        <f t="shared" ca="1" si="1"/>
        <v/>
      </c>
      <c r="BT13" s="39" t="str">
        <f t="shared" ca="1" si="2"/>
        <v/>
      </c>
      <c r="BU13" s="39" t="str">
        <f t="shared" ca="1" si="3"/>
        <v/>
      </c>
      <c r="BV13" s="39" t="str">
        <f t="shared" ca="1" si="4"/>
        <v/>
      </c>
      <c r="BW13" s="39" t="str">
        <f t="shared" ca="1" si="5"/>
        <v/>
      </c>
      <c r="BX13" s="39" t="str">
        <f t="shared" ca="1" si="6"/>
        <v/>
      </c>
      <c r="BY13" s="39" t="str">
        <f t="shared" ca="1" si="7"/>
        <v/>
      </c>
      <c r="BZ13" s="39" t="str">
        <f t="shared" ca="1" si="107"/>
        <v/>
      </c>
      <c r="CA13" s="38"/>
    </row>
    <row r="14" spans="1:79" x14ac:dyDescent="0.2">
      <c r="A14" s="44"/>
      <c r="B14" s="21"/>
      <c r="C14" s="21"/>
      <c r="D14" s="20"/>
      <c r="E14" s="20"/>
      <c r="F14" s="100"/>
      <c r="G14" s="100"/>
      <c r="H14" s="170"/>
      <c r="I14" s="158"/>
      <c r="J14" s="163"/>
      <c r="K14" s="162"/>
      <c r="L14" s="54"/>
      <c r="M14" s="148"/>
      <c r="N14" s="120"/>
      <c r="O14" s="52"/>
      <c r="P14" s="121"/>
      <c r="Q14" s="120"/>
      <c r="R14" s="28"/>
      <c r="S14" s="28"/>
      <c r="T14" s="53"/>
      <c r="U14" s="53"/>
      <c r="V14" s="53"/>
      <c r="W14" s="54"/>
      <c r="X14" s="51"/>
      <c r="Y14" s="120"/>
      <c r="Z14" s="52"/>
      <c r="AA14" s="120"/>
      <c r="AB14" s="120"/>
      <c r="AC14" s="52"/>
      <c r="AD14" s="52"/>
      <c r="AE14" s="53"/>
      <c r="AF14" s="53"/>
      <c r="AG14" s="53"/>
      <c r="AH14" s="54"/>
      <c r="AI14" s="51"/>
      <c r="AJ14" s="120"/>
      <c r="AK14" s="52"/>
      <c r="AL14" s="120"/>
      <c r="AM14" s="120"/>
      <c r="AN14" s="52"/>
      <c r="AO14" s="52"/>
      <c r="AP14" s="53"/>
      <c r="AQ14" s="53"/>
      <c r="AR14" s="53"/>
      <c r="AS14" s="54"/>
      <c r="AT14" s="55"/>
      <c r="AU14" s="121"/>
      <c r="AV14" s="56"/>
      <c r="AW14" s="121"/>
      <c r="AX14" s="121"/>
      <c r="AY14" s="45"/>
      <c r="AZ14" s="45"/>
      <c r="BA14" s="45"/>
      <c r="BB14" s="57"/>
      <c r="BC14" s="57"/>
      <c r="BD14" s="57"/>
      <c r="BE14" s="58"/>
      <c r="BF14" s="59"/>
      <c r="BG14" s="60"/>
      <c r="BH14" s="61"/>
      <c r="BI14" s="62"/>
      <c r="BJ14" s="60"/>
      <c r="BK14" s="63"/>
      <c r="BL14" s="63"/>
      <c r="BM14" s="64"/>
      <c r="BN14" s="130"/>
      <c r="BO14" s="129"/>
      <c r="BP14" s="65"/>
      <c r="BQ14" s="37"/>
      <c r="BR14" s="39" t="str">
        <f t="shared" ca="1" si="0"/>
        <v/>
      </c>
      <c r="BS14" s="39" t="str">
        <f t="shared" ca="1" si="1"/>
        <v/>
      </c>
      <c r="BT14" s="39" t="str">
        <f t="shared" ca="1" si="2"/>
        <v/>
      </c>
      <c r="BU14" s="39" t="str">
        <f t="shared" ca="1" si="3"/>
        <v/>
      </c>
      <c r="BV14" s="39" t="str">
        <f t="shared" ca="1" si="4"/>
        <v/>
      </c>
      <c r="BW14" s="39" t="str">
        <f t="shared" ca="1" si="5"/>
        <v/>
      </c>
      <c r="BX14" s="39" t="str">
        <f t="shared" ca="1" si="6"/>
        <v/>
      </c>
      <c r="BY14" s="39" t="str">
        <f t="shared" ca="1" si="7"/>
        <v/>
      </c>
      <c r="BZ14" s="39" t="str">
        <f t="shared" ca="1" si="107"/>
        <v/>
      </c>
      <c r="CA14" s="38"/>
    </row>
    <row r="15" spans="1:79" ht="135" customHeight="1" x14ac:dyDescent="0.2">
      <c r="A15" s="44"/>
      <c r="B15" s="21"/>
      <c r="C15" s="21"/>
      <c r="D15" s="20"/>
      <c r="E15" s="20"/>
      <c r="F15" s="100"/>
      <c r="G15" s="100"/>
      <c r="H15" s="170"/>
      <c r="I15" s="158"/>
      <c r="J15" s="163"/>
      <c r="K15" s="162"/>
      <c r="L15" s="54"/>
      <c r="M15" s="148"/>
      <c r="N15" s="120"/>
      <c r="O15" s="52"/>
      <c r="P15" s="121"/>
      <c r="Q15" s="120"/>
      <c r="R15" s="28"/>
      <c r="S15" s="28"/>
      <c r="T15" s="53"/>
      <c r="U15" s="53"/>
      <c r="V15" s="53"/>
      <c r="W15" s="54"/>
      <c r="X15" s="51"/>
      <c r="Y15" s="120"/>
      <c r="Z15" s="52"/>
      <c r="AA15" s="120"/>
      <c r="AB15" s="120"/>
      <c r="AC15" s="52"/>
      <c r="AD15" s="52"/>
      <c r="AE15" s="53"/>
      <c r="AF15" s="53"/>
      <c r="AG15" s="53"/>
      <c r="AH15" s="54"/>
      <c r="AI15" s="51"/>
      <c r="AJ15" s="120"/>
      <c r="AK15" s="52"/>
      <c r="AL15" s="120"/>
      <c r="AM15" s="120"/>
      <c r="AN15" s="52"/>
      <c r="AO15" s="52"/>
      <c r="AP15" s="53"/>
      <c r="AQ15" s="53"/>
      <c r="AR15" s="53"/>
      <c r="AS15" s="54"/>
      <c r="AT15" s="55"/>
      <c r="AU15" s="121"/>
      <c r="AV15" s="56"/>
      <c r="AW15" s="121"/>
      <c r="AX15" s="121"/>
      <c r="AY15" s="45"/>
      <c r="AZ15" s="45"/>
      <c r="BA15" s="45"/>
      <c r="BB15" s="57"/>
      <c r="BC15" s="57"/>
      <c r="BD15" s="57"/>
      <c r="BE15" s="58"/>
      <c r="BF15" s="59"/>
      <c r="BG15" s="60"/>
      <c r="BH15" s="61"/>
      <c r="BI15" s="62"/>
      <c r="BJ15" s="60"/>
      <c r="BK15" s="63"/>
      <c r="BL15" s="63"/>
      <c r="BM15" s="64"/>
      <c r="BN15" s="18"/>
      <c r="BO15" s="129"/>
      <c r="BP15" s="65"/>
      <c r="BQ15" s="37"/>
      <c r="BR15" s="39" t="str">
        <f t="shared" ca="1" si="0"/>
        <v/>
      </c>
      <c r="BS15" s="39" t="str">
        <f t="shared" ca="1" si="1"/>
        <v/>
      </c>
      <c r="BT15" s="39" t="str">
        <f t="shared" ca="1" si="2"/>
        <v/>
      </c>
      <c r="BU15" s="39" t="str">
        <f t="shared" ca="1" si="3"/>
        <v/>
      </c>
      <c r="BV15" s="39" t="str">
        <f t="shared" ca="1" si="4"/>
        <v/>
      </c>
      <c r="BW15" s="39" t="str">
        <f t="shared" ca="1" si="5"/>
        <v/>
      </c>
      <c r="BX15" s="39" t="str">
        <f t="shared" ca="1" si="6"/>
        <v/>
      </c>
      <c r="BY15" s="39" t="str">
        <f t="shared" ca="1" si="7"/>
        <v/>
      </c>
      <c r="BZ15" s="39" t="str">
        <f t="shared" ca="1" si="107"/>
        <v/>
      </c>
      <c r="CA15" s="38"/>
    </row>
    <row r="16" spans="1:79" ht="90" customHeight="1" x14ac:dyDescent="0.2">
      <c r="A16" s="44"/>
      <c r="B16" s="21"/>
      <c r="C16" s="21"/>
      <c r="D16" s="20"/>
      <c r="E16" s="20"/>
      <c r="F16" s="100"/>
      <c r="G16" s="100"/>
      <c r="H16" s="170"/>
      <c r="I16" s="158"/>
      <c r="J16" s="163"/>
      <c r="K16" s="162"/>
      <c r="L16" s="54"/>
      <c r="M16" s="148"/>
      <c r="N16" s="120"/>
      <c r="O16" s="52"/>
      <c r="P16" s="121"/>
      <c r="Q16" s="120"/>
      <c r="R16" s="28"/>
      <c r="S16" s="28"/>
      <c r="T16" s="53"/>
      <c r="U16" s="53"/>
      <c r="V16" s="53"/>
      <c r="W16" s="54"/>
      <c r="X16" s="51"/>
      <c r="Y16" s="120"/>
      <c r="Z16" s="52"/>
      <c r="AA16" s="120"/>
      <c r="AB16" s="120"/>
      <c r="AC16" s="52"/>
      <c r="AD16" s="52"/>
      <c r="AE16" s="53"/>
      <c r="AF16" s="53"/>
      <c r="AG16" s="53"/>
      <c r="AH16" s="54"/>
      <c r="AI16" s="51"/>
      <c r="AJ16" s="120"/>
      <c r="AK16" s="52"/>
      <c r="AL16" s="120"/>
      <c r="AM16" s="120"/>
      <c r="AN16" s="52"/>
      <c r="AO16" s="52"/>
      <c r="AP16" s="53"/>
      <c r="AQ16" s="53"/>
      <c r="AR16" s="53"/>
      <c r="AS16" s="54"/>
      <c r="AT16" s="55"/>
      <c r="AU16" s="121"/>
      <c r="AV16" s="56"/>
      <c r="AW16" s="121"/>
      <c r="AX16" s="121"/>
      <c r="AY16" s="45"/>
      <c r="AZ16" s="45"/>
      <c r="BA16" s="45"/>
      <c r="BB16" s="57"/>
      <c r="BC16" s="57"/>
      <c r="BD16" s="57"/>
      <c r="BE16" s="58"/>
      <c r="BF16" s="59"/>
      <c r="BG16" s="60"/>
      <c r="BH16" s="61"/>
      <c r="BI16" s="62"/>
      <c r="BJ16" s="60"/>
      <c r="BK16" s="63"/>
      <c r="BL16" s="63"/>
      <c r="BM16" s="64"/>
      <c r="BN16" s="18"/>
      <c r="BO16" s="129"/>
      <c r="BP16" s="65"/>
      <c r="BQ16" s="37"/>
      <c r="BR16" s="39" t="str">
        <f t="shared" ca="1" si="0"/>
        <v/>
      </c>
      <c r="BS16" s="39" t="str">
        <f t="shared" ca="1" si="1"/>
        <v/>
      </c>
      <c r="BT16" s="39" t="str">
        <f t="shared" ca="1" si="2"/>
        <v/>
      </c>
      <c r="BU16" s="39" t="str">
        <f t="shared" ca="1" si="3"/>
        <v/>
      </c>
      <c r="BV16" s="39" t="str">
        <f t="shared" ca="1" si="4"/>
        <v/>
      </c>
      <c r="BW16" s="39" t="str">
        <f t="shared" ca="1" si="5"/>
        <v/>
      </c>
      <c r="BX16" s="39" t="str">
        <f t="shared" ca="1" si="6"/>
        <v/>
      </c>
      <c r="BY16" s="39" t="str">
        <f t="shared" ca="1" si="7"/>
        <v/>
      </c>
      <c r="BZ16" s="39" t="str">
        <f t="shared" ca="1" si="107"/>
        <v/>
      </c>
      <c r="CA16" s="38"/>
    </row>
    <row r="17" spans="1:79" ht="67.5" customHeight="1" x14ac:dyDescent="0.2">
      <c r="A17" s="44"/>
      <c r="B17" s="21"/>
      <c r="C17" s="21"/>
      <c r="D17" s="20"/>
      <c r="E17" s="20"/>
      <c r="F17" s="100"/>
      <c r="G17" s="100"/>
      <c r="H17" s="170"/>
      <c r="I17" s="158"/>
      <c r="J17" s="163"/>
      <c r="K17" s="162"/>
      <c r="L17" s="54"/>
      <c r="M17" s="148"/>
      <c r="N17" s="120"/>
      <c r="O17" s="52"/>
      <c r="P17" s="121"/>
      <c r="Q17" s="120"/>
      <c r="R17" s="28"/>
      <c r="S17" s="28"/>
      <c r="T17" s="53"/>
      <c r="U17" s="53"/>
      <c r="V17" s="53"/>
      <c r="W17" s="54"/>
      <c r="X17" s="51"/>
      <c r="Y17" s="120"/>
      <c r="Z17" s="52"/>
      <c r="AA17" s="120"/>
      <c r="AB17" s="120"/>
      <c r="AC17" s="52"/>
      <c r="AD17" s="52"/>
      <c r="AE17" s="53"/>
      <c r="AF17" s="53"/>
      <c r="AG17" s="53"/>
      <c r="AH17" s="54"/>
      <c r="AI17" s="51"/>
      <c r="AJ17" s="120"/>
      <c r="AK17" s="52"/>
      <c r="AL17" s="120"/>
      <c r="AM17" s="120"/>
      <c r="AN17" s="52"/>
      <c r="AO17" s="52"/>
      <c r="AP17" s="53"/>
      <c r="AQ17" s="53"/>
      <c r="AR17" s="53"/>
      <c r="AS17" s="54"/>
      <c r="AT17" s="55"/>
      <c r="AU17" s="121"/>
      <c r="AV17" s="56"/>
      <c r="AW17" s="121"/>
      <c r="AX17" s="121"/>
      <c r="AY17" s="45"/>
      <c r="AZ17" s="45"/>
      <c r="BA17" s="45"/>
      <c r="BB17" s="57"/>
      <c r="BC17" s="57"/>
      <c r="BD17" s="57"/>
      <c r="BE17" s="58"/>
      <c r="BF17" s="59"/>
      <c r="BG17" s="60"/>
      <c r="BH17" s="61"/>
      <c r="BI17" s="62"/>
      <c r="BJ17" s="60"/>
      <c r="BK17" s="63"/>
      <c r="BL17" s="63"/>
      <c r="BM17" s="64"/>
      <c r="BN17" s="18"/>
      <c r="BO17" s="129"/>
      <c r="BP17" s="65"/>
      <c r="BQ17" s="37"/>
      <c r="BR17" s="39" t="str">
        <f t="shared" ca="1" si="0"/>
        <v/>
      </c>
      <c r="BS17" s="39" t="str">
        <f t="shared" ca="1" si="1"/>
        <v/>
      </c>
      <c r="BT17" s="39" t="str">
        <f t="shared" ca="1" si="2"/>
        <v/>
      </c>
      <c r="BU17" s="39" t="str">
        <f t="shared" ca="1" si="3"/>
        <v/>
      </c>
      <c r="BV17" s="39" t="str">
        <f t="shared" ca="1" si="4"/>
        <v/>
      </c>
      <c r="BW17" s="39" t="str">
        <f t="shared" ca="1" si="5"/>
        <v/>
      </c>
      <c r="BX17" s="39" t="str">
        <f t="shared" ca="1" si="6"/>
        <v/>
      </c>
      <c r="BY17" s="39" t="str">
        <f t="shared" ca="1" si="7"/>
        <v/>
      </c>
      <c r="BZ17" s="39" t="str">
        <f t="shared" ca="1" si="107"/>
        <v/>
      </c>
      <c r="CA17" s="38"/>
    </row>
    <row r="18" spans="1:79" ht="78.75" customHeight="1" x14ac:dyDescent="0.2">
      <c r="A18" s="44"/>
      <c r="B18" s="21"/>
      <c r="C18" s="21"/>
      <c r="D18" s="20"/>
      <c r="E18" s="20"/>
      <c r="F18" s="100"/>
      <c r="G18" s="100"/>
      <c r="H18" s="170"/>
      <c r="I18" s="158"/>
      <c r="J18" s="163"/>
      <c r="K18" s="162"/>
      <c r="L18" s="54"/>
      <c r="M18" s="148"/>
      <c r="N18" s="120"/>
      <c r="O18" s="52"/>
      <c r="P18" s="121"/>
      <c r="Q18" s="120"/>
      <c r="R18" s="28"/>
      <c r="S18" s="28"/>
      <c r="T18" s="53"/>
      <c r="U18" s="53"/>
      <c r="V18" s="53"/>
      <c r="W18" s="54"/>
      <c r="X18" s="51"/>
      <c r="Y18" s="120"/>
      <c r="Z18" s="52"/>
      <c r="AA18" s="120"/>
      <c r="AB18" s="120"/>
      <c r="AC18" s="52"/>
      <c r="AD18" s="52"/>
      <c r="AE18" s="53"/>
      <c r="AF18" s="53"/>
      <c r="AG18" s="53"/>
      <c r="AH18" s="54"/>
      <c r="AI18" s="51"/>
      <c r="AJ18" s="119"/>
      <c r="AK18" s="52"/>
      <c r="AL18" s="120"/>
      <c r="AM18" s="120"/>
      <c r="AN18" s="52"/>
      <c r="AO18" s="52"/>
      <c r="AP18" s="53"/>
      <c r="AQ18" s="53"/>
      <c r="AR18" s="53"/>
      <c r="AS18" s="54"/>
      <c r="AT18" s="55"/>
      <c r="AU18" s="121"/>
      <c r="AV18" s="56"/>
      <c r="AW18" s="121"/>
      <c r="AX18" s="121"/>
      <c r="AY18" s="45"/>
      <c r="AZ18" s="45"/>
      <c r="BA18" s="45"/>
      <c r="BB18" s="57"/>
      <c r="BC18" s="57"/>
      <c r="BD18" s="57"/>
      <c r="BE18" s="58"/>
      <c r="BF18" s="59"/>
      <c r="BG18" s="60"/>
      <c r="BH18" s="61"/>
      <c r="BI18" s="62"/>
      <c r="BJ18" s="60"/>
      <c r="BK18" s="63"/>
      <c r="BL18" s="63"/>
      <c r="BM18" s="64"/>
      <c r="BN18" s="130"/>
      <c r="BO18" s="129"/>
      <c r="BP18" s="65"/>
      <c r="BQ18" s="37"/>
      <c r="BR18" s="39" t="str">
        <f t="shared" ca="1" si="0"/>
        <v/>
      </c>
      <c r="BS18" s="39" t="str">
        <f t="shared" ca="1" si="1"/>
        <v/>
      </c>
      <c r="BT18" s="39" t="str">
        <f t="shared" ca="1" si="2"/>
        <v/>
      </c>
      <c r="BU18" s="39" t="str">
        <f t="shared" ca="1" si="3"/>
        <v/>
      </c>
      <c r="BV18" s="39" t="str">
        <f t="shared" ca="1" si="4"/>
        <v/>
      </c>
      <c r="BW18" s="39" t="str">
        <f t="shared" ca="1" si="5"/>
        <v/>
      </c>
      <c r="BX18" s="39" t="str">
        <f t="shared" ca="1" si="6"/>
        <v/>
      </c>
      <c r="BY18" s="39" t="str">
        <f t="shared" ca="1" si="7"/>
        <v/>
      </c>
      <c r="BZ18" s="39" t="str">
        <f t="shared" ca="1" si="107"/>
        <v/>
      </c>
      <c r="CA18" s="38"/>
    </row>
    <row r="19" spans="1:79" ht="101.25" customHeight="1" x14ac:dyDescent="0.2">
      <c r="A19" s="44"/>
      <c r="B19" s="21"/>
      <c r="C19" s="21"/>
      <c r="D19" s="20"/>
      <c r="E19" s="20"/>
      <c r="F19" s="100"/>
      <c r="G19" s="100"/>
      <c r="H19" s="170"/>
      <c r="I19" s="158"/>
      <c r="J19" s="163"/>
      <c r="K19" s="162"/>
      <c r="L19" s="54"/>
      <c r="M19" s="148"/>
      <c r="N19" s="120"/>
      <c r="O19" s="52"/>
      <c r="P19" s="121"/>
      <c r="Q19" s="120"/>
      <c r="R19" s="28"/>
      <c r="S19" s="28"/>
      <c r="T19" s="53"/>
      <c r="U19" s="53"/>
      <c r="V19" s="53"/>
      <c r="W19" s="54"/>
      <c r="X19" s="51"/>
      <c r="Y19" s="120"/>
      <c r="Z19" s="52"/>
      <c r="AA19" s="120"/>
      <c r="AB19" s="120"/>
      <c r="AC19" s="52"/>
      <c r="AD19" s="52"/>
      <c r="AE19" s="53"/>
      <c r="AF19" s="53"/>
      <c r="AG19" s="53"/>
      <c r="AH19" s="54"/>
      <c r="AI19" s="51"/>
      <c r="AJ19" s="120"/>
      <c r="AK19" s="52"/>
      <c r="AL19" s="120"/>
      <c r="AM19" s="120"/>
      <c r="AN19" s="52"/>
      <c r="AO19" s="52"/>
      <c r="AP19" s="53"/>
      <c r="AQ19" s="53"/>
      <c r="AR19" s="53"/>
      <c r="AS19" s="54"/>
      <c r="AT19" s="55"/>
      <c r="AU19" s="121"/>
      <c r="AV19" s="56"/>
      <c r="AW19" s="121"/>
      <c r="AX19" s="121"/>
      <c r="AY19" s="45"/>
      <c r="AZ19" s="45"/>
      <c r="BA19" s="45"/>
      <c r="BB19" s="57"/>
      <c r="BC19" s="57"/>
      <c r="BD19" s="57"/>
      <c r="BE19" s="58"/>
      <c r="BF19" s="59"/>
      <c r="BG19" s="60"/>
      <c r="BH19" s="61"/>
      <c r="BI19" s="62"/>
      <c r="BJ19" s="60"/>
      <c r="BK19" s="63"/>
      <c r="BL19" s="63"/>
      <c r="BM19" s="64"/>
      <c r="BN19" s="18"/>
      <c r="BO19" s="129"/>
      <c r="BP19" s="65"/>
      <c r="BQ19" s="37"/>
      <c r="BR19" s="39" t="str">
        <f t="shared" ca="1" si="0"/>
        <v/>
      </c>
      <c r="BS19" s="39" t="str">
        <f t="shared" ca="1" si="1"/>
        <v/>
      </c>
      <c r="BT19" s="39" t="str">
        <f t="shared" ca="1" si="2"/>
        <v/>
      </c>
      <c r="BU19" s="39" t="str">
        <f t="shared" ca="1" si="3"/>
        <v/>
      </c>
      <c r="BV19" s="39" t="str">
        <f t="shared" ca="1" si="4"/>
        <v/>
      </c>
      <c r="BW19" s="39" t="str">
        <f t="shared" ca="1" si="5"/>
        <v/>
      </c>
      <c r="BX19" s="39" t="str">
        <f t="shared" ca="1" si="6"/>
        <v/>
      </c>
      <c r="BY19" s="39" t="str">
        <f t="shared" ca="1" si="7"/>
        <v/>
      </c>
      <c r="BZ19" s="39" t="str">
        <f t="shared" ca="1" si="107"/>
        <v/>
      </c>
      <c r="CA19" s="38"/>
    </row>
    <row r="20" spans="1:79" ht="258.75" customHeight="1" x14ac:dyDescent="0.2">
      <c r="A20" s="44"/>
      <c r="B20" s="21"/>
      <c r="C20" s="21"/>
      <c r="D20" s="20"/>
      <c r="E20" s="20"/>
      <c r="F20" s="100"/>
      <c r="G20" s="100"/>
      <c r="H20" s="170"/>
      <c r="I20" s="158"/>
      <c r="J20" s="163"/>
      <c r="K20" s="162"/>
      <c r="L20" s="54"/>
      <c r="M20" s="148"/>
      <c r="N20" s="120"/>
      <c r="O20" s="52"/>
      <c r="P20" s="121"/>
      <c r="Q20" s="120"/>
      <c r="R20" s="28"/>
      <c r="S20" s="28"/>
      <c r="T20" s="53"/>
      <c r="U20" s="53"/>
      <c r="V20" s="53"/>
      <c r="W20" s="54"/>
      <c r="X20" s="51"/>
      <c r="Y20" s="120"/>
      <c r="Z20" s="52"/>
      <c r="AA20" s="120"/>
      <c r="AB20" s="120"/>
      <c r="AC20" s="52"/>
      <c r="AD20" s="52"/>
      <c r="AE20" s="53"/>
      <c r="AF20" s="53"/>
      <c r="AG20" s="53"/>
      <c r="AH20" s="54"/>
      <c r="AI20" s="51"/>
      <c r="AJ20" s="120"/>
      <c r="AK20" s="52"/>
      <c r="AL20" s="120"/>
      <c r="AM20" s="120"/>
      <c r="AN20" s="52"/>
      <c r="AO20" s="52"/>
      <c r="AP20" s="53"/>
      <c r="AQ20" s="53"/>
      <c r="AR20" s="53"/>
      <c r="AS20" s="54"/>
      <c r="AT20" s="55"/>
      <c r="AU20" s="121"/>
      <c r="AV20" s="56"/>
      <c r="AW20" s="121"/>
      <c r="AX20" s="121"/>
      <c r="AY20" s="45"/>
      <c r="AZ20" s="45"/>
      <c r="BA20" s="45"/>
      <c r="BB20" s="57"/>
      <c r="BC20" s="57"/>
      <c r="BD20" s="57"/>
      <c r="BE20" s="58"/>
      <c r="BF20" s="59"/>
      <c r="BG20" s="60"/>
      <c r="BH20" s="61"/>
      <c r="BI20" s="62"/>
      <c r="BJ20" s="60"/>
      <c r="BK20" s="63"/>
      <c r="BL20" s="63"/>
      <c r="BM20" s="64"/>
      <c r="BN20" s="130"/>
      <c r="BO20" s="19"/>
      <c r="BP20" s="65"/>
      <c r="BQ20" s="37"/>
      <c r="BR20" s="39" t="str">
        <f t="shared" ca="1" si="0"/>
        <v/>
      </c>
      <c r="BS20" s="39" t="str">
        <f t="shared" ca="1" si="1"/>
        <v/>
      </c>
      <c r="BT20" s="39" t="str">
        <f t="shared" ca="1" si="2"/>
        <v/>
      </c>
      <c r="BU20" s="39" t="str">
        <f t="shared" ca="1" si="3"/>
        <v/>
      </c>
      <c r="BV20" s="39" t="str">
        <f t="shared" ca="1" si="4"/>
        <v/>
      </c>
      <c r="BW20" s="39" t="str">
        <f t="shared" ca="1" si="5"/>
        <v/>
      </c>
      <c r="BX20" s="39" t="str">
        <f t="shared" ca="1" si="6"/>
        <v/>
      </c>
      <c r="BY20" s="39" t="str">
        <f t="shared" ca="1" si="7"/>
        <v/>
      </c>
      <c r="BZ20" s="39" t="str">
        <f t="shared" ca="1" si="107"/>
        <v/>
      </c>
      <c r="CA20" s="38"/>
    </row>
    <row r="21" spans="1:79" ht="45" customHeight="1" x14ac:dyDescent="0.2">
      <c r="A21" s="44"/>
      <c r="B21" s="21"/>
      <c r="C21" s="21"/>
      <c r="D21" s="20"/>
      <c r="E21" s="20"/>
      <c r="F21" s="100"/>
      <c r="G21" s="100"/>
      <c r="H21" s="170"/>
      <c r="I21" s="158"/>
      <c r="J21" s="163"/>
      <c r="K21" s="162"/>
      <c r="L21" s="54"/>
      <c r="M21" s="148"/>
      <c r="N21" s="120"/>
      <c r="O21" s="52"/>
      <c r="P21" s="121"/>
      <c r="Q21" s="120"/>
      <c r="R21" s="28"/>
      <c r="S21" s="28"/>
      <c r="T21" s="53"/>
      <c r="U21" s="53"/>
      <c r="V21" s="53"/>
      <c r="W21" s="54"/>
      <c r="X21" s="51"/>
      <c r="Y21" s="120"/>
      <c r="Z21" s="52"/>
      <c r="AA21" s="120"/>
      <c r="AB21" s="120"/>
      <c r="AC21" s="52"/>
      <c r="AD21" s="52"/>
      <c r="AE21" s="53"/>
      <c r="AF21" s="53"/>
      <c r="AG21" s="53"/>
      <c r="AH21" s="54"/>
      <c r="AI21" s="51"/>
      <c r="AJ21" s="120"/>
      <c r="AK21" s="52"/>
      <c r="AL21" s="120"/>
      <c r="AM21" s="120"/>
      <c r="AN21" s="52"/>
      <c r="AO21" s="52"/>
      <c r="AP21" s="53"/>
      <c r="AQ21" s="53"/>
      <c r="AR21" s="53"/>
      <c r="AS21" s="54"/>
      <c r="AT21" s="55"/>
      <c r="AU21" s="121"/>
      <c r="AV21" s="56"/>
      <c r="AW21" s="121"/>
      <c r="AX21" s="121"/>
      <c r="AY21" s="45"/>
      <c r="AZ21" s="45"/>
      <c r="BA21" s="45"/>
      <c r="BB21" s="57"/>
      <c r="BC21" s="57"/>
      <c r="BD21" s="57"/>
      <c r="BE21" s="58"/>
      <c r="BF21" s="59"/>
      <c r="BG21" s="60"/>
      <c r="BH21" s="61"/>
      <c r="BI21" s="62"/>
      <c r="BJ21" s="60"/>
      <c r="BK21" s="63"/>
      <c r="BL21" s="63"/>
      <c r="BM21" s="64"/>
      <c r="BN21" s="130"/>
      <c r="BO21" s="129"/>
      <c r="BP21" s="65"/>
      <c r="BQ21" s="37"/>
      <c r="BR21" s="39" t="str">
        <f t="shared" ca="1" si="0"/>
        <v/>
      </c>
      <c r="BS21" s="39" t="str">
        <f t="shared" ca="1" si="1"/>
        <v/>
      </c>
      <c r="BT21" s="39" t="str">
        <f t="shared" ca="1" si="2"/>
        <v/>
      </c>
      <c r="BU21" s="39" t="str">
        <f t="shared" ca="1" si="3"/>
        <v/>
      </c>
      <c r="BV21" s="39" t="str">
        <f t="shared" ca="1" si="4"/>
        <v/>
      </c>
      <c r="BW21" s="39" t="str">
        <f t="shared" ca="1" si="5"/>
        <v/>
      </c>
      <c r="BX21" s="39" t="str">
        <f t="shared" ca="1" si="6"/>
        <v/>
      </c>
      <c r="BY21" s="39" t="str">
        <f t="shared" ca="1" si="7"/>
        <v/>
      </c>
      <c r="BZ21" s="39" t="str">
        <f t="shared" ca="1" si="107"/>
        <v/>
      </c>
      <c r="CA21" s="38"/>
    </row>
    <row r="22" spans="1:79" x14ac:dyDescent="0.2">
      <c r="A22" s="44"/>
      <c r="B22" s="21"/>
      <c r="C22" s="21"/>
      <c r="D22" s="20"/>
      <c r="E22" s="20"/>
      <c r="F22" s="100"/>
      <c r="G22" s="100"/>
      <c r="H22" s="170"/>
      <c r="I22" s="158"/>
      <c r="J22" s="163"/>
      <c r="K22" s="162"/>
      <c r="L22" s="54"/>
      <c r="M22" s="148"/>
      <c r="N22" s="120"/>
      <c r="O22" s="52"/>
      <c r="P22" s="121"/>
      <c r="Q22" s="120"/>
      <c r="R22" s="28"/>
      <c r="S22" s="28"/>
      <c r="T22" s="53"/>
      <c r="U22" s="53"/>
      <c r="V22" s="53"/>
      <c r="W22" s="54"/>
      <c r="X22" s="51"/>
      <c r="Y22" s="120"/>
      <c r="Z22" s="52"/>
      <c r="AA22" s="120"/>
      <c r="AB22" s="120"/>
      <c r="AC22" s="52"/>
      <c r="AD22" s="52"/>
      <c r="AE22" s="53"/>
      <c r="AF22" s="53"/>
      <c r="AG22" s="53"/>
      <c r="AH22" s="54"/>
      <c r="AI22" s="51"/>
      <c r="AJ22" s="120"/>
      <c r="AK22" s="52"/>
      <c r="AL22" s="120"/>
      <c r="AM22" s="120"/>
      <c r="AN22" s="52"/>
      <c r="AO22" s="52"/>
      <c r="AP22" s="53"/>
      <c r="AQ22" s="53"/>
      <c r="AR22" s="53"/>
      <c r="AS22" s="54"/>
      <c r="AT22" s="55"/>
      <c r="AU22" s="121"/>
      <c r="AV22" s="56"/>
      <c r="AW22" s="121"/>
      <c r="AX22" s="121"/>
      <c r="AY22" s="45"/>
      <c r="AZ22" s="45"/>
      <c r="BA22" s="45"/>
      <c r="BB22" s="57"/>
      <c r="BC22" s="57"/>
      <c r="BD22" s="57"/>
      <c r="BE22" s="58"/>
      <c r="BF22" s="59"/>
      <c r="BG22" s="60"/>
      <c r="BH22" s="61"/>
      <c r="BI22" s="62"/>
      <c r="BJ22" s="60"/>
      <c r="BK22" s="63"/>
      <c r="BL22" s="63"/>
      <c r="BM22" s="64"/>
      <c r="BN22" s="18"/>
      <c r="BO22" s="129"/>
      <c r="BP22" s="65"/>
      <c r="BQ22" s="37"/>
      <c r="BR22" s="39" t="str">
        <f t="shared" ca="1" si="0"/>
        <v/>
      </c>
      <c r="BS22" s="39" t="str">
        <f t="shared" ca="1" si="1"/>
        <v/>
      </c>
      <c r="BT22" s="39" t="str">
        <f t="shared" ca="1" si="2"/>
        <v/>
      </c>
      <c r="BU22" s="39" t="str">
        <f t="shared" ca="1" si="3"/>
        <v/>
      </c>
      <c r="BV22" s="39" t="str">
        <f t="shared" ca="1" si="4"/>
        <v/>
      </c>
      <c r="BW22" s="39" t="str">
        <f t="shared" ca="1" si="5"/>
        <v/>
      </c>
      <c r="BX22" s="39" t="str">
        <f t="shared" ca="1" si="6"/>
        <v/>
      </c>
      <c r="BY22" s="39" t="str">
        <f t="shared" ca="1" si="7"/>
        <v/>
      </c>
      <c r="BZ22" s="39" t="str">
        <f t="shared" ca="1" si="107"/>
        <v/>
      </c>
      <c r="CA22" s="38"/>
    </row>
    <row r="23" spans="1:79" ht="225" customHeight="1" x14ac:dyDescent="0.2">
      <c r="A23" s="44"/>
      <c r="B23" s="21"/>
      <c r="C23" s="21"/>
      <c r="D23" s="20"/>
      <c r="E23" s="20"/>
      <c r="F23" s="100"/>
      <c r="G23" s="100"/>
      <c r="H23" s="170"/>
      <c r="I23" s="158"/>
      <c r="J23" s="163"/>
      <c r="K23" s="162"/>
      <c r="L23" s="54"/>
      <c r="M23" s="148"/>
      <c r="N23" s="120"/>
      <c r="O23" s="52"/>
      <c r="P23" s="121"/>
      <c r="Q23" s="120"/>
      <c r="R23" s="28"/>
      <c r="S23" s="28"/>
      <c r="T23" s="53"/>
      <c r="U23" s="53"/>
      <c r="V23" s="53"/>
      <c r="W23" s="54"/>
      <c r="X23" s="51"/>
      <c r="Y23" s="120"/>
      <c r="Z23" s="52"/>
      <c r="AA23" s="120"/>
      <c r="AB23" s="120"/>
      <c r="AC23" s="52"/>
      <c r="AD23" s="52"/>
      <c r="AE23" s="53"/>
      <c r="AF23" s="53"/>
      <c r="AG23" s="53"/>
      <c r="AH23" s="54"/>
      <c r="AI23" s="51"/>
      <c r="AJ23" s="120"/>
      <c r="AK23" s="52"/>
      <c r="AL23" s="120"/>
      <c r="AM23" s="120"/>
      <c r="AN23" s="52"/>
      <c r="AO23" s="52"/>
      <c r="AP23" s="53"/>
      <c r="AQ23" s="53"/>
      <c r="AR23" s="53"/>
      <c r="AS23" s="54"/>
      <c r="AT23" s="55"/>
      <c r="AU23" s="121"/>
      <c r="AV23" s="56"/>
      <c r="AW23" s="121"/>
      <c r="AX23" s="121"/>
      <c r="AY23" s="45"/>
      <c r="AZ23" s="45"/>
      <c r="BA23" s="45"/>
      <c r="BB23" s="57"/>
      <c r="BC23" s="57"/>
      <c r="BD23" s="57"/>
      <c r="BE23" s="58"/>
      <c r="BF23" s="59"/>
      <c r="BG23" s="60"/>
      <c r="BH23" s="61"/>
      <c r="BI23" s="62"/>
      <c r="BJ23" s="60"/>
      <c r="BK23" s="63"/>
      <c r="BL23" s="63"/>
      <c r="BM23" s="64"/>
      <c r="BN23" s="18"/>
      <c r="BO23" s="19"/>
      <c r="BP23" s="65"/>
      <c r="BQ23" s="37"/>
      <c r="BR23" s="39" t="str">
        <f t="shared" ca="1" si="0"/>
        <v/>
      </c>
      <c r="BS23" s="39" t="str">
        <f t="shared" ca="1" si="1"/>
        <v/>
      </c>
      <c r="BT23" s="39" t="str">
        <f t="shared" ca="1" si="2"/>
        <v/>
      </c>
      <c r="BU23" s="39" t="str">
        <f t="shared" ca="1" si="3"/>
        <v/>
      </c>
      <c r="BV23" s="39" t="str">
        <f t="shared" ca="1" si="4"/>
        <v/>
      </c>
      <c r="BW23" s="39" t="str">
        <f t="shared" ca="1" si="5"/>
        <v/>
      </c>
      <c r="BX23" s="39" t="str">
        <f t="shared" ca="1" si="6"/>
        <v/>
      </c>
      <c r="BY23" s="39" t="str">
        <f t="shared" ca="1" si="7"/>
        <v/>
      </c>
      <c r="BZ23" s="39" t="str">
        <f t="shared" ca="1" si="107"/>
        <v/>
      </c>
      <c r="CA23" s="38"/>
    </row>
    <row r="24" spans="1:79" ht="123.75" customHeight="1" x14ac:dyDescent="0.2">
      <c r="A24" s="44"/>
      <c r="B24" s="21"/>
      <c r="C24" s="21"/>
      <c r="D24" s="20"/>
      <c r="E24" s="20"/>
      <c r="F24" s="100"/>
      <c r="G24" s="100"/>
      <c r="H24" s="170"/>
      <c r="I24" s="158"/>
      <c r="J24" s="163"/>
      <c r="K24" s="162"/>
      <c r="L24" s="54"/>
      <c r="M24" s="148"/>
      <c r="N24" s="120"/>
      <c r="O24" s="52"/>
      <c r="P24" s="121"/>
      <c r="Q24" s="120"/>
      <c r="R24" s="28"/>
      <c r="S24" s="28"/>
      <c r="T24" s="53"/>
      <c r="U24" s="53"/>
      <c r="V24" s="53"/>
      <c r="W24" s="54"/>
      <c r="X24" s="51"/>
      <c r="Y24" s="120"/>
      <c r="Z24" s="52"/>
      <c r="AA24" s="120"/>
      <c r="AB24" s="120"/>
      <c r="AC24" s="52"/>
      <c r="AD24" s="52"/>
      <c r="AE24" s="53"/>
      <c r="AF24" s="53"/>
      <c r="AG24" s="53"/>
      <c r="AH24" s="54"/>
      <c r="AI24" s="51"/>
      <c r="AJ24" s="120"/>
      <c r="AK24" s="52"/>
      <c r="AL24" s="120"/>
      <c r="AM24" s="120"/>
      <c r="AN24" s="52"/>
      <c r="AO24" s="52"/>
      <c r="AP24" s="53"/>
      <c r="AQ24" s="53"/>
      <c r="AR24" s="53"/>
      <c r="AS24" s="54"/>
      <c r="AT24" s="55"/>
      <c r="AU24" s="121"/>
      <c r="AV24" s="56"/>
      <c r="AW24" s="121"/>
      <c r="AX24" s="121"/>
      <c r="AY24" s="45"/>
      <c r="AZ24" s="45"/>
      <c r="BA24" s="45"/>
      <c r="BB24" s="57"/>
      <c r="BC24" s="57"/>
      <c r="BD24" s="57"/>
      <c r="BE24" s="58"/>
      <c r="BF24" s="59"/>
      <c r="BG24" s="60"/>
      <c r="BH24" s="61"/>
      <c r="BI24" s="62"/>
      <c r="BJ24" s="60"/>
      <c r="BK24" s="63"/>
      <c r="BL24" s="63"/>
      <c r="BM24" s="64"/>
      <c r="BN24" s="18"/>
      <c r="BO24" s="19"/>
      <c r="BP24" s="65"/>
      <c r="BQ24" s="37"/>
      <c r="BR24" s="39" t="str">
        <f t="shared" ca="1" si="0"/>
        <v/>
      </c>
      <c r="BS24" s="39" t="str">
        <f t="shared" ca="1" si="1"/>
        <v/>
      </c>
      <c r="BT24" s="39" t="str">
        <f t="shared" ca="1" si="2"/>
        <v/>
      </c>
      <c r="BU24" s="39" t="str">
        <f t="shared" ca="1" si="3"/>
        <v/>
      </c>
      <c r="BV24" s="39" t="str">
        <f t="shared" ca="1" si="4"/>
        <v/>
      </c>
      <c r="BW24" s="39" t="str">
        <f t="shared" ca="1" si="5"/>
        <v/>
      </c>
      <c r="BX24" s="39" t="str">
        <f t="shared" ca="1" si="6"/>
        <v/>
      </c>
      <c r="BY24" s="39" t="str">
        <f t="shared" ca="1" si="7"/>
        <v/>
      </c>
      <c r="BZ24" s="39" t="str">
        <f t="shared" ca="1" si="107"/>
        <v/>
      </c>
      <c r="CA24" s="38"/>
    </row>
    <row r="25" spans="1:79" ht="78.75" customHeight="1" x14ac:dyDescent="0.2">
      <c r="A25" s="44"/>
      <c r="B25" s="21"/>
      <c r="C25" s="21"/>
      <c r="D25" s="20"/>
      <c r="E25" s="20"/>
      <c r="F25" s="100"/>
      <c r="G25" s="100"/>
      <c r="H25" s="170"/>
      <c r="I25" s="158"/>
      <c r="J25" s="163"/>
      <c r="K25" s="162"/>
      <c r="L25" s="54"/>
      <c r="M25" s="148"/>
      <c r="N25" s="120"/>
      <c r="O25" s="52"/>
      <c r="P25" s="121"/>
      <c r="Q25" s="120"/>
      <c r="R25" s="28"/>
      <c r="S25" s="28"/>
      <c r="T25" s="53"/>
      <c r="U25" s="53"/>
      <c r="V25" s="53"/>
      <c r="W25" s="54"/>
      <c r="X25" s="51"/>
      <c r="Y25" s="120"/>
      <c r="Z25" s="52"/>
      <c r="AA25" s="120"/>
      <c r="AB25" s="120"/>
      <c r="AC25" s="52"/>
      <c r="AD25" s="52"/>
      <c r="AE25" s="53"/>
      <c r="AF25" s="53"/>
      <c r="AG25" s="53"/>
      <c r="AH25" s="54"/>
      <c r="AI25" s="51"/>
      <c r="AJ25" s="120"/>
      <c r="AK25" s="52"/>
      <c r="AL25" s="120"/>
      <c r="AM25" s="120"/>
      <c r="AN25" s="52"/>
      <c r="AO25" s="52"/>
      <c r="AP25" s="53"/>
      <c r="AQ25" s="53"/>
      <c r="AR25" s="53"/>
      <c r="AS25" s="54"/>
      <c r="AT25" s="55"/>
      <c r="AU25" s="121"/>
      <c r="AV25" s="56"/>
      <c r="AW25" s="121"/>
      <c r="AX25" s="121"/>
      <c r="AY25" s="45"/>
      <c r="AZ25" s="45"/>
      <c r="BA25" s="45"/>
      <c r="BB25" s="57"/>
      <c r="BC25" s="57"/>
      <c r="BD25" s="57"/>
      <c r="BE25" s="58"/>
      <c r="BF25" s="59"/>
      <c r="BG25" s="60"/>
      <c r="BH25" s="61"/>
      <c r="BI25" s="62"/>
      <c r="BJ25" s="60"/>
      <c r="BK25" s="63"/>
      <c r="BL25" s="63"/>
      <c r="BM25" s="64"/>
      <c r="BN25" s="18"/>
      <c r="BO25" s="19"/>
      <c r="BP25" s="65"/>
      <c r="BQ25" s="37"/>
      <c r="BR25" s="39" t="str">
        <f t="shared" ca="1" si="0"/>
        <v/>
      </c>
      <c r="BS25" s="39" t="str">
        <f t="shared" ca="1" si="1"/>
        <v/>
      </c>
      <c r="BT25" s="39" t="str">
        <f t="shared" ca="1" si="2"/>
        <v/>
      </c>
      <c r="BU25" s="39" t="str">
        <f t="shared" ca="1" si="3"/>
        <v/>
      </c>
      <c r="BV25" s="39" t="str">
        <f t="shared" ca="1" si="4"/>
        <v/>
      </c>
      <c r="BW25" s="39" t="str">
        <f t="shared" ca="1" si="5"/>
        <v/>
      </c>
      <c r="BX25" s="39" t="str">
        <f t="shared" ca="1" si="6"/>
        <v/>
      </c>
      <c r="BY25" s="39" t="str">
        <f t="shared" ca="1" si="7"/>
        <v/>
      </c>
      <c r="BZ25" s="39" t="str">
        <f t="shared" ca="1" si="107"/>
        <v/>
      </c>
      <c r="CA25" s="38"/>
    </row>
    <row r="26" spans="1:79" ht="101.25" customHeight="1" x14ac:dyDescent="0.2">
      <c r="A26" s="44"/>
      <c r="B26" s="21"/>
      <c r="C26" s="21"/>
      <c r="D26" s="20"/>
      <c r="E26" s="20"/>
      <c r="F26" s="100"/>
      <c r="G26" s="100"/>
      <c r="H26" s="170"/>
      <c r="I26" s="158"/>
      <c r="J26" s="163"/>
      <c r="K26" s="162"/>
      <c r="L26" s="54"/>
      <c r="M26" s="148"/>
      <c r="N26" s="120"/>
      <c r="O26" s="52"/>
      <c r="P26" s="121"/>
      <c r="Q26" s="120"/>
      <c r="R26" s="28"/>
      <c r="S26" s="28"/>
      <c r="T26" s="53"/>
      <c r="U26" s="53"/>
      <c r="V26" s="53"/>
      <c r="W26" s="54"/>
      <c r="X26" s="51"/>
      <c r="Y26" s="120"/>
      <c r="Z26" s="52"/>
      <c r="AA26" s="120"/>
      <c r="AB26" s="120"/>
      <c r="AC26" s="52"/>
      <c r="AD26" s="52"/>
      <c r="AE26" s="53"/>
      <c r="AF26" s="53"/>
      <c r="AG26" s="53"/>
      <c r="AH26" s="54"/>
      <c r="AI26" s="51"/>
      <c r="AJ26" s="120"/>
      <c r="AK26" s="52"/>
      <c r="AL26" s="120"/>
      <c r="AM26" s="120"/>
      <c r="AN26" s="52"/>
      <c r="AO26" s="52"/>
      <c r="AP26" s="53"/>
      <c r="AQ26" s="53"/>
      <c r="AR26" s="53"/>
      <c r="AS26" s="54"/>
      <c r="AT26" s="55"/>
      <c r="AU26" s="121"/>
      <c r="AV26" s="56"/>
      <c r="AW26" s="121"/>
      <c r="AX26" s="121"/>
      <c r="AY26" s="45"/>
      <c r="AZ26" s="45"/>
      <c r="BA26" s="45"/>
      <c r="BB26" s="57"/>
      <c r="BC26" s="57"/>
      <c r="BD26" s="57"/>
      <c r="BE26" s="58"/>
      <c r="BF26" s="59"/>
      <c r="BG26" s="60"/>
      <c r="BH26" s="61"/>
      <c r="BI26" s="62"/>
      <c r="BJ26" s="60"/>
      <c r="BK26" s="63"/>
      <c r="BL26" s="63"/>
      <c r="BM26" s="64"/>
      <c r="BN26" s="18"/>
      <c r="BO26" s="29"/>
      <c r="BP26" s="65"/>
      <c r="BQ26" s="37"/>
      <c r="BR26" s="39" t="str">
        <f t="shared" ca="1" si="0"/>
        <v/>
      </c>
      <c r="BS26" s="39" t="str">
        <f t="shared" ca="1" si="1"/>
        <v/>
      </c>
      <c r="BT26" s="39" t="str">
        <f t="shared" ca="1" si="2"/>
        <v/>
      </c>
      <c r="BU26" s="39" t="str">
        <f t="shared" ca="1" si="3"/>
        <v/>
      </c>
      <c r="BV26" s="39" t="str">
        <f t="shared" ca="1" si="4"/>
        <v/>
      </c>
      <c r="BW26" s="39" t="str">
        <f t="shared" ca="1" si="5"/>
        <v/>
      </c>
      <c r="BX26" s="39" t="str">
        <f t="shared" ca="1" si="6"/>
        <v/>
      </c>
      <c r="BY26" s="39" t="str">
        <f t="shared" ca="1" si="7"/>
        <v/>
      </c>
      <c r="BZ26" s="39" t="str">
        <f t="shared" ca="1" si="107"/>
        <v/>
      </c>
      <c r="CA26" s="38"/>
    </row>
    <row r="27" spans="1:79" ht="101.25" customHeight="1" x14ac:dyDescent="0.2">
      <c r="A27" s="44"/>
      <c r="B27" s="21"/>
      <c r="C27" s="21"/>
      <c r="D27" s="20"/>
      <c r="E27" s="20"/>
      <c r="F27" s="100"/>
      <c r="G27" s="100"/>
      <c r="H27" s="170"/>
      <c r="I27" s="158"/>
      <c r="J27" s="163"/>
      <c r="K27" s="162"/>
      <c r="L27" s="54"/>
      <c r="M27" s="148"/>
      <c r="N27" s="120"/>
      <c r="O27" s="52"/>
      <c r="P27" s="121"/>
      <c r="Q27" s="120"/>
      <c r="R27" s="28"/>
      <c r="S27" s="28"/>
      <c r="T27" s="53"/>
      <c r="U27" s="53"/>
      <c r="V27" s="53"/>
      <c r="W27" s="54"/>
      <c r="X27" s="51"/>
      <c r="Y27" s="120"/>
      <c r="Z27" s="52"/>
      <c r="AA27" s="120"/>
      <c r="AB27" s="120"/>
      <c r="AC27" s="52"/>
      <c r="AD27" s="52"/>
      <c r="AE27" s="53"/>
      <c r="AF27" s="53"/>
      <c r="AG27" s="53"/>
      <c r="AH27" s="54"/>
      <c r="AI27" s="51"/>
      <c r="AJ27" s="120"/>
      <c r="AK27" s="52"/>
      <c r="AL27" s="120"/>
      <c r="AM27" s="120"/>
      <c r="AN27" s="52"/>
      <c r="AO27" s="52"/>
      <c r="AP27" s="53"/>
      <c r="AQ27" s="53"/>
      <c r="AR27" s="53"/>
      <c r="AS27" s="54"/>
      <c r="AT27" s="55"/>
      <c r="AU27" s="121"/>
      <c r="AV27" s="56"/>
      <c r="AW27" s="121"/>
      <c r="AX27" s="121"/>
      <c r="AY27" s="45"/>
      <c r="AZ27" s="45"/>
      <c r="BA27" s="45"/>
      <c r="BB27" s="57"/>
      <c r="BC27" s="57"/>
      <c r="BD27" s="57"/>
      <c r="BE27" s="58"/>
      <c r="BF27" s="59"/>
      <c r="BG27" s="60"/>
      <c r="BH27" s="61"/>
      <c r="BI27" s="62"/>
      <c r="BJ27" s="60"/>
      <c r="BK27" s="63"/>
      <c r="BL27" s="63"/>
      <c r="BM27" s="64"/>
      <c r="BN27" s="18"/>
      <c r="BO27" s="19"/>
      <c r="BP27" s="65"/>
      <c r="BQ27" s="37"/>
      <c r="BR27" s="39" t="str">
        <f t="shared" ca="1" si="0"/>
        <v/>
      </c>
      <c r="BS27" s="39" t="str">
        <f t="shared" ca="1" si="1"/>
        <v/>
      </c>
      <c r="BT27" s="39" t="str">
        <f t="shared" ca="1" si="2"/>
        <v/>
      </c>
      <c r="BU27" s="39" t="str">
        <f t="shared" ca="1" si="3"/>
        <v/>
      </c>
      <c r="BV27" s="39" t="str">
        <f t="shared" ca="1" si="4"/>
        <v/>
      </c>
      <c r="BW27" s="39" t="str">
        <f t="shared" ca="1" si="5"/>
        <v/>
      </c>
      <c r="BX27" s="39" t="str">
        <f t="shared" ca="1" si="6"/>
        <v/>
      </c>
      <c r="BY27" s="39" t="str">
        <f t="shared" ca="1" si="7"/>
        <v/>
      </c>
      <c r="BZ27" s="39" t="str">
        <f t="shared" ca="1" si="107"/>
        <v/>
      </c>
      <c r="CA27" s="38"/>
    </row>
    <row r="28" spans="1:79" ht="202.5" customHeight="1" x14ac:dyDescent="0.2">
      <c r="A28" s="44"/>
      <c r="B28" s="21"/>
      <c r="C28" s="21"/>
      <c r="D28" s="20"/>
      <c r="E28" s="20"/>
      <c r="F28" s="100"/>
      <c r="G28" s="100"/>
      <c r="H28" s="170"/>
      <c r="I28" s="158"/>
      <c r="J28" s="163"/>
      <c r="K28" s="162"/>
      <c r="L28" s="54"/>
      <c r="M28" s="148"/>
      <c r="N28" s="120"/>
      <c r="O28" s="52"/>
      <c r="P28" s="121"/>
      <c r="Q28" s="120"/>
      <c r="R28" s="28"/>
      <c r="S28" s="28"/>
      <c r="T28" s="53"/>
      <c r="U28" s="53"/>
      <c r="V28" s="53"/>
      <c r="W28" s="54"/>
      <c r="X28" s="51"/>
      <c r="Y28" s="120"/>
      <c r="Z28" s="52"/>
      <c r="AA28" s="120"/>
      <c r="AB28" s="120"/>
      <c r="AC28" s="52"/>
      <c r="AD28" s="52"/>
      <c r="AE28" s="53"/>
      <c r="AF28" s="53"/>
      <c r="AG28" s="53"/>
      <c r="AH28" s="54"/>
      <c r="AI28" s="51"/>
      <c r="AJ28" s="120"/>
      <c r="AK28" s="52"/>
      <c r="AL28" s="120"/>
      <c r="AM28" s="120"/>
      <c r="AN28" s="52"/>
      <c r="AO28" s="52"/>
      <c r="AP28" s="53"/>
      <c r="AQ28" s="53"/>
      <c r="AR28" s="53"/>
      <c r="AS28" s="54"/>
      <c r="AT28" s="55"/>
      <c r="AU28" s="121"/>
      <c r="AV28" s="56"/>
      <c r="AW28" s="121"/>
      <c r="AX28" s="121"/>
      <c r="AY28" s="45"/>
      <c r="AZ28" s="45"/>
      <c r="BA28" s="45"/>
      <c r="BB28" s="57"/>
      <c r="BC28" s="57"/>
      <c r="BD28" s="57"/>
      <c r="BE28" s="58"/>
      <c r="BF28" s="59"/>
      <c r="BG28" s="60"/>
      <c r="BH28" s="61"/>
      <c r="BI28" s="62"/>
      <c r="BJ28" s="60"/>
      <c r="BK28" s="63"/>
      <c r="BL28" s="63"/>
      <c r="BM28" s="64"/>
      <c r="BN28" s="18"/>
      <c r="BO28" s="19"/>
      <c r="BP28" s="65"/>
      <c r="BQ28" s="37"/>
      <c r="BR28" s="39" t="str">
        <f t="shared" ca="1" si="0"/>
        <v/>
      </c>
      <c r="BS28" s="39" t="str">
        <f t="shared" ca="1" si="1"/>
        <v/>
      </c>
      <c r="BT28" s="39" t="str">
        <f t="shared" ca="1" si="2"/>
        <v/>
      </c>
      <c r="BU28" s="39" t="str">
        <f t="shared" ca="1" si="3"/>
        <v/>
      </c>
      <c r="BV28" s="39" t="str">
        <f t="shared" ca="1" si="4"/>
        <v/>
      </c>
      <c r="BW28" s="39" t="str">
        <f t="shared" ca="1" si="5"/>
        <v/>
      </c>
      <c r="BX28" s="39" t="str">
        <f t="shared" ca="1" si="6"/>
        <v/>
      </c>
      <c r="BY28" s="39" t="str">
        <f t="shared" ca="1" si="7"/>
        <v/>
      </c>
      <c r="BZ28" s="39" t="str">
        <f t="shared" ca="1" si="107"/>
        <v/>
      </c>
      <c r="CA28" s="38"/>
    </row>
    <row r="29" spans="1:79" ht="45" customHeight="1" x14ac:dyDescent="0.2">
      <c r="A29" s="44"/>
      <c r="B29" s="21"/>
      <c r="C29" s="21"/>
      <c r="D29" s="20"/>
      <c r="E29" s="20"/>
      <c r="F29" s="100"/>
      <c r="G29" s="100"/>
      <c r="H29" s="170"/>
      <c r="I29" s="158"/>
      <c r="J29" s="163"/>
      <c r="K29" s="162"/>
      <c r="L29" s="54"/>
      <c r="M29" s="148"/>
      <c r="N29" s="120"/>
      <c r="O29" s="52"/>
      <c r="P29" s="121"/>
      <c r="Q29" s="120"/>
      <c r="R29" s="28"/>
      <c r="S29" s="28"/>
      <c r="T29" s="53"/>
      <c r="U29" s="53"/>
      <c r="V29" s="53"/>
      <c r="W29" s="54"/>
      <c r="X29" s="51"/>
      <c r="Y29" s="120"/>
      <c r="Z29" s="52"/>
      <c r="AA29" s="120"/>
      <c r="AB29" s="120"/>
      <c r="AC29" s="52"/>
      <c r="AD29" s="52"/>
      <c r="AE29" s="53"/>
      <c r="AF29" s="53"/>
      <c r="AG29" s="53"/>
      <c r="AH29" s="54"/>
      <c r="AI29" s="51"/>
      <c r="AJ29" s="120"/>
      <c r="AK29" s="52"/>
      <c r="AL29" s="120"/>
      <c r="AM29" s="120"/>
      <c r="AN29" s="52"/>
      <c r="AO29" s="52"/>
      <c r="AP29" s="53"/>
      <c r="AQ29" s="53"/>
      <c r="AR29" s="53"/>
      <c r="AS29" s="54"/>
      <c r="AT29" s="55"/>
      <c r="AU29" s="121"/>
      <c r="AV29" s="56"/>
      <c r="AW29" s="121"/>
      <c r="AX29" s="121"/>
      <c r="AY29" s="45"/>
      <c r="AZ29" s="45"/>
      <c r="BA29" s="45"/>
      <c r="BB29" s="57"/>
      <c r="BC29" s="57"/>
      <c r="BD29" s="57"/>
      <c r="BE29" s="58"/>
      <c r="BF29" s="59"/>
      <c r="BG29" s="60"/>
      <c r="BH29" s="61"/>
      <c r="BI29" s="62"/>
      <c r="BJ29" s="60"/>
      <c r="BK29" s="63"/>
      <c r="BL29" s="63"/>
      <c r="BM29" s="64"/>
      <c r="BN29" s="18"/>
      <c r="BO29" s="19"/>
      <c r="BP29" s="65"/>
      <c r="BQ29" s="37"/>
      <c r="BR29" s="39" t="str">
        <f t="shared" ca="1" si="0"/>
        <v/>
      </c>
      <c r="BS29" s="39" t="str">
        <f t="shared" ca="1" si="1"/>
        <v/>
      </c>
      <c r="BT29" s="39" t="str">
        <f t="shared" ca="1" si="2"/>
        <v/>
      </c>
      <c r="BU29" s="39" t="str">
        <f t="shared" ca="1" si="3"/>
        <v/>
      </c>
      <c r="BV29" s="39" t="str">
        <f t="shared" ca="1" si="4"/>
        <v/>
      </c>
      <c r="BW29" s="39" t="str">
        <f t="shared" ca="1" si="5"/>
        <v/>
      </c>
      <c r="BX29" s="39" t="str">
        <f t="shared" ca="1" si="6"/>
        <v/>
      </c>
      <c r="BY29" s="39" t="str">
        <f t="shared" ca="1" si="7"/>
        <v/>
      </c>
      <c r="BZ29" s="39" t="str">
        <f t="shared" ca="1" si="107"/>
        <v/>
      </c>
      <c r="CA29" s="38"/>
    </row>
    <row r="30" spans="1:79" ht="45" customHeight="1" x14ac:dyDescent="0.2">
      <c r="A30" s="44"/>
      <c r="B30" s="21"/>
      <c r="C30" s="21"/>
      <c r="D30" s="20"/>
      <c r="E30" s="20"/>
      <c r="F30" s="100"/>
      <c r="G30" s="100"/>
      <c r="H30" s="170"/>
      <c r="I30" s="158"/>
      <c r="J30" s="163"/>
      <c r="K30" s="162"/>
      <c r="L30" s="54"/>
      <c r="M30" s="148"/>
      <c r="N30" s="120"/>
      <c r="O30" s="52"/>
      <c r="P30" s="121"/>
      <c r="Q30" s="120"/>
      <c r="R30" s="28"/>
      <c r="S30" s="28"/>
      <c r="T30" s="53"/>
      <c r="U30" s="53"/>
      <c r="V30" s="53"/>
      <c r="W30" s="54"/>
      <c r="X30" s="51"/>
      <c r="Y30" s="120"/>
      <c r="Z30" s="52"/>
      <c r="AA30" s="120"/>
      <c r="AB30" s="120"/>
      <c r="AC30" s="52"/>
      <c r="AD30" s="52"/>
      <c r="AE30" s="53"/>
      <c r="AF30" s="53"/>
      <c r="AG30" s="53"/>
      <c r="AH30" s="54"/>
      <c r="AI30" s="51"/>
      <c r="AJ30" s="120"/>
      <c r="AK30" s="52"/>
      <c r="AL30" s="120"/>
      <c r="AM30" s="120"/>
      <c r="AN30" s="52"/>
      <c r="AO30" s="52"/>
      <c r="AP30" s="53"/>
      <c r="AQ30" s="53"/>
      <c r="AR30" s="53"/>
      <c r="AS30" s="54"/>
      <c r="AT30" s="55"/>
      <c r="AU30" s="121"/>
      <c r="AV30" s="56"/>
      <c r="AW30" s="121"/>
      <c r="AX30" s="121"/>
      <c r="AY30" s="45"/>
      <c r="AZ30" s="45"/>
      <c r="BA30" s="45"/>
      <c r="BB30" s="57"/>
      <c r="BC30" s="57"/>
      <c r="BD30" s="57"/>
      <c r="BE30" s="58"/>
      <c r="BF30" s="59"/>
      <c r="BG30" s="60"/>
      <c r="BH30" s="61"/>
      <c r="BI30" s="62"/>
      <c r="BJ30" s="60"/>
      <c r="BK30" s="63"/>
      <c r="BL30" s="63"/>
      <c r="BM30" s="64"/>
      <c r="BN30" s="18"/>
      <c r="BO30" s="19"/>
      <c r="BP30" s="65"/>
      <c r="BQ30" s="37"/>
      <c r="BR30" s="39" t="str">
        <f t="shared" ca="1" si="0"/>
        <v/>
      </c>
      <c r="BS30" s="39" t="str">
        <f t="shared" ca="1" si="1"/>
        <v/>
      </c>
      <c r="BT30" s="39" t="str">
        <f t="shared" ca="1" si="2"/>
        <v/>
      </c>
      <c r="BU30" s="39" t="str">
        <f t="shared" ca="1" si="3"/>
        <v/>
      </c>
      <c r="BV30" s="39" t="str">
        <f t="shared" ca="1" si="4"/>
        <v/>
      </c>
      <c r="BW30" s="39" t="str">
        <f t="shared" ca="1" si="5"/>
        <v/>
      </c>
      <c r="BX30" s="39" t="str">
        <f t="shared" ca="1" si="6"/>
        <v/>
      </c>
      <c r="BY30" s="39" t="str">
        <f t="shared" ca="1" si="7"/>
        <v/>
      </c>
      <c r="BZ30" s="39" t="str">
        <f t="shared" ca="1" si="107"/>
        <v/>
      </c>
      <c r="CA30" s="38"/>
    </row>
    <row r="31" spans="1:79" ht="56.25" customHeight="1" x14ac:dyDescent="0.2">
      <c r="A31" s="44"/>
      <c r="B31" s="21"/>
      <c r="C31" s="21"/>
      <c r="D31" s="20"/>
      <c r="E31" s="20"/>
      <c r="F31" s="100"/>
      <c r="G31" s="100"/>
      <c r="H31" s="170"/>
      <c r="I31" s="158"/>
      <c r="J31" s="163"/>
      <c r="K31" s="162"/>
      <c r="L31" s="54"/>
      <c r="M31" s="148"/>
      <c r="N31" s="120"/>
      <c r="O31" s="52"/>
      <c r="P31" s="121"/>
      <c r="Q31" s="120"/>
      <c r="R31" s="28"/>
      <c r="S31" s="28"/>
      <c r="T31" s="53"/>
      <c r="U31" s="53"/>
      <c r="V31" s="53"/>
      <c r="W31" s="54"/>
      <c r="X31" s="51"/>
      <c r="Y31" s="120"/>
      <c r="Z31" s="52"/>
      <c r="AA31" s="120"/>
      <c r="AB31" s="120"/>
      <c r="AC31" s="52"/>
      <c r="AD31" s="52"/>
      <c r="AE31" s="53"/>
      <c r="AF31" s="53"/>
      <c r="AG31" s="53"/>
      <c r="AH31" s="54"/>
      <c r="AI31" s="51"/>
      <c r="AJ31" s="120"/>
      <c r="AK31" s="52"/>
      <c r="AL31" s="120"/>
      <c r="AM31" s="120"/>
      <c r="AN31" s="52"/>
      <c r="AO31" s="52"/>
      <c r="AP31" s="53"/>
      <c r="AQ31" s="53"/>
      <c r="AR31" s="53"/>
      <c r="AS31" s="54"/>
      <c r="AT31" s="55"/>
      <c r="AU31" s="121"/>
      <c r="AV31" s="56"/>
      <c r="AW31" s="121"/>
      <c r="AX31" s="121"/>
      <c r="AY31" s="45"/>
      <c r="AZ31" s="45"/>
      <c r="BA31" s="45"/>
      <c r="BB31" s="57"/>
      <c r="BC31" s="57"/>
      <c r="BD31" s="57"/>
      <c r="BE31" s="58"/>
      <c r="BF31" s="59"/>
      <c r="BG31" s="60"/>
      <c r="BH31" s="61"/>
      <c r="BI31" s="62"/>
      <c r="BJ31" s="60"/>
      <c r="BK31" s="63"/>
      <c r="BL31" s="63"/>
      <c r="BM31" s="64"/>
      <c r="BN31" s="18"/>
      <c r="BO31" s="19"/>
      <c r="BP31" s="65"/>
      <c r="BQ31" s="37"/>
      <c r="BR31" s="39" t="str">
        <f t="shared" ca="1" si="0"/>
        <v/>
      </c>
      <c r="BS31" s="39" t="str">
        <f t="shared" ca="1" si="1"/>
        <v/>
      </c>
      <c r="BT31" s="39" t="str">
        <f t="shared" ca="1" si="2"/>
        <v/>
      </c>
      <c r="BU31" s="39" t="str">
        <f t="shared" ca="1" si="3"/>
        <v/>
      </c>
      <c r="BV31" s="39" t="str">
        <f t="shared" ca="1" si="4"/>
        <v/>
      </c>
      <c r="BW31" s="39" t="str">
        <f t="shared" ca="1" si="5"/>
        <v/>
      </c>
      <c r="BX31" s="39" t="str">
        <f t="shared" ca="1" si="6"/>
        <v/>
      </c>
      <c r="BY31" s="39" t="str">
        <f t="shared" ca="1" si="7"/>
        <v/>
      </c>
      <c r="BZ31" s="39" t="str">
        <f t="shared" ca="1" si="107"/>
        <v/>
      </c>
      <c r="CA31" s="38"/>
    </row>
    <row r="32" spans="1:79" ht="90" customHeight="1" x14ac:dyDescent="0.2">
      <c r="A32" s="44"/>
      <c r="B32" s="21"/>
      <c r="C32" s="21"/>
      <c r="D32" s="20"/>
      <c r="E32" s="20"/>
      <c r="F32" s="100"/>
      <c r="G32" s="100"/>
      <c r="H32" s="170"/>
      <c r="I32" s="158"/>
      <c r="J32" s="163"/>
      <c r="K32" s="162"/>
      <c r="L32" s="54"/>
      <c r="M32" s="148"/>
      <c r="N32" s="120"/>
      <c r="O32" s="52"/>
      <c r="P32" s="121"/>
      <c r="Q32" s="120"/>
      <c r="R32" s="28"/>
      <c r="S32" s="28"/>
      <c r="T32" s="53"/>
      <c r="U32" s="53"/>
      <c r="V32" s="53"/>
      <c r="W32" s="54"/>
      <c r="X32" s="51"/>
      <c r="Y32" s="120"/>
      <c r="Z32" s="52"/>
      <c r="AA32" s="120"/>
      <c r="AB32" s="120"/>
      <c r="AC32" s="52"/>
      <c r="AD32" s="52"/>
      <c r="AE32" s="53"/>
      <c r="AF32" s="53"/>
      <c r="AG32" s="53"/>
      <c r="AH32" s="54"/>
      <c r="AI32" s="51"/>
      <c r="AJ32" s="120"/>
      <c r="AK32" s="52"/>
      <c r="AL32" s="120"/>
      <c r="AM32" s="120"/>
      <c r="AN32" s="52"/>
      <c r="AO32" s="52"/>
      <c r="AP32" s="53"/>
      <c r="AQ32" s="53"/>
      <c r="AR32" s="53"/>
      <c r="AS32" s="54"/>
      <c r="AT32" s="55"/>
      <c r="AU32" s="121"/>
      <c r="AV32" s="56"/>
      <c r="AW32" s="121"/>
      <c r="AX32" s="121"/>
      <c r="AY32" s="45"/>
      <c r="AZ32" s="45"/>
      <c r="BA32" s="45"/>
      <c r="BB32" s="57"/>
      <c r="BC32" s="57"/>
      <c r="BD32" s="57"/>
      <c r="BE32" s="58"/>
      <c r="BF32" s="59"/>
      <c r="BG32" s="60"/>
      <c r="BH32" s="61"/>
      <c r="BI32" s="62"/>
      <c r="BJ32" s="60"/>
      <c r="BK32" s="63"/>
      <c r="BL32" s="63"/>
      <c r="BM32" s="64"/>
      <c r="BN32" s="18"/>
      <c r="BO32" s="19"/>
      <c r="BP32" s="65"/>
      <c r="BQ32" s="37"/>
      <c r="BR32" s="39" t="str">
        <f t="shared" ca="1" si="0"/>
        <v/>
      </c>
      <c r="BS32" s="39" t="str">
        <f t="shared" ca="1" si="1"/>
        <v/>
      </c>
      <c r="BT32" s="39" t="str">
        <f t="shared" ca="1" si="2"/>
        <v/>
      </c>
      <c r="BU32" s="39" t="str">
        <f t="shared" ca="1" si="3"/>
        <v/>
      </c>
      <c r="BV32" s="39" t="str">
        <f t="shared" ca="1" si="4"/>
        <v/>
      </c>
      <c r="BW32" s="39" t="str">
        <f t="shared" ca="1" si="5"/>
        <v/>
      </c>
      <c r="BX32" s="39" t="str">
        <f t="shared" ca="1" si="6"/>
        <v/>
      </c>
      <c r="BY32" s="39" t="str">
        <f t="shared" ca="1" si="7"/>
        <v/>
      </c>
      <c r="BZ32" s="39" t="str">
        <f t="shared" ca="1" si="107"/>
        <v/>
      </c>
      <c r="CA32" s="38"/>
    </row>
    <row r="33" spans="1:79" ht="78.75" customHeight="1" x14ac:dyDescent="0.2">
      <c r="A33" s="44"/>
      <c r="B33" s="21"/>
      <c r="C33" s="21"/>
      <c r="D33" s="20"/>
      <c r="E33" s="20"/>
      <c r="F33" s="100"/>
      <c r="G33" s="100"/>
      <c r="H33" s="170"/>
      <c r="I33" s="158"/>
      <c r="J33" s="163"/>
      <c r="K33" s="162"/>
      <c r="L33" s="54"/>
      <c r="M33" s="148"/>
      <c r="N33" s="120"/>
      <c r="O33" s="52"/>
      <c r="P33" s="121"/>
      <c r="Q33" s="120"/>
      <c r="R33" s="28"/>
      <c r="S33" s="28"/>
      <c r="T33" s="53"/>
      <c r="U33" s="53"/>
      <c r="V33" s="53"/>
      <c r="W33" s="54"/>
      <c r="X33" s="51"/>
      <c r="Y33" s="120"/>
      <c r="Z33" s="52"/>
      <c r="AA33" s="120"/>
      <c r="AB33" s="120"/>
      <c r="AC33" s="52"/>
      <c r="AD33" s="52"/>
      <c r="AE33" s="53"/>
      <c r="AF33" s="53"/>
      <c r="AG33" s="53"/>
      <c r="AH33" s="54"/>
      <c r="AI33" s="51"/>
      <c r="AJ33" s="120"/>
      <c r="AK33" s="52"/>
      <c r="AL33" s="120"/>
      <c r="AM33" s="120"/>
      <c r="AN33" s="52"/>
      <c r="AO33" s="52"/>
      <c r="AP33" s="53"/>
      <c r="AQ33" s="53"/>
      <c r="AR33" s="53"/>
      <c r="AS33" s="54"/>
      <c r="AT33" s="55"/>
      <c r="AU33" s="121"/>
      <c r="AV33" s="56"/>
      <c r="AW33" s="121"/>
      <c r="AX33" s="121"/>
      <c r="AY33" s="45"/>
      <c r="AZ33" s="45"/>
      <c r="BA33" s="45"/>
      <c r="BB33" s="57"/>
      <c r="BC33" s="57"/>
      <c r="BD33" s="57"/>
      <c r="BE33" s="58"/>
      <c r="BF33" s="59"/>
      <c r="BG33" s="60"/>
      <c r="BH33" s="61"/>
      <c r="BI33" s="62"/>
      <c r="BJ33" s="60"/>
      <c r="BK33" s="63"/>
      <c r="BL33" s="63"/>
      <c r="BM33" s="64"/>
      <c r="BN33" s="18"/>
      <c r="BO33" s="19"/>
      <c r="BP33" s="65"/>
      <c r="BQ33" s="37"/>
      <c r="BR33" s="39" t="str">
        <f t="shared" ca="1" si="0"/>
        <v/>
      </c>
      <c r="BS33" s="39" t="str">
        <f t="shared" ca="1" si="1"/>
        <v/>
      </c>
      <c r="BT33" s="39" t="str">
        <f t="shared" ca="1" si="2"/>
        <v/>
      </c>
      <c r="BU33" s="39" t="str">
        <f t="shared" ca="1" si="3"/>
        <v/>
      </c>
      <c r="BV33" s="39" t="str">
        <f t="shared" ca="1" si="4"/>
        <v/>
      </c>
      <c r="BW33" s="39" t="str">
        <f t="shared" ca="1" si="5"/>
        <v/>
      </c>
      <c r="BX33" s="39" t="str">
        <f t="shared" ca="1" si="6"/>
        <v/>
      </c>
      <c r="BY33" s="39" t="str">
        <f t="shared" ca="1" si="7"/>
        <v/>
      </c>
      <c r="BZ33" s="39" t="str">
        <f t="shared" ca="1" si="107"/>
        <v/>
      </c>
      <c r="CA33" s="38"/>
    </row>
    <row r="34" spans="1:79" ht="78.75" customHeight="1" x14ac:dyDescent="0.2">
      <c r="A34" s="44"/>
      <c r="B34" s="21"/>
      <c r="C34" s="21"/>
      <c r="D34" s="20"/>
      <c r="E34" s="20"/>
      <c r="F34" s="100"/>
      <c r="G34" s="100"/>
      <c r="H34" s="170"/>
      <c r="I34" s="158"/>
      <c r="J34" s="163"/>
      <c r="K34" s="162"/>
      <c r="L34" s="54"/>
      <c r="M34" s="148"/>
      <c r="N34" s="120"/>
      <c r="O34" s="52"/>
      <c r="P34" s="121"/>
      <c r="Q34" s="120"/>
      <c r="R34" s="28"/>
      <c r="S34" s="28"/>
      <c r="T34" s="53"/>
      <c r="U34" s="53"/>
      <c r="V34" s="53"/>
      <c r="W34" s="54"/>
      <c r="X34" s="51"/>
      <c r="Y34" s="120"/>
      <c r="Z34" s="52"/>
      <c r="AA34" s="120"/>
      <c r="AB34" s="120"/>
      <c r="AC34" s="52"/>
      <c r="AD34" s="52"/>
      <c r="AE34" s="53"/>
      <c r="AF34" s="53"/>
      <c r="AG34" s="53"/>
      <c r="AH34" s="54"/>
      <c r="AI34" s="51"/>
      <c r="AJ34" s="120"/>
      <c r="AK34" s="52"/>
      <c r="AL34" s="120"/>
      <c r="AM34" s="120"/>
      <c r="AN34" s="52"/>
      <c r="AO34" s="52"/>
      <c r="AP34" s="53"/>
      <c r="AQ34" s="53"/>
      <c r="AR34" s="53"/>
      <c r="AS34" s="54"/>
      <c r="AT34" s="55"/>
      <c r="AU34" s="121"/>
      <c r="AV34" s="56"/>
      <c r="AW34" s="121"/>
      <c r="AX34" s="121"/>
      <c r="AY34" s="45"/>
      <c r="AZ34" s="45"/>
      <c r="BA34" s="45"/>
      <c r="BB34" s="57"/>
      <c r="BC34" s="57"/>
      <c r="BD34" s="57"/>
      <c r="BE34" s="58"/>
      <c r="BF34" s="59"/>
      <c r="BG34" s="60"/>
      <c r="BH34" s="61"/>
      <c r="BI34" s="62"/>
      <c r="BJ34" s="60"/>
      <c r="BK34" s="63"/>
      <c r="BL34" s="63"/>
      <c r="BM34" s="64"/>
      <c r="BN34" s="18"/>
      <c r="BO34" s="19"/>
      <c r="BP34" s="65"/>
      <c r="BQ34" s="37"/>
      <c r="BR34" s="39" t="str">
        <f t="shared" ca="1" si="0"/>
        <v/>
      </c>
      <c r="BS34" s="39" t="str">
        <f t="shared" ca="1" si="1"/>
        <v/>
      </c>
      <c r="BT34" s="39" t="str">
        <f t="shared" ca="1" si="2"/>
        <v/>
      </c>
      <c r="BU34" s="39" t="str">
        <f t="shared" ca="1" si="3"/>
        <v/>
      </c>
      <c r="BV34" s="39" t="str">
        <f t="shared" ca="1" si="4"/>
        <v/>
      </c>
      <c r="BW34" s="39" t="str">
        <f t="shared" ca="1" si="5"/>
        <v/>
      </c>
      <c r="BX34" s="39" t="str">
        <f t="shared" ca="1" si="6"/>
        <v/>
      </c>
      <c r="BY34" s="39" t="str">
        <f t="shared" ca="1" si="7"/>
        <v/>
      </c>
      <c r="BZ34" s="39" t="str">
        <f t="shared" ca="1" si="107"/>
        <v/>
      </c>
      <c r="CA34" s="38"/>
    </row>
    <row r="35" spans="1:79" ht="63" customHeight="1" x14ac:dyDescent="0.2">
      <c r="A35" s="44"/>
      <c r="B35" s="21"/>
      <c r="C35" s="21"/>
      <c r="D35" s="20"/>
      <c r="E35" s="20"/>
      <c r="F35" s="100"/>
      <c r="G35" s="100"/>
      <c r="H35" s="159"/>
      <c r="I35" s="158"/>
      <c r="J35" s="164"/>
      <c r="K35" s="162"/>
      <c r="L35" s="54"/>
      <c r="M35" s="148"/>
      <c r="N35" s="120"/>
      <c r="O35" s="52"/>
      <c r="P35" s="121"/>
      <c r="Q35" s="120"/>
      <c r="R35" s="28"/>
      <c r="S35" s="28"/>
      <c r="T35" s="53"/>
      <c r="U35" s="53"/>
      <c r="V35" s="53"/>
      <c r="W35" s="54"/>
      <c r="X35" s="51"/>
      <c r="Y35" s="120"/>
      <c r="Z35" s="52"/>
      <c r="AA35" s="120"/>
      <c r="AB35" s="120"/>
      <c r="AC35" s="52"/>
      <c r="AD35" s="52"/>
      <c r="AE35" s="53"/>
      <c r="AF35" s="53"/>
      <c r="AG35" s="53"/>
      <c r="AH35" s="54"/>
      <c r="AI35" s="51"/>
      <c r="AJ35" s="120"/>
      <c r="AK35" s="52"/>
      <c r="AL35" s="120"/>
      <c r="AM35" s="120"/>
      <c r="AN35" s="52"/>
      <c r="AO35" s="52"/>
      <c r="AP35" s="53"/>
      <c r="AQ35" s="53"/>
      <c r="AR35" s="53"/>
      <c r="AS35" s="54"/>
      <c r="AT35" s="55"/>
      <c r="AU35" s="121"/>
      <c r="AV35" s="56"/>
      <c r="AW35" s="121"/>
      <c r="AX35" s="121"/>
      <c r="AY35" s="45"/>
      <c r="AZ35" s="45"/>
      <c r="BA35" s="45"/>
      <c r="BB35" s="57"/>
      <c r="BC35" s="57"/>
      <c r="BD35" s="57"/>
      <c r="BE35" s="58"/>
      <c r="BF35" s="59"/>
      <c r="BG35" s="59"/>
      <c r="BH35" s="61"/>
      <c r="BI35" s="59"/>
      <c r="BJ35" s="60"/>
      <c r="BK35" s="63"/>
      <c r="BL35" s="63"/>
      <c r="BM35" s="64"/>
      <c r="BN35" s="18"/>
      <c r="BO35" s="19"/>
      <c r="BP35" s="65"/>
      <c r="BQ35" s="37"/>
      <c r="BR35" s="39" t="str">
        <f t="shared" ca="1" si="0"/>
        <v/>
      </c>
      <c r="BS35" s="39" t="str">
        <f t="shared" ca="1" si="1"/>
        <v/>
      </c>
      <c r="BT35" s="39" t="str">
        <f t="shared" ca="1" si="2"/>
        <v/>
      </c>
      <c r="BU35" s="39" t="str">
        <f t="shared" ca="1" si="3"/>
        <v/>
      </c>
      <c r="BV35" s="39" t="str">
        <f t="shared" ca="1" si="4"/>
        <v/>
      </c>
      <c r="BW35" s="39" t="str">
        <f t="shared" ca="1" si="5"/>
        <v/>
      </c>
      <c r="BX35" s="39" t="str">
        <f t="shared" ca="1" si="6"/>
        <v/>
      </c>
      <c r="BY35" s="39" t="str">
        <f t="shared" ca="1" si="7"/>
        <v/>
      </c>
      <c r="BZ35" s="39" t="str">
        <f t="shared" ca="1" si="107"/>
        <v/>
      </c>
      <c r="CA35" s="38"/>
    </row>
    <row r="36" spans="1:79" ht="60.75" customHeight="1" x14ac:dyDescent="0.2">
      <c r="A36" s="44"/>
      <c r="B36" s="21"/>
      <c r="C36" s="21"/>
      <c r="D36" s="20"/>
      <c r="E36" s="20"/>
      <c r="F36" s="100"/>
      <c r="G36" s="100"/>
      <c r="H36" s="159"/>
      <c r="I36" s="158"/>
      <c r="J36" s="164"/>
      <c r="K36" s="162"/>
      <c r="L36" s="54"/>
      <c r="M36" s="148"/>
      <c r="N36" s="120"/>
      <c r="O36" s="52"/>
      <c r="P36" s="121"/>
      <c r="Q36" s="120"/>
      <c r="R36" s="28"/>
      <c r="S36" s="28"/>
      <c r="T36" s="53"/>
      <c r="U36" s="53"/>
      <c r="V36" s="53"/>
      <c r="W36" s="54"/>
      <c r="X36" s="51"/>
      <c r="Y36" s="120"/>
      <c r="Z36" s="52"/>
      <c r="AA36" s="120"/>
      <c r="AB36" s="120"/>
      <c r="AC36" s="52"/>
      <c r="AD36" s="52"/>
      <c r="AE36" s="53"/>
      <c r="AF36" s="53"/>
      <c r="AG36" s="53"/>
      <c r="AH36" s="54"/>
      <c r="AI36" s="51"/>
      <c r="AJ36" s="120"/>
      <c r="AK36" s="52"/>
      <c r="AL36" s="120"/>
      <c r="AM36" s="120"/>
      <c r="AN36" s="52"/>
      <c r="AO36" s="52"/>
      <c r="AP36" s="53"/>
      <c r="AQ36" s="53"/>
      <c r="AR36" s="53"/>
      <c r="AS36" s="54"/>
      <c r="AT36" s="55"/>
      <c r="AU36" s="121"/>
      <c r="AV36" s="56"/>
      <c r="AW36" s="121"/>
      <c r="AX36" s="121"/>
      <c r="AY36" s="45"/>
      <c r="AZ36" s="45"/>
      <c r="BA36" s="45"/>
      <c r="BB36" s="57"/>
      <c r="BC36" s="57"/>
      <c r="BD36" s="57"/>
      <c r="BE36" s="58"/>
      <c r="BF36" s="59"/>
      <c r="BG36" s="60"/>
      <c r="BH36" s="61"/>
      <c r="BI36" s="62"/>
      <c r="BJ36" s="60"/>
      <c r="BK36" s="63"/>
      <c r="BL36" s="63"/>
      <c r="BM36" s="64"/>
      <c r="BN36" s="18"/>
      <c r="BO36" s="19"/>
      <c r="BP36" s="65"/>
      <c r="BQ36" s="37"/>
      <c r="BR36" s="39" t="str">
        <f t="shared" ca="1" si="0"/>
        <v/>
      </c>
      <c r="BS36" s="39" t="str">
        <f t="shared" ca="1" si="1"/>
        <v/>
      </c>
      <c r="BT36" s="39" t="str">
        <f t="shared" ca="1" si="2"/>
        <v/>
      </c>
      <c r="BU36" s="39" t="str">
        <f t="shared" ca="1" si="3"/>
        <v/>
      </c>
      <c r="BV36" s="39" t="str">
        <f t="shared" ca="1" si="4"/>
        <v/>
      </c>
      <c r="BW36" s="39" t="str">
        <f t="shared" ca="1" si="5"/>
        <v/>
      </c>
      <c r="BX36" s="39" t="str">
        <f t="shared" ca="1" si="6"/>
        <v/>
      </c>
      <c r="BY36" s="39" t="str">
        <f t="shared" ca="1" si="7"/>
        <v/>
      </c>
      <c r="BZ36" s="39" t="str">
        <f t="shared" ca="1" si="107"/>
        <v/>
      </c>
      <c r="CA36" s="38"/>
    </row>
    <row r="37" spans="1:79" x14ac:dyDescent="0.2">
      <c r="A37" s="44"/>
      <c r="B37" s="21"/>
      <c r="C37" s="21"/>
      <c r="D37" s="20"/>
      <c r="E37" s="100"/>
      <c r="F37" s="100"/>
      <c r="G37" s="100"/>
      <c r="H37" s="159"/>
      <c r="I37" s="158"/>
      <c r="J37" s="164"/>
      <c r="K37" s="162"/>
      <c r="L37" s="54"/>
      <c r="M37" s="148"/>
      <c r="N37" s="120"/>
      <c r="O37" s="52"/>
      <c r="P37" s="121"/>
      <c r="Q37" s="120"/>
      <c r="R37" s="28"/>
      <c r="S37" s="28"/>
      <c r="T37" s="53"/>
      <c r="U37" s="53"/>
      <c r="V37" s="53"/>
      <c r="W37" s="54"/>
      <c r="X37" s="51"/>
      <c r="Y37" s="120"/>
      <c r="Z37" s="52"/>
      <c r="AA37" s="120"/>
      <c r="AB37" s="120"/>
      <c r="AC37" s="52"/>
      <c r="AD37" s="52"/>
      <c r="AE37" s="53"/>
      <c r="AF37" s="53"/>
      <c r="AG37" s="53"/>
      <c r="AH37" s="54"/>
      <c r="AI37" s="51"/>
      <c r="AJ37" s="120"/>
      <c r="AK37" s="52"/>
      <c r="AL37" s="120"/>
      <c r="AM37" s="120"/>
      <c r="AN37" s="52"/>
      <c r="AO37" s="52"/>
      <c r="AP37" s="53"/>
      <c r="AQ37" s="53"/>
      <c r="AR37" s="53"/>
      <c r="AS37" s="54"/>
      <c r="AT37" s="55"/>
      <c r="AU37" s="121"/>
      <c r="AV37" s="56"/>
      <c r="AW37" s="121"/>
      <c r="AX37" s="121"/>
      <c r="AY37" s="45"/>
      <c r="AZ37" s="45"/>
      <c r="BA37" s="45"/>
      <c r="BB37" s="57"/>
      <c r="BC37" s="57"/>
      <c r="BD37" s="57"/>
      <c r="BE37" s="58"/>
      <c r="BF37" s="59"/>
      <c r="BG37" s="60"/>
      <c r="BH37" s="61"/>
      <c r="BI37" s="62"/>
      <c r="BJ37" s="60"/>
      <c r="BK37" s="63"/>
      <c r="BL37" s="63"/>
      <c r="BM37" s="64"/>
      <c r="BN37" s="18"/>
      <c r="BO37" s="19"/>
      <c r="BP37" s="65"/>
      <c r="BQ37" s="37"/>
      <c r="BR37" s="39" t="str">
        <f t="shared" ca="1" si="0"/>
        <v/>
      </c>
      <c r="BS37" s="39" t="str">
        <f t="shared" ca="1" si="1"/>
        <v/>
      </c>
      <c r="BT37" s="39" t="str">
        <f t="shared" ca="1" si="2"/>
        <v/>
      </c>
      <c r="BU37" s="39" t="str">
        <f t="shared" ca="1" si="3"/>
        <v/>
      </c>
      <c r="BV37" s="39" t="str">
        <f t="shared" ca="1" si="4"/>
        <v/>
      </c>
      <c r="BW37" s="39" t="str">
        <f t="shared" ca="1" si="5"/>
        <v/>
      </c>
      <c r="BX37" s="39" t="str">
        <f t="shared" ca="1" si="6"/>
        <v/>
      </c>
      <c r="BY37" s="39" t="str">
        <f t="shared" ca="1" si="7"/>
        <v/>
      </c>
      <c r="BZ37" s="39" t="str">
        <f t="shared" ca="1" si="107"/>
        <v/>
      </c>
      <c r="CA37" s="38"/>
    </row>
    <row r="38" spans="1:79" ht="15" customHeight="1" x14ac:dyDescent="0.2">
      <c r="A38" s="44"/>
      <c r="B38" s="21"/>
      <c r="C38" s="21"/>
      <c r="D38" s="20"/>
      <c r="E38" s="20"/>
      <c r="F38" s="100"/>
      <c r="G38" s="100"/>
      <c r="H38" s="159"/>
      <c r="I38" s="158"/>
      <c r="J38" s="164"/>
      <c r="K38" s="162"/>
      <c r="L38" s="54"/>
      <c r="M38" s="148"/>
      <c r="N38" s="120"/>
      <c r="O38" s="52"/>
      <c r="P38" s="121"/>
      <c r="Q38" s="120"/>
      <c r="R38" s="28"/>
      <c r="S38" s="28"/>
      <c r="T38" s="53"/>
      <c r="U38" s="53"/>
      <c r="V38" s="53"/>
      <c r="W38" s="54"/>
      <c r="X38" s="51"/>
      <c r="Y38" s="120"/>
      <c r="Z38" s="52"/>
      <c r="AA38" s="120"/>
      <c r="AB38" s="120"/>
      <c r="AC38" s="52"/>
      <c r="AD38" s="52"/>
      <c r="AE38" s="53"/>
      <c r="AF38" s="53"/>
      <c r="AG38" s="53"/>
      <c r="AH38" s="54"/>
      <c r="AI38" s="51"/>
      <c r="AJ38" s="120"/>
      <c r="AK38" s="52"/>
      <c r="AL38" s="120"/>
      <c r="AM38" s="120"/>
      <c r="AN38" s="52"/>
      <c r="AO38" s="52"/>
      <c r="AP38" s="53"/>
      <c r="AQ38" s="53"/>
      <c r="AR38" s="53"/>
      <c r="AS38" s="54"/>
      <c r="AT38" s="55"/>
      <c r="AU38" s="121"/>
      <c r="AV38" s="56"/>
      <c r="AW38" s="121"/>
      <c r="AX38" s="121"/>
      <c r="AY38" s="45"/>
      <c r="AZ38" s="45"/>
      <c r="BA38" s="45"/>
      <c r="BB38" s="57"/>
      <c r="BC38" s="57"/>
      <c r="BD38" s="57"/>
      <c r="BE38" s="58"/>
      <c r="BF38" s="59"/>
      <c r="BG38" s="60"/>
      <c r="BH38" s="61"/>
      <c r="BI38" s="62"/>
      <c r="BJ38" s="60"/>
      <c r="BK38" s="63"/>
      <c r="BL38" s="63"/>
      <c r="BM38" s="64"/>
      <c r="BN38" s="18"/>
      <c r="BO38" s="19"/>
      <c r="BP38" s="65"/>
      <c r="BQ38" s="37"/>
      <c r="BR38" s="39" t="str">
        <f t="shared" ca="1" si="0"/>
        <v/>
      </c>
      <c r="BS38" s="39" t="str">
        <f t="shared" ca="1" si="1"/>
        <v/>
      </c>
      <c r="BT38" s="39" t="str">
        <f t="shared" ca="1" si="2"/>
        <v/>
      </c>
      <c r="BU38" s="39" t="str">
        <f t="shared" ca="1" si="3"/>
        <v/>
      </c>
      <c r="BV38" s="39" t="str">
        <f t="shared" ca="1" si="4"/>
        <v/>
      </c>
      <c r="BW38" s="39" t="str">
        <f t="shared" ca="1" si="5"/>
        <v/>
      </c>
      <c r="BX38" s="39" t="str">
        <f t="shared" ca="1" si="6"/>
        <v/>
      </c>
      <c r="BY38" s="39" t="str">
        <f t="shared" ca="1" si="7"/>
        <v/>
      </c>
      <c r="BZ38" s="39" t="str">
        <f t="shared" ca="1" si="107"/>
        <v/>
      </c>
      <c r="CA38" s="38"/>
    </row>
    <row r="39" spans="1:79" ht="15" customHeight="1" x14ac:dyDescent="0.2">
      <c r="A39" s="44"/>
      <c r="B39" s="21"/>
      <c r="C39" s="21"/>
      <c r="D39" s="20"/>
      <c r="E39" s="20"/>
      <c r="F39" s="100"/>
      <c r="G39" s="100"/>
      <c r="H39" s="159"/>
      <c r="I39" s="158"/>
      <c r="J39" s="164"/>
      <c r="K39" s="162"/>
      <c r="L39" s="54"/>
      <c r="M39" s="148"/>
      <c r="N39" s="120"/>
      <c r="O39" s="52"/>
      <c r="P39" s="121"/>
      <c r="Q39" s="120"/>
      <c r="R39" s="28"/>
      <c r="S39" s="28"/>
      <c r="T39" s="53"/>
      <c r="U39" s="53"/>
      <c r="V39" s="53"/>
      <c r="W39" s="54"/>
      <c r="X39" s="51"/>
      <c r="Y39" s="120"/>
      <c r="Z39" s="52"/>
      <c r="AA39" s="120"/>
      <c r="AB39" s="120"/>
      <c r="AC39" s="52"/>
      <c r="AD39" s="52"/>
      <c r="AE39" s="53"/>
      <c r="AF39" s="53"/>
      <c r="AG39" s="53"/>
      <c r="AH39" s="54"/>
      <c r="AI39" s="51"/>
      <c r="AJ39" s="120"/>
      <c r="AK39" s="52"/>
      <c r="AL39" s="120"/>
      <c r="AM39" s="120"/>
      <c r="AN39" s="52"/>
      <c r="AO39" s="52"/>
      <c r="AP39" s="53"/>
      <c r="AQ39" s="53"/>
      <c r="AR39" s="53"/>
      <c r="AS39" s="54"/>
      <c r="AT39" s="55"/>
      <c r="AU39" s="121"/>
      <c r="AV39" s="56"/>
      <c r="AW39" s="121"/>
      <c r="AX39" s="121"/>
      <c r="AY39" s="45"/>
      <c r="AZ39" s="45"/>
      <c r="BA39" s="45"/>
      <c r="BB39" s="57"/>
      <c r="BC39" s="57"/>
      <c r="BD39" s="57"/>
      <c r="BE39" s="58"/>
      <c r="BF39" s="59"/>
      <c r="BG39" s="60"/>
      <c r="BH39" s="61"/>
      <c r="BI39" s="62"/>
      <c r="BJ39" s="60"/>
      <c r="BK39" s="63"/>
      <c r="BL39" s="63"/>
      <c r="BM39" s="64"/>
      <c r="BN39" s="18"/>
      <c r="BO39" s="19"/>
      <c r="BP39" s="65"/>
      <c r="BQ39" s="37"/>
      <c r="BR39" s="39" t="str">
        <f t="shared" ca="1" si="0"/>
        <v/>
      </c>
      <c r="BS39" s="39" t="str">
        <f t="shared" ca="1" si="1"/>
        <v/>
      </c>
      <c r="BT39" s="39" t="str">
        <f t="shared" ca="1" si="2"/>
        <v/>
      </c>
      <c r="BU39" s="39" t="str">
        <f t="shared" ca="1" si="3"/>
        <v/>
      </c>
      <c r="BV39" s="39" t="str">
        <f t="shared" ca="1" si="4"/>
        <v/>
      </c>
      <c r="BW39" s="39" t="str">
        <f t="shared" ca="1" si="5"/>
        <v/>
      </c>
      <c r="BX39" s="39" t="str">
        <f t="shared" ca="1" si="6"/>
        <v/>
      </c>
      <c r="BY39" s="39" t="str">
        <f t="shared" ca="1" si="7"/>
        <v/>
      </c>
      <c r="BZ39" s="39" t="str">
        <f t="shared" ca="1" si="107"/>
        <v/>
      </c>
      <c r="CA39" s="38"/>
    </row>
    <row r="40" spans="1:79" ht="15" customHeight="1" x14ac:dyDescent="0.2">
      <c r="A40" s="44"/>
      <c r="B40" s="21"/>
      <c r="C40" s="21"/>
      <c r="D40" s="20"/>
      <c r="E40" s="20"/>
      <c r="F40" s="100"/>
      <c r="G40" s="100"/>
      <c r="H40" s="159"/>
      <c r="I40" s="158"/>
      <c r="J40" s="164"/>
      <c r="K40" s="162"/>
      <c r="L40" s="54"/>
      <c r="M40" s="148"/>
      <c r="N40" s="120"/>
      <c r="O40" s="52"/>
      <c r="P40" s="121"/>
      <c r="Q40" s="120"/>
      <c r="R40" s="28"/>
      <c r="S40" s="28"/>
      <c r="T40" s="53"/>
      <c r="U40" s="53"/>
      <c r="V40" s="53"/>
      <c r="W40" s="54"/>
      <c r="X40" s="51"/>
      <c r="Y40" s="120"/>
      <c r="Z40" s="52"/>
      <c r="AA40" s="120"/>
      <c r="AB40" s="120"/>
      <c r="AC40" s="52"/>
      <c r="AD40" s="52"/>
      <c r="AE40" s="53"/>
      <c r="AF40" s="53"/>
      <c r="AG40" s="53"/>
      <c r="AH40" s="54"/>
      <c r="AI40" s="51"/>
      <c r="AJ40" s="120"/>
      <c r="AK40" s="52"/>
      <c r="AL40" s="120"/>
      <c r="AM40" s="120"/>
      <c r="AN40" s="52"/>
      <c r="AO40" s="52"/>
      <c r="AP40" s="53"/>
      <c r="AQ40" s="53"/>
      <c r="AR40" s="53"/>
      <c r="AS40" s="54"/>
      <c r="AT40" s="55"/>
      <c r="AU40" s="121"/>
      <c r="AV40" s="56"/>
      <c r="AW40" s="121"/>
      <c r="AX40" s="121"/>
      <c r="AY40" s="45"/>
      <c r="AZ40" s="45"/>
      <c r="BA40" s="45"/>
      <c r="BB40" s="57"/>
      <c r="BC40" s="57"/>
      <c r="BD40" s="57"/>
      <c r="BE40" s="58"/>
      <c r="BF40" s="59"/>
      <c r="BG40" s="60"/>
      <c r="BH40" s="61"/>
      <c r="BI40" s="62"/>
      <c r="BJ40" s="60"/>
      <c r="BK40" s="63"/>
      <c r="BL40" s="63"/>
      <c r="BM40" s="64"/>
      <c r="BN40" s="18"/>
      <c r="BO40" s="19"/>
      <c r="BP40" s="65"/>
      <c r="BQ40" s="37"/>
      <c r="BR40" s="39" t="str">
        <f t="shared" ca="1" si="0"/>
        <v/>
      </c>
      <c r="BS40" s="39" t="str">
        <f t="shared" ca="1" si="1"/>
        <v/>
      </c>
      <c r="BT40" s="39" t="str">
        <f t="shared" ca="1" si="2"/>
        <v/>
      </c>
      <c r="BU40" s="39" t="str">
        <f t="shared" ca="1" si="3"/>
        <v/>
      </c>
      <c r="BV40" s="39" t="str">
        <f t="shared" ca="1" si="4"/>
        <v/>
      </c>
      <c r="BW40" s="39" t="str">
        <f t="shared" ca="1" si="5"/>
        <v/>
      </c>
      <c r="BX40" s="39" t="str">
        <f t="shared" ca="1" si="6"/>
        <v/>
      </c>
      <c r="BY40" s="39" t="str">
        <f t="shared" ca="1" si="7"/>
        <v/>
      </c>
      <c r="BZ40" s="39" t="str">
        <f t="shared" ca="1" si="107"/>
        <v/>
      </c>
      <c r="CA40" s="38"/>
    </row>
    <row r="41" spans="1:79" ht="15" customHeight="1" x14ac:dyDescent="0.2">
      <c r="A41" s="44"/>
      <c r="B41" s="21"/>
      <c r="C41" s="21"/>
      <c r="D41" s="20"/>
      <c r="E41" s="20"/>
      <c r="F41" s="100"/>
      <c r="G41" s="100"/>
      <c r="H41" s="159"/>
      <c r="I41" s="158"/>
      <c r="J41" s="164"/>
      <c r="K41" s="162"/>
      <c r="L41" s="54"/>
      <c r="M41" s="148"/>
      <c r="N41" s="120"/>
      <c r="O41" s="52"/>
      <c r="P41" s="121"/>
      <c r="Q41" s="120"/>
      <c r="R41" s="28"/>
      <c r="S41" s="28"/>
      <c r="T41" s="53"/>
      <c r="U41" s="53"/>
      <c r="V41" s="53"/>
      <c r="W41" s="54"/>
      <c r="X41" s="51"/>
      <c r="Y41" s="120"/>
      <c r="Z41" s="52"/>
      <c r="AA41" s="120"/>
      <c r="AB41" s="120"/>
      <c r="AC41" s="52"/>
      <c r="AD41" s="52"/>
      <c r="AE41" s="53"/>
      <c r="AF41" s="53"/>
      <c r="AG41" s="53"/>
      <c r="AH41" s="54"/>
      <c r="AI41" s="51"/>
      <c r="AJ41" s="120"/>
      <c r="AK41" s="52"/>
      <c r="AL41" s="120"/>
      <c r="AM41" s="120"/>
      <c r="AN41" s="52"/>
      <c r="AO41" s="52"/>
      <c r="AP41" s="53"/>
      <c r="AQ41" s="53"/>
      <c r="AR41" s="53"/>
      <c r="AS41" s="54"/>
      <c r="AT41" s="55"/>
      <c r="AU41" s="121"/>
      <c r="AV41" s="56"/>
      <c r="AW41" s="121"/>
      <c r="AX41" s="121"/>
      <c r="AY41" s="45"/>
      <c r="AZ41" s="45"/>
      <c r="BA41" s="45"/>
      <c r="BB41" s="57"/>
      <c r="BC41" s="57"/>
      <c r="BD41" s="57"/>
      <c r="BE41" s="58"/>
      <c r="BF41" s="59"/>
      <c r="BG41" s="60"/>
      <c r="BH41" s="61"/>
      <c r="BI41" s="62"/>
      <c r="BJ41" s="60"/>
      <c r="BK41" s="63"/>
      <c r="BL41" s="63"/>
      <c r="BM41" s="64"/>
      <c r="BN41" s="18"/>
      <c r="BO41" s="19"/>
      <c r="BP41" s="65"/>
      <c r="BQ41" s="37"/>
      <c r="BR41" s="39" t="str">
        <f t="shared" ca="1" si="0"/>
        <v/>
      </c>
      <c r="BS41" s="39" t="str">
        <f t="shared" ca="1" si="1"/>
        <v/>
      </c>
      <c r="BT41" s="39" t="str">
        <f t="shared" ca="1" si="2"/>
        <v/>
      </c>
      <c r="BU41" s="39" t="str">
        <f t="shared" ca="1" si="3"/>
        <v/>
      </c>
      <c r="BV41" s="39" t="str">
        <f t="shared" ca="1" si="4"/>
        <v/>
      </c>
      <c r="BW41" s="39" t="str">
        <f t="shared" ca="1" si="5"/>
        <v/>
      </c>
      <c r="BX41" s="39" t="str">
        <f t="shared" ca="1" si="6"/>
        <v/>
      </c>
      <c r="BY41" s="39" t="str">
        <f t="shared" ca="1" si="7"/>
        <v/>
      </c>
      <c r="BZ41" s="39" t="str">
        <f t="shared" ca="1" si="107"/>
        <v/>
      </c>
      <c r="CA41" s="38"/>
    </row>
    <row r="42" spans="1:79" ht="15" customHeight="1" x14ac:dyDescent="0.2">
      <c r="A42" s="44"/>
      <c r="B42" s="21"/>
      <c r="C42" s="21"/>
      <c r="D42" s="20"/>
      <c r="E42" s="20"/>
      <c r="F42" s="100"/>
      <c r="G42" s="100"/>
      <c r="H42" s="159"/>
      <c r="I42" s="158"/>
      <c r="J42" s="164"/>
      <c r="K42" s="162"/>
      <c r="L42" s="54"/>
      <c r="M42" s="148"/>
      <c r="N42" s="120"/>
      <c r="O42" s="52"/>
      <c r="P42" s="121"/>
      <c r="Q42" s="120"/>
      <c r="R42" s="28"/>
      <c r="S42" s="28"/>
      <c r="T42" s="53"/>
      <c r="U42" s="53"/>
      <c r="V42" s="53"/>
      <c r="W42" s="54"/>
      <c r="X42" s="51"/>
      <c r="Y42" s="120"/>
      <c r="Z42" s="52"/>
      <c r="AA42" s="120"/>
      <c r="AB42" s="120"/>
      <c r="AC42" s="52"/>
      <c r="AD42" s="52"/>
      <c r="AE42" s="53"/>
      <c r="AF42" s="53"/>
      <c r="AG42" s="53"/>
      <c r="AH42" s="54"/>
      <c r="AI42" s="51"/>
      <c r="AJ42" s="120"/>
      <c r="AK42" s="52"/>
      <c r="AL42" s="120"/>
      <c r="AM42" s="120"/>
      <c r="AN42" s="52"/>
      <c r="AO42" s="52"/>
      <c r="AP42" s="53"/>
      <c r="AQ42" s="53"/>
      <c r="AR42" s="53"/>
      <c r="AS42" s="54"/>
      <c r="AT42" s="55"/>
      <c r="AU42" s="121"/>
      <c r="AV42" s="56"/>
      <c r="AW42" s="121"/>
      <c r="AX42" s="121"/>
      <c r="AY42" s="45"/>
      <c r="AZ42" s="45"/>
      <c r="BA42" s="45"/>
      <c r="BB42" s="57"/>
      <c r="BC42" s="57"/>
      <c r="BD42" s="57"/>
      <c r="BE42" s="58"/>
      <c r="BF42" s="59"/>
      <c r="BG42" s="60"/>
      <c r="BH42" s="61"/>
      <c r="BI42" s="62"/>
      <c r="BJ42" s="60"/>
      <c r="BK42" s="63"/>
      <c r="BL42" s="63"/>
      <c r="BM42" s="64"/>
      <c r="BN42" s="18"/>
      <c r="BO42" s="19"/>
      <c r="BP42" s="65"/>
      <c r="BQ42" s="37"/>
      <c r="BR42" s="39" t="str">
        <f t="shared" ca="1" si="0"/>
        <v/>
      </c>
      <c r="BS42" s="39" t="str">
        <f t="shared" ca="1" si="1"/>
        <v/>
      </c>
      <c r="BT42" s="39" t="str">
        <f t="shared" ca="1" si="2"/>
        <v/>
      </c>
      <c r="BU42" s="39" t="str">
        <f t="shared" ca="1" si="3"/>
        <v/>
      </c>
      <c r="BV42" s="39" t="str">
        <f t="shared" ca="1" si="4"/>
        <v/>
      </c>
      <c r="BW42" s="39" t="str">
        <f t="shared" ca="1" si="5"/>
        <v/>
      </c>
      <c r="BX42" s="39" t="str">
        <f t="shared" ca="1" si="6"/>
        <v/>
      </c>
      <c r="BY42" s="39" t="str">
        <f t="shared" ca="1" si="7"/>
        <v/>
      </c>
      <c r="BZ42" s="39" t="str">
        <f t="shared" ca="1" si="107"/>
        <v/>
      </c>
      <c r="CA42" s="38"/>
    </row>
    <row r="43" spans="1:79" ht="15" customHeight="1" x14ac:dyDescent="0.2">
      <c r="A43" s="44"/>
      <c r="B43" s="21"/>
      <c r="C43" s="21"/>
      <c r="D43" s="20"/>
      <c r="E43" s="20"/>
      <c r="F43" s="100"/>
      <c r="G43" s="100"/>
      <c r="H43" s="159"/>
      <c r="I43" s="158"/>
      <c r="J43" s="164"/>
      <c r="K43" s="162"/>
      <c r="L43" s="54"/>
      <c r="M43" s="148"/>
      <c r="N43" s="120"/>
      <c r="O43" s="52"/>
      <c r="P43" s="121"/>
      <c r="Q43" s="120"/>
      <c r="R43" s="28"/>
      <c r="S43" s="28"/>
      <c r="T43" s="53"/>
      <c r="U43" s="53"/>
      <c r="V43" s="53"/>
      <c r="W43" s="54"/>
      <c r="X43" s="51"/>
      <c r="Y43" s="120"/>
      <c r="Z43" s="52"/>
      <c r="AA43" s="120"/>
      <c r="AB43" s="120"/>
      <c r="AC43" s="52"/>
      <c r="AD43" s="52"/>
      <c r="AE43" s="53"/>
      <c r="AF43" s="53"/>
      <c r="AG43" s="53"/>
      <c r="AH43" s="54"/>
      <c r="AI43" s="51"/>
      <c r="AJ43" s="120"/>
      <c r="AK43" s="52"/>
      <c r="AL43" s="120"/>
      <c r="AM43" s="120"/>
      <c r="AN43" s="52"/>
      <c r="AO43" s="52"/>
      <c r="AP43" s="53"/>
      <c r="AQ43" s="53"/>
      <c r="AR43" s="53"/>
      <c r="AS43" s="54"/>
      <c r="AT43" s="55"/>
      <c r="AU43" s="121"/>
      <c r="AV43" s="56"/>
      <c r="AW43" s="121"/>
      <c r="AX43" s="121"/>
      <c r="AY43" s="45"/>
      <c r="AZ43" s="45"/>
      <c r="BA43" s="45"/>
      <c r="BB43" s="57"/>
      <c r="BC43" s="57"/>
      <c r="BD43" s="57"/>
      <c r="BE43" s="58"/>
      <c r="BF43" s="59"/>
      <c r="BG43" s="60"/>
      <c r="BH43" s="61"/>
      <c r="BI43" s="62"/>
      <c r="BJ43" s="60"/>
      <c r="BK43" s="63"/>
      <c r="BL43" s="63"/>
      <c r="BM43" s="64"/>
      <c r="BN43" s="18"/>
      <c r="BO43" s="19"/>
      <c r="BP43" s="65"/>
      <c r="BQ43" s="37"/>
      <c r="BR43" s="39" t="str">
        <f t="shared" ca="1" si="0"/>
        <v/>
      </c>
      <c r="BS43" s="39" t="str">
        <f t="shared" ca="1" si="1"/>
        <v/>
      </c>
      <c r="BT43" s="39" t="str">
        <f t="shared" ca="1" si="2"/>
        <v/>
      </c>
      <c r="BU43" s="39" t="str">
        <f t="shared" ca="1" si="3"/>
        <v/>
      </c>
      <c r="BV43" s="39" t="str">
        <f t="shared" ca="1" si="4"/>
        <v/>
      </c>
      <c r="BW43" s="39" t="str">
        <f t="shared" ca="1" si="5"/>
        <v/>
      </c>
      <c r="BX43" s="39" t="str">
        <f t="shared" ca="1" si="6"/>
        <v/>
      </c>
      <c r="BY43" s="39" t="str">
        <f t="shared" ca="1" si="7"/>
        <v/>
      </c>
      <c r="BZ43" s="39" t="str">
        <f t="shared" ca="1" si="107"/>
        <v/>
      </c>
      <c r="CA43" s="38"/>
    </row>
    <row r="44" spans="1:79" ht="15" customHeight="1" x14ac:dyDescent="0.2">
      <c r="A44" s="44"/>
      <c r="B44" s="21"/>
      <c r="C44" s="21"/>
      <c r="D44" s="20"/>
      <c r="E44" s="20"/>
      <c r="F44" s="100"/>
      <c r="G44" s="100"/>
      <c r="H44" s="159"/>
      <c r="I44" s="158"/>
      <c r="J44" s="164"/>
      <c r="K44" s="162"/>
      <c r="L44" s="54"/>
      <c r="M44" s="148"/>
      <c r="N44" s="120"/>
      <c r="O44" s="52"/>
      <c r="P44" s="121"/>
      <c r="Q44" s="120"/>
      <c r="R44" s="28"/>
      <c r="S44" s="28"/>
      <c r="T44" s="53"/>
      <c r="U44" s="53"/>
      <c r="V44" s="53"/>
      <c r="W44" s="54"/>
      <c r="X44" s="51"/>
      <c r="Y44" s="120"/>
      <c r="Z44" s="52"/>
      <c r="AA44" s="120"/>
      <c r="AB44" s="120"/>
      <c r="AC44" s="52"/>
      <c r="AD44" s="52"/>
      <c r="AE44" s="53"/>
      <c r="AF44" s="53"/>
      <c r="AG44" s="53"/>
      <c r="AH44" s="54"/>
      <c r="AI44" s="51"/>
      <c r="AJ44" s="120"/>
      <c r="AK44" s="52"/>
      <c r="AL44" s="120"/>
      <c r="AM44" s="120"/>
      <c r="AN44" s="52"/>
      <c r="AO44" s="52"/>
      <c r="AP44" s="53"/>
      <c r="AQ44" s="53"/>
      <c r="AR44" s="53"/>
      <c r="AS44" s="54"/>
      <c r="AT44" s="55"/>
      <c r="AU44" s="121"/>
      <c r="AV44" s="56"/>
      <c r="AW44" s="121"/>
      <c r="AX44" s="121"/>
      <c r="AY44" s="45"/>
      <c r="AZ44" s="45"/>
      <c r="BA44" s="45"/>
      <c r="BB44" s="57"/>
      <c r="BC44" s="57"/>
      <c r="BD44" s="57"/>
      <c r="BE44" s="58"/>
      <c r="BF44" s="59"/>
      <c r="BG44" s="60"/>
      <c r="BH44" s="61"/>
      <c r="BI44" s="62"/>
      <c r="BJ44" s="60"/>
      <c r="BK44" s="63"/>
      <c r="BL44" s="63"/>
      <c r="BM44" s="64"/>
      <c r="BN44" s="18"/>
      <c r="BO44" s="19"/>
      <c r="BP44" s="65"/>
      <c r="BQ44" s="37"/>
      <c r="BR44" s="39" t="str">
        <f t="shared" ca="1" si="0"/>
        <v/>
      </c>
      <c r="BS44" s="39" t="str">
        <f t="shared" ca="1" si="1"/>
        <v/>
      </c>
      <c r="BT44" s="39" t="str">
        <f t="shared" ca="1" si="2"/>
        <v/>
      </c>
      <c r="BU44" s="39" t="str">
        <f t="shared" ca="1" si="3"/>
        <v/>
      </c>
      <c r="BV44" s="39" t="str">
        <f t="shared" ca="1" si="4"/>
        <v/>
      </c>
      <c r="BW44" s="39" t="str">
        <f t="shared" ca="1" si="5"/>
        <v/>
      </c>
      <c r="BX44" s="39" t="str">
        <f t="shared" ca="1" si="6"/>
        <v/>
      </c>
      <c r="BY44" s="39" t="str">
        <f t="shared" ca="1" si="7"/>
        <v/>
      </c>
      <c r="BZ44" s="39" t="str">
        <f t="shared" ca="1" si="107"/>
        <v/>
      </c>
      <c r="CA44" s="38"/>
    </row>
    <row r="45" spans="1:79" ht="15" customHeight="1" x14ac:dyDescent="0.2">
      <c r="A45" s="44"/>
      <c r="B45" s="21"/>
      <c r="C45" s="21"/>
      <c r="D45" s="20"/>
      <c r="E45" s="20"/>
      <c r="F45" s="100"/>
      <c r="G45" s="100"/>
      <c r="H45" s="159"/>
      <c r="I45" s="158"/>
      <c r="J45" s="164"/>
      <c r="K45" s="162"/>
      <c r="L45" s="54"/>
      <c r="M45" s="148"/>
      <c r="N45" s="120"/>
      <c r="O45" s="52"/>
      <c r="P45" s="121"/>
      <c r="Q45" s="120"/>
      <c r="R45" s="28"/>
      <c r="S45" s="28"/>
      <c r="T45" s="53"/>
      <c r="U45" s="53"/>
      <c r="V45" s="53"/>
      <c r="W45" s="54"/>
      <c r="X45" s="51"/>
      <c r="Y45" s="120"/>
      <c r="Z45" s="52"/>
      <c r="AA45" s="120"/>
      <c r="AB45" s="120"/>
      <c r="AC45" s="52"/>
      <c r="AD45" s="52"/>
      <c r="AE45" s="53"/>
      <c r="AF45" s="53"/>
      <c r="AG45" s="53"/>
      <c r="AH45" s="54"/>
      <c r="AI45" s="51"/>
      <c r="AJ45" s="120"/>
      <c r="AK45" s="52"/>
      <c r="AL45" s="120"/>
      <c r="AM45" s="120"/>
      <c r="AN45" s="52"/>
      <c r="AO45" s="52"/>
      <c r="AP45" s="53"/>
      <c r="AQ45" s="53"/>
      <c r="AR45" s="53"/>
      <c r="AS45" s="54"/>
      <c r="AT45" s="55"/>
      <c r="AU45" s="121"/>
      <c r="AV45" s="56"/>
      <c r="AW45" s="121"/>
      <c r="AX45" s="121"/>
      <c r="AY45" s="45"/>
      <c r="AZ45" s="45"/>
      <c r="BA45" s="45"/>
      <c r="BB45" s="57"/>
      <c r="BC45" s="57"/>
      <c r="BD45" s="57"/>
      <c r="BE45" s="58"/>
      <c r="BF45" s="59"/>
      <c r="BG45" s="60"/>
      <c r="BH45" s="61"/>
      <c r="BI45" s="62"/>
      <c r="BJ45" s="60"/>
      <c r="BK45" s="63"/>
      <c r="BL45" s="63"/>
      <c r="BM45" s="64"/>
      <c r="BN45" s="18"/>
      <c r="BO45" s="19"/>
      <c r="BP45" s="65"/>
      <c r="BQ45" s="37"/>
      <c r="BR45" s="39" t="str">
        <f t="shared" ca="1" si="0"/>
        <v/>
      </c>
      <c r="BS45" s="39" t="str">
        <f t="shared" ca="1" si="1"/>
        <v/>
      </c>
      <c r="BT45" s="39" t="str">
        <f t="shared" ca="1" si="2"/>
        <v/>
      </c>
      <c r="BU45" s="39" t="str">
        <f t="shared" ca="1" si="3"/>
        <v/>
      </c>
      <c r="BV45" s="39" t="str">
        <f t="shared" ca="1" si="4"/>
        <v/>
      </c>
      <c r="BW45" s="39" t="str">
        <f t="shared" ca="1" si="5"/>
        <v/>
      </c>
      <c r="BX45" s="39" t="str">
        <f t="shared" ca="1" si="6"/>
        <v/>
      </c>
      <c r="BY45" s="39" t="str">
        <f t="shared" ca="1" si="7"/>
        <v/>
      </c>
      <c r="BZ45" s="39" t="str">
        <f t="shared" ca="1" si="107"/>
        <v/>
      </c>
      <c r="CA45" s="38"/>
    </row>
    <row r="46" spans="1:79" ht="15" customHeight="1" x14ac:dyDescent="0.2">
      <c r="A46" s="44"/>
      <c r="B46" s="21"/>
      <c r="C46" s="21"/>
      <c r="D46" s="20"/>
      <c r="E46" s="20"/>
      <c r="F46" s="100"/>
      <c r="G46" s="100"/>
      <c r="H46" s="159"/>
      <c r="I46" s="158"/>
      <c r="J46" s="164"/>
      <c r="K46" s="162"/>
      <c r="L46" s="54"/>
      <c r="M46" s="148"/>
      <c r="N46" s="120"/>
      <c r="O46" s="52"/>
      <c r="P46" s="121"/>
      <c r="Q46" s="120"/>
      <c r="R46" s="28"/>
      <c r="S46" s="28"/>
      <c r="T46" s="53"/>
      <c r="U46" s="53"/>
      <c r="V46" s="53"/>
      <c r="W46" s="54"/>
      <c r="X46" s="51"/>
      <c r="Y46" s="120"/>
      <c r="Z46" s="52"/>
      <c r="AA46" s="120"/>
      <c r="AB46" s="120"/>
      <c r="AC46" s="52"/>
      <c r="AD46" s="52"/>
      <c r="AE46" s="53"/>
      <c r="AF46" s="53"/>
      <c r="AG46" s="53"/>
      <c r="AH46" s="54"/>
      <c r="AI46" s="51"/>
      <c r="AJ46" s="120"/>
      <c r="AK46" s="52"/>
      <c r="AL46" s="120"/>
      <c r="AM46" s="120"/>
      <c r="AN46" s="52"/>
      <c r="AO46" s="52"/>
      <c r="AP46" s="53"/>
      <c r="AQ46" s="53"/>
      <c r="AR46" s="53"/>
      <c r="AS46" s="54"/>
      <c r="AT46" s="55"/>
      <c r="AU46" s="121"/>
      <c r="AV46" s="56"/>
      <c r="AW46" s="121"/>
      <c r="AX46" s="121"/>
      <c r="AY46" s="45"/>
      <c r="AZ46" s="45"/>
      <c r="BA46" s="45"/>
      <c r="BB46" s="57"/>
      <c r="BC46" s="57"/>
      <c r="BD46" s="57"/>
      <c r="BE46" s="58"/>
      <c r="BF46" s="59"/>
      <c r="BG46" s="60"/>
      <c r="BH46" s="61"/>
      <c r="BI46" s="62"/>
      <c r="BJ46" s="60"/>
      <c r="BK46" s="63"/>
      <c r="BL46" s="63"/>
      <c r="BM46" s="64"/>
      <c r="BN46" s="18"/>
      <c r="BO46" s="19"/>
      <c r="BP46" s="65"/>
      <c r="BQ46" s="37"/>
      <c r="BR46" s="39" t="str">
        <f t="shared" ca="1" si="0"/>
        <v/>
      </c>
      <c r="BS46" s="39" t="str">
        <f t="shared" ca="1" si="1"/>
        <v/>
      </c>
      <c r="BT46" s="39" t="str">
        <f t="shared" ca="1" si="2"/>
        <v/>
      </c>
      <c r="BU46" s="39" t="str">
        <f t="shared" ca="1" si="3"/>
        <v/>
      </c>
      <c r="BV46" s="39" t="str">
        <f t="shared" ca="1" si="4"/>
        <v/>
      </c>
      <c r="BW46" s="39" t="str">
        <f t="shared" ca="1" si="5"/>
        <v/>
      </c>
      <c r="BX46" s="39" t="str">
        <f t="shared" ca="1" si="6"/>
        <v/>
      </c>
      <c r="BY46" s="39" t="str">
        <f t="shared" ca="1" si="7"/>
        <v/>
      </c>
      <c r="BZ46" s="39" t="str">
        <f t="shared" ca="1" si="107"/>
        <v/>
      </c>
      <c r="CA46" s="38"/>
    </row>
    <row r="47" spans="1:79" ht="15" customHeight="1" x14ac:dyDescent="0.2">
      <c r="A47" s="44"/>
      <c r="B47" s="21"/>
      <c r="C47" s="21"/>
      <c r="D47" s="20"/>
      <c r="E47" s="20"/>
      <c r="F47" s="100"/>
      <c r="G47" s="100"/>
      <c r="H47" s="159"/>
      <c r="I47" s="158"/>
      <c r="J47" s="164"/>
      <c r="K47" s="162"/>
      <c r="L47" s="54"/>
      <c r="M47" s="148"/>
      <c r="N47" s="120"/>
      <c r="O47" s="52"/>
      <c r="P47" s="121"/>
      <c r="Q47" s="120"/>
      <c r="R47" s="28"/>
      <c r="S47" s="28"/>
      <c r="T47" s="53"/>
      <c r="U47" s="53"/>
      <c r="V47" s="53"/>
      <c r="W47" s="54"/>
      <c r="X47" s="51"/>
      <c r="Y47" s="120"/>
      <c r="Z47" s="52"/>
      <c r="AA47" s="120"/>
      <c r="AB47" s="120"/>
      <c r="AC47" s="52"/>
      <c r="AD47" s="52"/>
      <c r="AE47" s="53"/>
      <c r="AF47" s="53"/>
      <c r="AG47" s="53"/>
      <c r="AH47" s="54"/>
      <c r="AI47" s="51"/>
      <c r="AJ47" s="120"/>
      <c r="AK47" s="52"/>
      <c r="AL47" s="120"/>
      <c r="AM47" s="120"/>
      <c r="AN47" s="52"/>
      <c r="AO47" s="52"/>
      <c r="AP47" s="53"/>
      <c r="AQ47" s="53"/>
      <c r="AR47" s="53"/>
      <c r="AS47" s="54"/>
      <c r="AT47" s="55"/>
      <c r="AU47" s="121"/>
      <c r="AV47" s="56"/>
      <c r="AW47" s="121"/>
      <c r="AX47" s="121"/>
      <c r="AY47" s="45"/>
      <c r="AZ47" s="45"/>
      <c r="BA47" s="45"/>
      <c r="BB47" s="57"/>
      <c r="BC47" s="57"/>
      <c r="BD47" s="57"/>
      <c r="BE47" s="58"/>
      <c r="BF47" s="59"/>
      <c r="BG47" s="60"/>
      <c r="BH47" s="61"/>
      <c r="BI47" s="62"/>
      <c r="BJ47" s="60"/>
      <c r="BK47" s="63"/>
      <c r="BL47" s="63"/>
      <c r="BM47" s="64"/>
      <c r="BN47" s="18"/>
      <c r="BO47" s="19"/>
      <c r="BP47" s="65"/>
      <c r="BQ47" s="37"/>
      <c r="BR47" s="39" t="str">
        <f t="shared" ca="1" si="0"/>
        <v/>
      </c>
      <c r="BS47" s="39" t="str">
        <f t="shared" ca="1" si="1"/>
        <v/>
      </c>
      <c r="BT47" s="39" t="str">
        <f t="shared" ca="1" si="2"/>
        <v/>
      </c>
      <c r="BU47" s="39" t="str">
        <f t="shared" ca="1" si="3"/>
        <v/>
      </c>
      <c r="BV47" s="39" t="str">
        <f t="shared" ca="1" si="4"/>
        <v/>
      </c>
      <c r="BW47" s="39" t="str">
        <f t="shared" ca="1" si="5"/>
        <v/>
      </c>
      <c r="BX47" s="39" t="str">
        <f t="shared" ca="1" si="6"/>
        <v/>
      </c>
      <c r="BY47" s="39" t="str">
        <f t="shared" ca="1" si="7"/>
        <v/>
      </c>
      <c r="BZ47" s="39" t="str">
        <f t="shared" ca="1" si="107"/>
        <v/>
      </c>
      <c r="CA47" s="38"/>
    </row>
    <row r="51" spans="66:66" x14ac:dyDescent="0.2">
      <c r="BN51" s="211"/>
    </row>
  </sheetData>
  <sheetProtection autoFilter="0"/>
  <protectedRanges>
    <protectedRange sqref="BN51 BN5:BO6 BN12:BO47" name="Range19"/>
    <protectedRange sqref="BA5:BA6 BA12:BA47" name="Range4"/>
    <protectedRange sqref="AX5:AX6 AX12:AX47" name="Range3"/>
    <protectedRange sqref="AW5:AW6 AW12:AW47" name="Range2"/>
    <protectedRange sqref="AU5:AU6 AU12:AU47" name="Range1"/>
    <protectedRange sqref="AJ5:AJ6 AJ12:AJ47" name="Range5"/>
    <protectedRange sqref="AL5:AL6 AL12:AL47" name="Range6"/>
    <protectedRange sqref="AM5:AM6 AM12:AM47" name="Range7"/>
    <protectedRange sqref="AO5:AO6 AO12:AO47" name="Range8"/>
    <protectedRange sqref="Y5:Y6 Y12:Y47" name="Range9"/>
    <protectedRange sqref="AA5:AB6 AA12:AB47" name="Range10"/>
    <protectedRange sqref="AD5:AD6 AD12:AD47" name="Range11"/>
    <protectedRange sqref="N5:N6 N12:N47" name="Range12"/>
    <protectedRange sqref="AA5:AB6 AA12:AB47" name="Range13"/>
    <protectedRange sqref="AD5:AD6 AD12:AD47" name="Range14"/>
    <protectedRange sqref="N5:N6 N12:N47" name="Range15"/>
    <protectedRange sqref="P5:Q6 P12:Q47" name="Range16"/>
    <protectedRange sqref="S5:S6 S12:S47" name="Range17"/>
    <protectedRange sqref="A5:L5 A35:G35 A36:H47 A6:J6 J36:J47 A12:J34" name="Range18"/>
    <protectedRange sqref="H35:L35 I36:I47 K6:L6 K36:L47 K12:L34" name="Range18_1"/>
    <protectedRange sqref="BN3:BO3" name="Range19_2"/>
    <protectedRange sqref="BA3" name="Range4_2"/>
    <protectedRange sqref="AX3" name="Range3_2"/>
    <protectedRange sqref="AW3" name="Range2_2"/>
    <protectedRange sqref="AU3" name="Range1_2"/>
    <protectedRange sqref="AJ3" name="Range5_2"/>
    <protectedRange sqref="AL3" name="Range6_2"/>
    <protectedRange sqref="AM3" name="Range7_2"/>
    <protectedRange sqref="AO3" name="Range8_2"/>
    <protectedRange sqref="Y3" name="Range9_2"/>
    <protectedRange sqref="AA3:AB3" name="Range10_2"/>
    <protectedRange sqref="AD3" name="Range11_2"/>
    <protectedRange sqref="N3" name="Range12_2"/>
    <protectedRange sqref="AA3:AB3" name="Range13_2"/>
    <protectedRange sqref="AD3" name="Range14_2"/>
    <protectedRange sqref="N3" name="Range15_2"/>
    <protectedRange sqref="P3:Q3" name="Range16_2"/>
    <protectedRange sqref="S3" name="Range17_2"/>
    <protectedRange sqref="A3:J3" name="Range18_3"/>
    <protectedRange sqref="K3:L3" name="Range18_1_2"/>
    <protectedRange sqref="BN4:BO4" name="Range19_1"/>
    <protectedRange sqref="BA4" name="Range4_1"/>
    <protectedRange sqref="AX4" name="Range3_1"/>
    <protectedRange sqref="AW4" name="Range2_1"/>
    <protectedRange sqref="AU4" name="Range1_1"/>
    <protectedRange sqref="AJ4" name="Range5_1"/>
    <protectedRange sqref="AL4" name="Range6_1"/>
    <protectedRange sqref="AM4" name="Range7_1"/>
    <protectedRange sqref="AO4" name="Range8_1"/>
    <protectedRange sqref="Y4" name="Range9_1"/>
    <protectedRange sqref="AA4:AB4" name="Range10_1"/>
    <protectedRange sqref="AD4" name="Range11_1"/>
    <protectedRange sqref="N4" name="Range12_1"/>
    <protectedRange sqref="AA4:AB4" name="Range13_1"/>
    <protectedRange sqref="AD4" name="Range14_1"/>
    <protectedRange sqref="N4" name="Range15_1"/>
    <protectedRange sqref="P4:Q4" name="Range16_1"/>
    <protectedRange sqref="S4" name="Range17_1"/>
    <protectedRange sqref="A4:J4" name="Range18_2"/>
    <protectedRange sqref="K4:L4" name="Range18_1_1"/>
    <protectedRange sqref="BG11" name="Range18_4"/>
    <protectedRange sqref="BA11" name="Range4_3"/>
    <protectedRange sqref="AX11" name="Range3_3"/>
    <protectedRange sqref="AW11" name="Range2_3"/>
    <protectedRange sqref="AU11" name="Range1_3"/>
    <protectedRange sqref="AJ11" name="Range5_3"/>
    <protectedRange sqref="AL11" name="Range6_3"/>
    <protectedRange sqref="AM11" name="Range7_3"/>
    <protectedRange sqref="AO11" name="Range8_3"/>
    <protectedRange sqref="Y11" name="Range9_3"/>
    <protectedRange sqref="AA11:AB11" name="Range10_3"/>
    <protectedRange sqref="AD11" name="Range11_3"/>
    <protectedRange sqref="N11" name="Range12_3"/>
    <protectedRange sqref="AA11:AB11" name="Range13_3"/>
    <protectedRange sqref="AD11" name="Range14_3"/>
    <protectedRange sqref="N11" name="Range15_3"/>
    <protectedRange sqref="P11:Q11" name="Range16_3"/>
    <protectedRange sqref="BN11:BO11" name="Range17_3"/>
    <protectedRange sqref="BG8" name="Range18_5"/>
    <protectedRange sqref="BA8" name="Range4_4"/>
    <protectedRange sqref="AX8" name="Range3_4"/>
    <protectedRange sqref="AW8" name="Range2_4"/>
    <protectedRange sqref="AU8" name="Range1_4"/>
    <protectedRange sqref="AJ8" name="Range5_4"/>
    <protectedRange sqref="AL8" name="Range6_4"/>
    <protectedRange sqref="AM8" name="Range7_4"/>
    <protectedRange sqref="AO8" name="Range8_4"/>
    <protectedRange sqref="Y8" name="Range9_4"/>
    <protectedRange sqref="AA8:AB8" name="Range10_4"/>
    <protectedRange sqref="AD8" name="Range11_4"/>
    <protectedRange sqref="N8" name="Range12_4"/>
    <protectedRange sqref="AA8:AB8" name="Range13_4"/>
    <protectedRange sqref="AD8" name="Range14_4"/>
    <protectedRange sqref="N8" name="Range15_4"/>
    <protectedRange sqref="P8:Q8" name="Range16_4"/>
    <protectedRange sqref="BN8:BO8" name="Range17_4"/>
    <protectedRange sqref="BG7" name="Range18_6"/>
    <protectedRange sqref="BA7" name="Range4_5"/>
    <protectedRange sqref="AX7" name="Range3_5"/>
    <protectedRange sqref="AW7" name="Range2_5"/>
    <protectedRange sqref="AU7" name="Range1_5"/>
    <protectedRange sqref="AJ7" name="Range5_5"/>
    <protectedRange sqref="AL7" name="Range6_5"/>
    <protectedRange sqref="AM7" name="Range7_5"/>
    <protectedRange sqref="AO7" name="Range8_5"/>
    <protectedRange sqref="Y7" name="Range9_5"/>
    <protectedRange sqref="AA7:AB7" name="Range10_5"/>
    <protectedRange sqref="AD7" name="Range11_5"/>
    <protectedRange sqref="N7" name="Range12_5"/>
    <protectedRange sqref="AA7:AB7" name="Range13_5"/>
    <protectedRange sqref="AD7" name="Range14_5"/>
    <protectedRange sqref="N7" name="Range15_5"/>
    <protectedRange sqref="P7:Q7" name="Range16_5"/>
    <protectedRange sqref="BN7:BO7" name="Range17_5"/>
    <protectedRange sqref="BG9" name="Range18_7"/>
    <protectedRange sqref="BA9" name="Range4_6"/>
    <protectedRange sqref="AX9" name="Range3_6"/>
    <protectedRange sqref="AW9" name="Range2_6"/>
    <protectedRange sqref="AU9" name="Range1_6"/>
    <protectedRange sqref="AJ9" name="Range5_6"/>
    <protectedRange sqref="AL9" name="Range6_6"/>
    <protectedRange sqref="AM9" name="Range7_6"/>
    <protectedRange sqref="AO9" name="Range8_6"/>
    <protectedRange sqref="Y9" name="Range9_6"/>
    <protectedRange sqref="AA9:AB9" name="Range10_6"/>
    <protectedRange sqref="AD9" name="Range11_6"/>
    <protectedRange sqref="N9" name="Range12_6"/>
    <protectedRange sqref="AA9:AB9" name="Range13_6"/>
    <protectedRange sqref="AD9" name="Range14_6"/>
    <protectedRange sqref="N9" name="Range15_6"/>
    <protectedRange sqref="P9:Q9" name="Range16_6"/>
    <protectedRange sqref="BN9:BO9" name="Range17_6"/>
    <protectedRange sqref="BG10" name="Range18_8"/>
    <protectedRange sqref="BA10" name="Range4_7"/>
    <protectedRange sqref="AX10" name="Range3_7"/>
    <protectedRange sqref="AW10" name="Range2_7"/>
    <protectedRange sqref="AU10" name="Range1_7"/>
    <protectedRange sqref="AJ10" name="Range5_7"/>
    <protectedRange sqref="AL10" name="Range6_7"/>
    <protectedRange sqref="AM10" name="Range7_7"/>
    <protectedRange sqref="AO10" name="Range8_7"/>
    <protectedRange sqref="Y10" name="Range9_7"/>
    <protectedRange sqref="AA10:AB10" name="Range10_7"/>
    <protectedRange sqref="AD10" name="Range11_7"/>
    <protectedRange sqref="N10" name="Range12_7"/>
    <protectedRange sqref="AA10:AB10" name="Range13_7"/>
    <protectedRange sqref="AD10" name="Range14_7"/>
    <protectedRange sqref="N10" name="Range15_7"/>
    <protectedRange sqref="P10:Q10" name="Range16_7"/>
    <protectedRange sqref="BN10:BO10" name="Range17_7"/>
  </protectedRanges>
  <autoFilter ref="A2:G47"/>
  <dataConsolidate/>
  <mergeCells count="10">
    <mergeCell ref="BF1:BM1"/>
    <mergeCell ref="BN1:BO1"/>
    <mergeCell ref="BP1:BQ1"/>
    <mergeCell ref="BR1:BZ1"/>
    <mergeCell ref="A1:G1"/>
    <mergeCell ref="H1:J1"/>
    <mergeCell ref="M1:W1"/>
    <mergeCell ref="X1:AH1"/>
    <mergeCell ref="AI1:AS1"/>
    <mergeCell ref="AT1:BE1"/>
  </mergeCells>
  <conditionalFormatting sqref="AE4:AH6 AP4:AS6 T4:T6 BP4:BP6 BM4:BM6 V4:W6 L4 BB4:BE6 BB12:BE47 V12:W47 BM12:BM47 BP12:BP47 T12:T47 AP12:AS47 AE12:AH47">
    <cfRule type="containsText" dxfId="65" priority="69" operator="containsText" text="A">
      <formula>NOT(ISERROR(SEARCH("A",L4)))</formula>
    </cfRule>
    <cfRule type="containsText" dxfId="64" priority="70" operator="containsText" text="G">
      <formula>NOT(ISERROR(SEARCH("G",L4)))</formula>
    </cfRule>
    <cfRule type="containsText" dxfId="63" priority="71" operator="containsText" text="R">
      <formula>NOT(ISERROR(SEARCH("R",L4)))</formula>
    </cfRule>
  </conditionalFormatting>
  <conditionalFormatting sqref="U4:U6 U12:U47">
    <cfRule type="containsText" dxfId="62" priority="66" operator="containsText" text="A">
      <formula>NOT(ISERROR(SEARCH("A",U4)))</formula>
    </cfRule>
    <cfRule type="containsText" dxfId="61" priority="67" operator="containsText" text="G">
      <formula>NOT(ISERROR(SEARCH("G",U4)))</formula>
    </cfRule>
    <cfRule type="containsText" dxfId="60" priority="68" operator="containsText" text="R">
      <formula>NOT(ISERROR(SEARCH("R",U4)))</formula>
    </cfRule>
  </conditionalFormatting>
  <conditionalFormatting sqref="W5:W6 W12:W28">
    <cfRule type="cellIs" dxfId="59" priority="65" operator="equal">
      <formula>"B"</formula>
    </cfRule>
  </conditionalFormatting>
  <conditionalFormatting sqref="L5">
    <cfRule type="containsText" dxfId="58" priority="62" operator="containsText" text="A">
      <formula>NOT(ISERROR(SEARCH("A",L5)))</formula>
    </cfRule>
    <cfRule type="containsText" dxfId="57" priority="63" operator="containsText" text="G">
      <formula>NOT(ISERROR(SEARCH("G",L5)))</formula>
    </cfRule>
    <cfRule type="containsText" dxfId="56" priority="64" operator="containsText" text="R">
      <formula>NOT(ISERROR(SEARCH("R",L5)))</formula>
    </cfRule>
  </conditionalFormatting>
  <conditionalFormatting sqref="L5">
    <cfRule type="cellIs" dxfId="55" priority="61" operator="equal">
      <formula>"B"</formula>
    </cfRule>
  </conditionalFormatting>
  <conditionalFormatting sqref="L6 L12:L47">
    <cfRule type="containsText" dxfId="54" priority="58" operator="containsText" text="A">
      <formula>NOT(ISERROR(SEARCH("A",L6)))</formula>
    </cfRule>
    <cfRule type="containsText" dxfId="53" priority="59" operator="containsText" text="G">
      <formula>NOT(ISERROR(SEARCH("G",L6)))</formula>
    </cfRule>
    <cfRule type="containsText" dxfId="52" priority="60" operator="containsText" text="R">
      <formula>NOT(ISERROR(SEARCH("R",L6)))</formula>
    </cfRule>
  </conditionalFormatting>
  <conditionalFormatting sqref="L6 L12:L47">
    <cfRule type="cellIs" dxfId="51" priority="57" operator="equal">
      <formula>"B"</formula>
    </cfRule>
  </conditionalFormatting>
  <conditionalFormatting sqref="L3">
    <cfRule type="cellIs" dxfId="50" priority="47" operator="equal">
      <formula>"B"</formula>
    </cfRule>
  </conditionalFormatting>
  <conditionalFormatting sqref="W4">
    <cfRule type="cellIs" dxfId="49" priority="40" operator="equal">
      <formula>"B"</formula>
    </cfRule>
  </conditionalFormatting>
  <conditionalFormatting sqref="L4">
    <cfRule type="cellIs" dxfId="48" priority="36" operator="equal">
      <formula>"B"</formula>
    </cfRule>
  </conditionalFormatting>
  <conditionalFormatting sqref="L11">
    <cfRule type="cellIs" dxfId="47" priority="29" operator="equal">
      <formula>"B"</formula>
    </cfRule>
  </conditionalFormatting>
  <conditionalFormatting sqref="L8">
    <cfRule type="cellIs" dxfId="46" priority="22" operator="equal">
      <formula>"B"</formula>
    </cfRule>
  </conditionalFormatting>
  <conditionalFormatting sqref="L7">
    <cfRule type="cellIs" dxfId="45" priority="15" operator="equal">
      <formula>"B"</formula>
    </cfRule>
  </conditionalFormatting>
  <conditionalFormatting sqref="W9 L9">
    <cfRule type="cellIs" dxfId="44" priority="8" operator="equal">
      <formula>"B"</formula>
    </cfRule>
  </conditionalFormatting>
  <conditionalFormatting sqref="W10 L10">
    <cfRule type="cellIs" dxfId="43" priority="1" operator="equal">
      <formula>"B"</formula>
    </cfRule>
  </conditionalFormatting>
  <hyperlinks>
    <hyperlink ref="A8" r:id="rId1"/>
    <hyperlink ref="A7" r:id="rId2"/>
    <hyperlink ref="A9" r:id="rId3"/>
    <hyperlink ref="A10" r:id="rId4"/>
  </hyperlinks>
  <pageMargins left="0.7" right="0.7" top="0.75" bottom="0.75" header="0.3" footer="0.3"/>
  <pageSetup paperSize="9" orientation="portrait" r:id="rId5"/>
  <legacyDrawing r:id="rId6"/>
  <extLst>
    <ext xmlns:x14="http://schemas.microsoft.com/office/spreadsheetml/2009/9/main" uri="{78C0D931-6437-407d-A8EE-F0AAD7539E65}">
      <x14:conditionalFormattings>
        <x14:conditionalFormatting xmlns:xm="http://schemas.microsoft.com/office/excel/2006/main">
          <x14:cfRule type="containsText" priority="54" operator="containsText" text="A" id="{CCAE430D-95BB-4DA0-A100-7F88B85AE1A6}">
            <xm:f>NOT(ISERROR(SEARCH("A",'Tracker Sheet'!L7)))</xm:f>
            <x14:dxf>
              <font>
                <color rgb="FFFFC000"/>
              </font>
              <fill>
                <patternFill>
                  <bgColor rgb="FFFFC000"/>
                </patternFill>
              </fill>
            </x14:dxf>
          </x14:cfRule>
          <x14:cfRule type="containsText" priority="55" operator="containsText" text="G" id="{28A1DE02-3DB2-4F99-8EE9-063713AF05B1}">
            <xm:f>NOT(ISERROR(SEARCH("G",'Tracker Sheet'!L7)))</xm:f>
            <x14:dxf>
              <font>
                <color rgb="FF00B050"/>
              </font>
              <fill>
                <patternFill>
                  <bgColor rgb="FF00B050"/>
                </patternFill>
              </fill>
            </x14:dxf>
          </x14:cfRule>
          <x14:cfRule type="containsText" priority="56" operator="containsText" text="R" id="{2A67F8D1-2F54-4237-83CA-5AA00AE1C2ED}">
            <xm:f>NOT(ISERROR(SEARCH("R",'Tracker Sheet'!L7)))</xm:f>
            <x14:dxf>
              <font>
                <color rgb="FFFF0000"/>
              </font>
              <fill>
                <patternFill>
                  <bgColor rgb="FFFF0000"/>
                </patternFill>
              </fill>
            </x14:dxf>
          </x14:cfRule>
          <xm:sqref>V11:W11 BM11 BP11 T11 AP11:AS11 BB11:BE11 AE11:AH11 L11</xm:sqref>
        </x14:conditionalFormatting>
        <x14:conditionalFormatting xmlns:xm="http://schemas.microsoft.com/office/excel/2006/main">
          <x14:cfRule type="containsText" priority="51" operator="containsText" text="A" id="{16F65AC0-D75A-4E1D-90D4-34ED049B0320}">
            <xm:f>NOT(ISERROR(SEARCH("A",'Tracker Sheet'!U7)))</xm:f>
            <x14:dxf>
              <font>
                <color auto="1"/>
              </font>
              <fill>
                <patternFill>
                  <bgColor rgb="FFFFC000"/>
                </patternFill>
              </fill>
            </x14:dxf>
          </x14:cfRule>
          <x14:cfRule type="containsText" priority="52" operator="containsText" text="G" id="{5C6A79FA-2CA3-499B-A340-C5241096C196}">
            <xm:f>NOT(ISERROR(SEARCH("G",'Tracker Sheet'!U7)))</xm:f>
            <x14:dxf>
              <font>
                <color auto="1"/>
              </font>
              <fill>
                <patternFill>
                  <bgColor rgb="FF00B050"/>
                </patternFill>
              </fill>
            </x14:dxf>
          </x14:cfRule>
          <x14:cfRule type="containsText" priority="53" operator="containsText" text="R" id="{3C736942-FC4C-4A96-A30B-A296B27C9FFE}">
            <xm:f>NOT(ISERROR(SEARCH("R",'Tracker Sheet'!U7)))</xm:f>
            <x14:dxf>
              <font>
                <color auto="1"/>
              </font>
              <fill>
                <patternFill>
                  <bgColor rgb="FFFF0000"/>
                </patternFill>
              </fill>
            </x14:dxf>
          </x14:cfRule>
          <xm:sqref>U11</xm:sqref>
        </x14:conditionalFormatting>
        <x14:conditionalFormatting xmlns:xm="http://schemas.microsoft.com/office/excel/2006/main">
          <x14:cfRule type="containsText" priority="326" operator="containsText" text="A" id="{CCAE430D-95BB-4DA0-A100-7F88B85AE1A6}">
            <xm:f>NOT(ISERROR(SEARCH("A",'Tracker Sheet'!L3)))</xm:f>
            <x14:dxf>
              <font>
                <color rgb="FFFFC000"/>
              </font>
              <fill>
                <patternFill>
                  <bgColor rgb="FFFFC000"/>
                </patternFill>
              </fill>
            </x14:dxf>
          </x14:cfRule>
          <x14:cfRule type="containsText" priority="327" operator="containsText" text="G" id="{28A1DE02-3DB2-4F99-8EE9-063713AF05B1}">
            <xm:f>NOT(ISERROR(SEARCH("G",'Tracker Sheet'!L3)))</xm:f>
            <x14:dxf>
              <font>
                <color rgb="FF00B050"/>
              </font>
              <fill>
                <patternFill>
                  <bgColor rgb="FF00B050"/>
                </patternFill>
              </fill>
            </x14:dxf>
          </x14:cfRule>
          <x14:cfRule type="containsText" priority="328" operator="containsText" text="R" id="{2A67F8D1-2F54-4237-83CA-5AA00AE1C2ED}">
            <xm:f>NOT(ISERROR(SEARCH("R",'Tracker Sheet'!L3)))</xm:f>
            <x14:dxf>
              <font>
                <color rgb="FFFF0000"/>
              </font>
              <fill>
                <patternFill>
                  <bgColor rgb="FFFF0000"/>
                </patternFill>
              </fill>
            </x14:dxf>
          </x14:cfRule>
          <xm:sqref>V3:W3 BM3 BP3 T3 AP3:AS3 BB3:BE3 AE3:AH3 L3 L7 AE7:AH7 BB7:BE7 AP7:AS7 T7 BP7 BM7 V7:W7 L9:L10 AE9:AH10 BB9:BE10 AP9:AS10 T9:T10 BP9:BP10 BM9:BM10 V9:W10</xm:sqref>
        </x14:conditionalFormatting>
        <x14:conditionalFormatting xmlns:xm="http://schemas.microsoft.com/office/excel/2006/main">
          <x14:cfRule type="containsText" priority="371" operator="containsText" text="A" id="{16F65AC0-D75A-4E1D-90D4-34ED049B0320}">
            <xm:f>NOT(ISERROR(SEARCH("A",'Tracker Sheet'!U3)))</xm:f>
            <x14:dxf>
              <font>
                <color auto="1"/>
              </font>
              <fill>
                <patternFill>
                  <bgColor rgb="FFFFC000"/>
                </patternFill>
              </fill>
            </x14:dxf>
          </x14:cfRule>
          <x14:cfRule type="containsText" priority="372" operator="containsText" text="G" id="{5C6A79FA-2CA3-499B-A340-C5241096C196}">
            <xm:f>NOT(ISERROR(SEARCH("G",'Tracker Sheet'!U3)))</xm:f>
            <x14:dxf>
              <font>
                <color auto="1"/>
              </font>
              <fill>
                <patternFill>
                  <bgColor rgb="FF00B050"/>
                </patternFill>
              </fill>
            </x14:dxf>
          </x14:cfRule>
          <x14:cfRule type="containsText" priority="373" operator="containsText" text="R" id="{3C736942-FC4C-4A96-A30B-A296B27C9FFE}">
            <xm:f>NOT(ISERROR(SEARCH("R",'Tracker Sheet'!U3)))</xm:f>
            <x14:dxf>
              <font>
                <color auto="1"/>
              </font>
              <fill>
                <patternFill>
                  <bgColor rgb="FFFF0000"/>
                </patternFill>
              </fill>
            </x14:dxf>
          </x14:cfRule>
          <xm:sqref>U3 U7 U9:U10</xm:sqref>
        </x14:conditionalFormatting>
        <x14:conditionalFormatting xmlns:xm="http://schemas.microsoft.com/office/excel/2006/main">
          <x14:cfRule type="containsText" priority="26" operator="containsText" text="A" id="{7B8859C1-1C46-4AB6-8AAF-68739582D040}">
            <xm:f>NOT(ISERROR(SEARCH("A",'Tracker Sheet'!L7)))</xm:f>
            <x14:dxf>
              <font>
                <color rgb="FFFFC000"/>
              </font>
              <fill>
                <patternFill>
                  <bgColor rgb="FFFFC000"/>
                </patternFill>
              </fill>
            </x14:dxf>
          </x14:cfRule>
          <x14:cfRule type="containsText" priority="27" operator="containsText" text="G" id="{2A261B7F-C46E-4551-A57C-ACD0CEB9703D}">
            <xm:f>NOT(ISERROR(SEARCH("G",'Tracker Sheet'!L7)))</xm:f>
            <x14:dxf>
              <font>
                <color rgb="FF00B050"/>
              </font>
              <fill>
                <patternFill>
                  <bgColor rgb="FF00B050"/>
                </patternFill>
              </fill>
            </x14:dxf>
          </x14:cfRule>
          <x14:cfRule type="containsText" priority="28" operator="containsText" text="R" id="{8B61745A-D898-4510-85EB-D8513C8B4DBF}">
            <xm:f>NOT(ISERROR(SEARCH("R",'Tracker Sheet'!L7)))</xm:f>
            <x14:dxf>
              <font>
                <color rgb="FFFF0000"/>
              </font>
              <fill>
                <patternFill>
                  <bgColor rgb="FFFF0000"/>
                </patternFill>
              </fill>
            </x14:dxf>
          </x14:cfRule>
          <xm:sqref>L8 AE8:AH8 BB8:BE8 AP8:AS8 T8 BP8 BM8 V8:W8</xm:sqref>
        </x14:conditionalFormatting>
        <x14:conditionalFormatting xmlns:xm="http://schemas.microsoft.com/office/excel/2006/main">
          <x14:cfRule type="containsText" priority="23" operator="containsText" text="A" id="{B77B4706-EEE7-4B2D-9A6E-12CE5C585DCB}">
            <xm:f>NOT(ISERROR(SEARCH("A",'Tracker Sheet'!U7)))</xm:f>
            <x14:dxf>
              <font>
                <color auto="1"/>
              </font>
              <fill>
                <patternFill>
                  <bgColor rgb="FFFFC000"/>
                </patternFill>
              </fill>
            </x14:dxf>
          </x14:cfRule>
          <x14:cfRule type="containsText" priority="24" operator="containsText" text="G" id="{0E289796-F65F-45A1-A5E7-E9732022CC8C}">
            <xm:f>NOT(ISERROR(SEARCH("G",'Tracker Sheet'!U7)))</xm:f>
            <x14:dxf>
              <font>
                <color auto="1"/>
              </font>
              <fill>
                <patternFill>
                  <bgColor rgb="FF00B050"/>
                </patternFill>
              </fill>
            </x14:dxf>
          </x14:cfRule>
          <x14:cfRule type="containsText" priority="25" operator="containsText" text="R" id="{0750A022-7FD0-4B7A-B8C4-DA743D21B269}">
            <xm:f>NOT(ISERROR(SEARCH("R",'Tracker Sheet'!U7)))</xm:f>
            <x14:dxf>
              <font>
                <color auto="1"/>
              </font>
              <fill>
                <patternFill>
                  <bgColor rgb="FFFF0000"/>
                </patternFill>
              </fill>
            </x14:dxf>
          </x14:cfRule>
          <xm:sqref>U8</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14:formula1>
            <xm:f>'Head Office Buildings'!$A$1:$A$96</xm:f>
          </x14:formula1>
          <xm:sqref>D3:D47</xm:sqref>
        </x14:dataValidation>
        <x14:dataValidation type="list" allowBlank="1" showInputMessage="1" showErrorMessage="1">
          <x14:formula1>
            <xm:f>Sponsors!$A$1:$A$19</xm:f>
          </x14:formula1>
          <xm:sqref>G3:G47</xm:sqref>
        </x14:dataValidation>
        <x14:dataValidation type="list" allowBlank="1" showInputMessage="1" showErrorMessage="1">
          <x14:formula1>
            <xm:f>'Project Managers &amp; FacOps Reps'!$A$1:$A$20</xm:f>
          </x14:formula1>
          <xm:sqref>F3:F4 E32:F47 F12:F31 F6 E3:E31</xm:sqref>
        </x14:dataValidation>
        <x14:dataValidation type="list" allowBlank="1" showInputMessage="1" showErrorMessage="1">
          <x14:formula1>
            <xm:f>'Project Managers &amp; FacOps Reps'!$C$1:$C$5</xm:f>
          </x14:formula1>
          <xm:sqref>F7 F9:F11</xm:sqref>
        </x14:dataValidation>
        <x14:dataValidation type="list" allowBlank="1" showInputMessage="1" showErrorMessage="1">
          <x14:formula1>
            <xm:f>'Project Managers &amp; FacOps Reps'!$C$1:$C$11</xm:f>
          </x14:formula1>
          <xm:sqref>F8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0070C0"/>
  </sheetPr>
  <dimension ref="A1:J47"/>
  <sheetViews>
    <sheetView workbookViewId="0">
      <selection activeCell="E15" sqref="E15"/>
    </sheetView>
  </sheetViews>
  <sheetFormatPr defaultRowHeight="15" x14ac:dyDescent="0.2"/>
  <cols>
    <col min="1" max="1" width="14.6640625" customWidth="1"/>
    <col min="2" max="2" width="31.88671875" customWidth="1"/>
    <col min="3" max="3" width="23" customWidth="1"/>
    <col min="4" max="4" width="33.21875" customWidth="1"/>
    <col min="5" max="5" width="37.6640625" customWidth="1"/>
    <col min="6" max="6" width="9.109375" customWidth="1"/>
    <col min="7" max="7" width="8.5546875" customWidth="1"/>
    <col min="8" max="8" width="9.44140625" customWidth="1"/>
    <col min="9" max="9" width="13.21875" customWidth="1"/>
    <col min="10" max="10" width="13.33203125" customWidth="1"/>
  </cols>
  <sheetData>
    <row r="1" spans="1:10" ht="17.25" thickBot="1" x14ac:dyDescent="0.25">
      <c r="A1" s="423" t="s">
        <v>376</v>
      </c>
      <c r="B1" s="424"/>
      <c r="C1" s="424"/>
      <c r="D1" s="424"/>
      <c r="E1" s="424"/>
      <c r="F1" s="424"/>
      <c r="G1" s="424"/>
      <c r="H1" s="424"/>
      <c r="I1" s="424"/>
      <c r="J1" s="425"/>
    </row>
    <row r="2" spans="1:10" ht="45.75" thickBot="1" x14ac:dyDescent="0.25">
      <c r="A2" s="200" t="s">
        <v>195</v>
      </c>
      <c r="B2" s="199" t="s">
        <v>194</v>
      </c>
      <c r="C2" s="199" t="s">
        <v>377</v>
      </c>
      <c r="D2" s="199" t="s">
        <v>378</v>
      </c>
      <c r="E2" s="199" t="s">
        <v>261</v>
      </c>
      <c r="F2" s="199" t="s">
        <v>379</v>
      </c>
      <c r="G2" s="201" t="s">
        <v>380</v>
      </c>
      <c r="H2" s="199" t="s">
        <v>381</v>
      </c>
      <c r="I2" s="199" t="s">
        <v>382</v>
      </c>
    </row>
    <row r="3" spans="1:10" ht="26.25" thickBot="1" x14ac:dyDescent="0.25">
      <c r="A3" s="209" t="s">
        <v>121</v>
      </c>
      <c r="B3" s="210" t="s">
        <v>123</v>
      </c>
      <c r="C3" s="204" t="s">
        <v>399</v>
      </c>
      <c r="D3" s="202" t="s">
        <v>400</v>
      </c>
      <c r="E3" s="202" t="s">
        <v>401</v>
      </c>
      <c r="F3" s="202" t="s">
        <v>108</v>
      </c>
      <c r="G3" s="207">
        <v>42011</v>
      </c>
      <c r="H3" s="208">
        <v>42025</v>
      </c>
      <c r="I3" s="202" t="s">
        <v>402</v>
      </c>
    </row>
    <row r="4" spans="1:10" ht="64.5" thickBot="1" x14ac:dyDescent="0.25">
      <c r="A4" s="209" t="s">
        <v>121</v>
      </c>
      <c r="B4" s="210" t="s">
        <v>123</v>
      </c>
      <c r="C4" s="204" t="s">
        <v>435</v>
      </c>
      <c r="D4" s="202" t="s">
        <v>436</v>
      </c>
      <c r="E4" s="202" t="s">
        <v>437</v>
      </c>
      <c r="F4" s="202" t="s">
        <v>108</v>
      </c>
      <c r="G4" s="207">
        <v>42328</v>
      </c>
      <c r="H4" s="208">
        <v>42332</v>
      </c>
      <c r="I4" s="202" t="s">
        <v>388</v>
      </c>
    </row>
    <row r="5" spans="1:10" ht="64.5" thickBot="1" x14ac:dyDescent="0.25">
      <c r="A5" s="209" t="s">
        <v>121</v>
      </c>
      <c r="B5" s="210" t="s">
        <v>123</v>
      </c>
      <c r="C5" s="204" t="s">
        <v>435</v>
      </c>
      <c r="D5" s="202" t="s">
        <v>452</v>
      </c>
      <c r="E5" s="202" t="s">
        <v>453</v>
      </c>
      <c r="F5" s="202" t="s">
        <v>108</v>
      </c>
      <c r="G5" s="207">
        <v>42401</v>
      </c>
      <c r="H5" s="208">
        <v>42404</v>
      </c>
      <c r="I5" s="202" t="s">
        <v>388</v>
      </c>
    </row>
    <row r="6" spans="1:10" ht="51.75" thickBot="1" x14ac:dyDescent="0.25">
      <c r="A6" s="209" t="s">
        <v>121</v>
      </c>
      <c r="B6" s="210" t="s">
        <v>123</v>
      </c>
      <c r="C6" s="204" t="s">
        <v>406</v>
      </c>
      <c r="D6" s="202" t="s">
        <v>470</v>
      </c>
      <c r="E6" s="202" t="s">
        <v>471</v>
      </c>
      <c r="F6" s="202" t="s">
        <v>108</v>
      </c>
      <c r="G6" s="207">
        <v>42542</v>
      </c>
      <c r="H6" s="208">
        <v>42543</v>
      </c>
      <c r="I6" s="202" t="s">
        <v>388</v>
      </c>
    </row>
    <row r="7" spans="1:10" ht="64.5" thickBot="1" x14ac:dyDescent="0.25">
      <c r="A7" s="209" t="s">
        <v>121</v>
      </c>
      <c r="B7" s="210" t="s">
        <v>123</v>
      </c>
      <c r="C7" s="204" t="s">
        <v>410</v>
      </c>
      <c r="D7" s="202" t="s">
        <v>472</v>
      </c>
      <c r="E7" s="202" t="s">
        <v>473</v>
      </c>
      <c r="F7" s="202" t="s">
        <v>108</v>
      </c>
      <c r="G7" s="207">
        <v>42542</v>
      </c>
      <c r="H7" s="208">
        <v>42543</v>
      </c>
      <c r="I7" s="202" t="s">
        <v>388</v>
      </c>
    </row>
    <row r="8" spans="1:10" ht="39" thickBot="1" x14ac:dyDescent="0.25">
      <c r="A8" s="209" t="s">
        <v>121</v>
      </c>
      <c r="B8" s="210" t="s">
        <v>123</v>
      </c>
      <c r="C8" s="204" t="s">
        <v>435</v>
      </c>
      <c r="D8" s="202" t="s">
        <v>474</v>
      </c>
      <c r="E8" s="202" t="s">
        <v>475</v>
      </c>
      <c r="F8" s="202" t="s">
        <v>108</v>
      </c>
      <c r="G8" s="207">
        <v>42542</v>
      </c>
      <c r="H8" s="208">
        <v>42543</v>
      </c>
      <c r="I8" s="202" t="s">
        <v>388</v>
      </c>
    </row>
    <row r="9" spans="1:10" ht="26.25" thickBot="1" x14ac:dyDescent="0.25">
      <c r="A9" s="203" t="s">
        <v>389</v>
      </c>
      <c r="B9" s="210" t="s">
        <v>390</v>
      </c>
      <c r="C9" s="204" t="s">
        <v>391</v>
      </c>
      <c r="D9" s="202" t="s">
        <v>392</v>
      </c>
      <c r="E9" s="202" t="s">
        <v>393</v>
      </c>
      <c r="F9" s="202" t="s">
        <v>108</v>
      </c>
      <c r="G9" s="207">
        <v>41795</v>
      </c>
      <c r="H9" s="208"/>
      <c r="I9" s="202"/>
    </row>
    <row r="10" spans="1:10" ht="26.25" thickBot="1" x14ac:dyDescent="0.25">
      <c r="A10" s="203" t="s">
        <v>389</v>
      </c>
      <c r="B10" s="210" t="s">
        <v>390</v>
      </c>
      <c r="C10" s="204" t="s">
        <v>397</v>
      </c>
      <c r="D10" s="202" t="s">
        <v>398</v>
      </c>
      <c r="E10" s="202"/>
      <c r="F10" s="202" t="s">
        <v>108</v>
      </c>
      <c r="G10" s="207">
        <v>41977</v>
      </c>
      <c r="H10" s="208"/>
      <c r="I10" s="202"/>
    </row>
    <row r="11" spans="1:10" ht="39" thickBot="1" x14ac:dyDescent="0.25">
      <c r="A11" s="203" t="s">
        <v>383</v>
      </c>
      <c r="B11" s="210" t="s">
        <v>384</v>
      </c>
      <c r="C11" s="203" t="s">
        <v>385</v>
      </c>
      <c r="D11" s="202" t="s">
        <v>386</v>
      </c>
      <c r="E11" s="202" t="s">
        <v>387</v>
      </c>
      <c r="F11" s="202" t="s">
        <v>101</v>
      </c>
      <c r="G11" s="205">
        <v>41711</v>
      </c>
      <c r="H11" s="206">
        <v>41743</v>
      </c>
      <c r="I11" s="202" t="s">
        <v>388</v>
      </c>
    </row>
    <row r="12" spans="1:10" ht="26.25" thickBot="1" x14ac:dyDescent="0.25">
      <c r="A12" s="209" t="s">
        <v>383</v>
      </c>
      <c r="B12" s="210" t="s">
        <v>384</v>
      </c>
      <c r="C12" s="204" t="s">
        <v>394</v>
      </c>
      <c r="D12" s="202" t="s">
        <v>395</v>
      </c>
      <c r="E12" s="202" t="s">
        <v>396</v>
      </c>
      <c r="F12" s="202" t="s">
        <v>101</v>
      </c>
      <c r="G12" s="207">
        <v>41969</v>
      </c>
      <c r="H12" s="208"/>
      <c r="I12" s="202"/>
    </row>
    <row r="13" spans="1:10" ht="39" thickBot="1" x14ac:dyDescent="0.25">
      <c r="A13" s="209" t="s">
        <v>383</v>
      </c>
      <c r="B13" s="210" t="s">
        <v>384</v>
      </c>
      <c r="C13" s="204" t="s">
        <v>417</v>
      </c>
      <c r="D13" s="202" t="s">
        <v>418</v>
      </c>
      <c r="E13" s="203" t="s">
        <v>419</v>
      </c>
      <c r="F13" s="202" t="s">
        <v>101</v>
      </c>
      <c r="G13" s="207">
        <v>42229</v>
      </c>
      <c r="H13" s="208">
        <v>42229</v>
      </c>
      <c r="I13" s="202" t="s">
        <v>388</v>
      </c>
    </row>
    <row r="14" spans="1:10" ht="39" thickBot="1" x14ac:dyDescent="0.25">
      <c r="A14" s="209" t="s">
        <v>383</v>
      </c>
      <c r="B14" s="210" t="s">
        <v>384</v>
      </c>
      <c r="C14" s="204" t="s">
        <v>443</v>
      </c>
      <c r="D14" s="202" t="s">
        <v>444</v>
      </c>
      <c r="E14" s="202" t="s">
        <v>445</v>
      </c>
      <c r="F14" s="202" t="s">
        <v>101</v>
      </c>
      <c r="G14" s="207">
        <v>42319</v>
      </c>
      <c r="H14" s="208">
        <v>42345</v>
      </c>
      <c r="I14" s="202" t="s">
        <v>388</v>
      </c>
    </row>
    <row r="15" spans="1:10" ht="51.75" thickBot="1" x14ac:dyDescent="0.25">
      <c r="A15" s="209" t="s">
        <v>431</v>
      </c>
      <c r="B15" s="210" t="s">
        <v>432</v>
      </c>
      <c r="C15" s="204" t="s">
        <v>410</v>
      </c>
      <c r="D15" s="202" t="s">
        <v>433</v>
      </c>
      <c r="E15" s="202" t="s">
        <v>434</v>
      </c>
      <c r="F15" s="202" t="s">
        <v>108</v>
      </c>
      <c r="G15" s="207">
        <v>42319</v>
      </c>
      <c r="H15" s="208">
        <v>42325</v>
      </c>
      <c r="I15" s="202" t="s">
        <v>388</v>
      </c>
    </row>
    <row r="16" spans="1:10" ht="26.25" thickBot="1" x14ac:dyDescent="0.25">
      <c r="A16" s="209" t="s">
        <v>212</v>
      </c>
      <c r="B16" s="210" t="s">
        <v>447</v>
      </c>
      <c r="C16" s="204" t="s">
        <v>406</v>
      </c>
      <c r="D16" s="202" t="s">
        <v>448</v>
      </c>
      <c r="E16" s="202" t="s">
        <v>449</v>
      </c>
      <c r="F16" s="202" t="s">
        <v>101</v>
      </c>
      <c r="G16" s="207">
        <v>42383</v>
      </c>
      <c r="H16" s="208">
        <v>42389</v>
      </c>
      <c r="I16" s="202" t="s">
        <v>388</v>
      </c>
    </row>
    <row r="17" spans="1:9" ht="39" thickBot="1" x14ac:dyDescent="0.25">
      <c r="A17" s="209" t="s">
        <v>212</v>
      </c>
      <c r="B17" s="210" t="s">
        <v>447</v>
      </c>
      <c r="C17" s="204" t="s">
        <v>435</v>
      </c>
      <c r="D17" s="202" t="s">
        <v>461</v>
      </c>
      <c r="E17" s="202" t="s">
        <v>462</v>
      </c>
      <c r="F17" s="202" t="s">
        <v>101</v>
      </c>
      <c r="G17" s="207">
        <v>42445</v>
      </c>
      <c r="H17" s="208">
        <v>42452</v>
      </c>
      <c r="I17" s="202" t="s">
        <v>388</v>
      </c>
    </row>
    <row r="18" spans="1:9" ht="39" thickBot="1" x14ac:dyDescent="0.25">
      <c r="A18" s="209" t="s">
        <v>124</v>
      </c>
      <c r="B18" s="210" t="s">
        <v>217</v>
      </c>
      <c r="C18" s="204" t="s">
        <v>435</v>
      </c>
      <c r="D18" s="202" t="s">
        <v>463</v>
      </c>
      <c r="E18" s="202" t="s">
        <v>464</v>
      </c>
      <c r="F18" s="202" t="s">
        <v>264</v>
      </c>
      <c r="G18" s="207">
        <v>42478</v>
      </c>
      <c r="H18" s="208">
        <v>42487</v>
      </c>
      <c r="I18" s="202" t="s">
        <v>388</v>
      </c>
    </row>
    <row r="19" spans="1:9" ht="39" thickBot="1" x14ac:dyDescent="0.25">
      <c r="A19" s="209" t="s">
        <v>128</v>
      </c>
      <c r="B19" s="210" t="s">
        <v>130</v>
      </c>
      <c r="C19" s="204" t="s">
        <v>403</v>
      </c>
      <c r="D19" s="202" t="s">
        <v>404</v>
      </c>
      <c r="E19" s="202" t="s">
        <v>405</v>
      </c>
      <c r="F19" s="202" t="s">
        <v>108</v>
      </c>
      <c r="G19" s="207">
        <v>42158</v>
      </c>
      <c r="H19" s="208">
        <v>42179</v>
      </c>
      <c r="I19" s="202" t="s">
        <v>388</v>
      </c>
    </row>
    <row r="20" spans="1:9" ht="26.25" thickBot="1" x14ac:dyDescent="0.25">
      <c r="A20" s="209" t="s">
        <v>128</v>
      </c>
      <c r="B20" s="210" t="s">
        <v>130</v>
      </c>
      <c r="C20" s="204" t="s">
        <v>406</v>
      </c>
      <c r="D20" s="202" t="s">
        <v>407</v>
      </c>
      <c r="E20" s="202" t="s">
        <v>408</v>
      </c>
      <c r="F20" s="202" t="s">
        <v>108</v>
      </c>
      <c r="G20" s="207">
        <v>42158</v>
      </c>
      <c r="H20" s="208">
        <v>42179</v>
      </c>
      <c r="I20" s="202" t="s">
        <v>388</v>
      </c>
    </row>
    <row r="21" spans="1:9" ht="64.5" thickBot="1" x14ac:dyDescent="0.25">
      <c r="A21" s="209" t="s">
        <v>128</v>
      </c>
      <c r="B21" s="210" t="s">
        <v>130</v>
      </c>
      <c r="C21" s="204" t="s">
        <v>424</v>
      </c>
      <c r="D21" s="202" t="s">
        <v>425</v>
      </c>
      <c r="E21" s="202" t="s">
        <v>426</v>
      </c>
      <c r="F21" s="202" t="s">
        <v>108</v>
      </c>
      <c r="G21" s="207">
        <v>42293</v>
      </c>
      <c r="H21" s="208">
        <v>42293</v>
      </c>
      <c r="I21" s="202" t="s">
        <v>388</v>
      </c>
    </row>
    <row r="22" spans="1:9" ht="39" thickBot="1" x14ac:dyDescent="0.25">
      <c r="A22" s="209" t="s">
        <v>128</v>
      </c>
      <c r="B22" s="210" t="s">
        <v>130</v>
      </c>
      <c r="C22" s="204" t="s">
        <v>406</v>
      </c>
      <c r="D22" s="202" t="s">
        <v>459</v>
      </c>
      <c r="E22" s="202" t="s">
        <v>460</v>
      </c>
      <c r="F22" s="202" t="s">
        <v>108</v>
      </c>
      <c r="G22" s="207">
        <v>42426</v>
      </c>
      <c r="H22" s="208">
        <v>42445</v>
      </c>
      <c r="I22" s="202" t="s">
        <v>388</v>
      </c>
    </row>
    <row r="23" spans="1:9" ht="39" thickBot="1" x14ac:dyDescent="0.25">
      <c r="A23" s="209" t="s">
        <v>128</v>
      </c>
      <c r="B23" s="210" t="s">
        <v>130</v>
      </c>
      <c r="C23" s="204" t="s">
        <v>435</v>
      </c>
      <c r="D23" s="202" t="s">
        <v>493</v>
      </c>
      <c r="E23" s="202" t="s">
        <v>494</v>
      </c>
      <c r="F23" s="202" t="s">
        <v>108</v>
      </c>
      <c r="G23" s="207">
        <v>42601</v>
      </c>
      <c r="H23" s="208">
        <v>42613</v>
      </c>
      <c r="I23" s="202" t="s">
        <v>388</v>
      </c>
    </row>
    <row r="24" spans="1:9" ht="64.5" thickBot="1" x14ac:dyDescent="0.25">
      <c r="A24" s="209" t="s">
        <v>138</v>
      </c>
      <c r="B24" s="210" t="s">
        <v>281</v>
      </c>
      <c r="C24" s="204" t="s">
        <v>410</v>
      </c>
      <c r="D24" s="202" t="s">
        <v>429</v>
      </c>
      <c r="E24" s="202" t="s">
        <v>430</v>
      </c>
      <c r="F24" s="202" t="s">
        <v>264</v>
      </c>
      <c r="G24" s="207">
        <v>42307</v>
      </c>
      <c r="H24" s="208">
        <v>42307</v>
      </c>
      <c r="I24" s="202" t="s">
        <v>388</v>
      </c>
    </row>
    <row r="25" spans="1:9" ht="39" thickBot="1" x14ac:dyDescent="0.25">
      <c r="A25" s="209" t="s">
        <v>141</v>
      </c>
      <c r="B25" s="210" t="s">
        <v>467</v>
      </c>
      <c r="C25" s="204" t="s">
        <v>435</v>
      </c>
      <c r="D25" s="202" t="s">
        <v>468</v>
      </c>
      <c r="E25" s="202" t="s">
        <v>469</v>
      </c>
      <c r="F25" s="202" t="s">
        <v>264</v>
      </c>
      <c r="G25" s="207">
        <v>42537</v>
      </c>
      <c r="H25" s="208">
        <v>42543</v>
      </c>
      <c r="I25" s="202" t="s">
        <v>388</v>
      </c>
    </row>
    <row r="26" spans="1:9" ht="26.25" thickBot="1" x14ac:dyDescent="0.25">
      <c r="A26" s="209" t="s">
        <v>141</v>
      </c>
      <c r="B26" s="210" t="s">
        <v>467</v>
      </c>
      <c r="C26" s="204" t="s">
        <v>406</v>
      </c>
      <c r="D26" s="202" t="s">
        <v>495</v>
      </c>
      <c r="E26" s="202" t="s">
        <v>496</v>
      </c>
      <c r="F26" s="202" t="s">
        <v>264</v>
      </c>
      <c r="G26" s="207">
        <v>42594</v>
      </c>
      <c r="H26" s="208">
        <v>42599</v>
      </c>
      <c r="I26" s="202" t="s">
        <v>388</v>
      </c>
    </row>
    <row r="27" spans="1:9" ht="26.25" thickBot="1" x14ac:dyDescent="0.25">
      <c r="A27" s="209" t="s">
        <v>141</v>
      </c>
      <c r="B27" s="210" t="s">
        <v>467</v>
      </c>
      <c r="C27" s="204" t="s">
        <v>406</v>
      </c>
      <c r="D27" s="202" t="s">
        <v>492</v>
      </c>
      <c r="E27" s="202"/>
      <c r="F27" s="202" t="s">
        <v>264</v>
      </c>
      <c r="G27" s="207">
        <v>42604</v>
      </c>
      <c r="H27" s="208">
        <v>42613</v>
      </c>
      <c r="I27" s="202" t="s">
        <v>388</v>
      </c>
    </row>
    <row r="28" spans="1:9" ht="26.25" thickBot="1" x14ac:dyDescent="0.25">
      <c r="A28" s="209" t="s">
        <v>141</v>
      </c>
      <c r="B28" s="210" t="s">
        <v>467</v>
      </c>
      <c r="C28" s="204" t="s">
        <v>406</v>
      </c>
      <c r="D28" s="202" t="s">
        <v>487</v>
      </c>
      <c r="E28" s="202" t="s">
        <v>488</v>
      </c>
      <c r="F28" s="202" t="s">
        <v>264</v>
      </c>
      <c r="G28" s="207">
        <v>42636</v>
      </c>
      <c r="H28" s="208">
        <v>42641</v>
      </c>
      <c r="I28" s="202" t="s">
        <v>388</v>
      </c>
    </row>
    <row r="29" spans="1:9" ht="39" thickBot="1" x14ac:dyDescent="0.25">
      <c r="A29" s="209" t="s">
        <v>141</v>
      </c>
      <c r="B29" s="210" t="s">
        <v>467</v>
      </c>
      <c r="C29" s="204" t="s">
        <v>406</v>
      </c>
      <c r="D29" s="202" t="s">
        <v>476</v>
      </c>
      <c r="E29" s="202" t="s">
        <v>477</v>
      </c>
      <c r="F29" s="202" t="s">
        <v>264</v>
      </c>
      <c r="G29" s="207">
        <v>42664</v>
      </c>
      <c r="H29" s="208">
        <v>42669</v>
      </c>
      <c r="I29" s="202" t="s">
        <v>388</v>
      </c>
    </row>
    <row r="30" spans="1:9" ht="26.25" thickBot="1" x14ac:dyDescent="0.25">
      <c r="A30" s="209" t="s">
        <v>438</v>
      </c>
      <c r="B30" s="210" t="s">
        <v>439</v>
      </c>
      <c r="C30" s="204" t="s">
        <v>440</v>
      </c>
      <c r="D30" s="202" t="s">
        <v>441</v>
      </c>
      <c r="E30" s="202" t="s">
        <v>442</v>
      </c>
      <c r="F30" s="202" t="s">
        <v>110</v>
      </c>
      <c r="G30" s="207">
        <v>42328</v>
      </c>
      <c r="H30" s="208">
        <v>42345</v>
      </c>
      <c r="I30" s="202" t="s">
        <v>388</v>
      </c>
    </row>
    <row r="31" spans="1:9" ht="64.5" thickBot="1" x14ac:dyDescent="0.25">
      <c r="A31" s="209" t="s">
        <v>438</v>
      </c>
      <c r="B31" s="210" t="s">
        <v>439</v>
      </c>
      <c r="C31" s="204" t="s">
        <v>410</v>
      </c>
      <c r="D31" s="202" t="s">
        <v>450</v>
      </c>
      <c r="E31" s="202" t="s">
        <v>451</v>
      </c>
      <c r="F31" s="202" t="s">
        <v>110</v>
      </c>
      <c r="G31" s="207">
        <v>42390</v>
      </c>
      <c r="H31" s="208">
        <v>42390</v>
      </c>
      <c r="I31" s="202" t="s">
        <v>388</v>
      </c>
    </row>
    <row r="32" spans="1:9" ht="64.5" thickBot="1" x14ac:dyDescent="0.25">
      <c r="A32" s="209" t="s">
        <v>226</v>
      </c>
      <c r="B32" s="210" t="s">
        <v>420</v>
      </c>
      <c r="C32" s="204" t="s">
        <v>421</v>
      </c>
      <c r="D32" s="202" t="s">
        <v>422</v>
      </c>
      <c r="E32" s="203" t="s">
        <v>423</v>
      </c>
      <c r="F32" s="202" t="s">
        <v>101</v>
      </c>
      <c r="G32" s="207">
        <v>42242</v>
      </c>
      <c r="H32" s="208">
        <v>42254</v>
      </c>
      <c r="I32" s="202" t="s">
        <v>388</v>
      </c>
    </row>
    <row r="33" spans="1:9" ht="39" thickBot="1" x14ac:dyDescent="0.25">
      <c r="A33" s="209" t="s">
        <v>150</v>
      </c>
      <c r="B33" s="210" t="s">
        <v>283</v>
      </c>
      <c r="C33" s="204" t="s">
        <v>489</v>
      </c>
      <c r="D33" s="202" t="s">
        <v>490</v>
      </c>
      <c r="E33" s="202" t="s">
        <v>491</v>
      </c>
      <c r="F33" s="202" t="s">
        <v>101</v>
      </c>
      <c r="G33" s="207">
        <v>42620</v>
      </c>
      <c r="H33" s="208">
        <v>42627</v>
      </c>
      <c r="I33" s="202" t="s">
        <v>388</v>
      </c>
    </row>
    <row r="34" spans="1:9" ht="15.75" thickBot="1" x14ac:dyDescent="0.25">
      <c r="A34" s="209" t="s">
        <v>150</v>
      </c>
      <c r="B34" s="210" t="s">
        <v>283</v>
      </c>
      <c r="C34" s="204" t="s">
        <v>435</v>
      </c>
      <c r="D34" s="202" t="s">
        <v>478</v>
      </c>
      <c r="E34" s="202" t="s">
        <v>479</v>
      </c>
      <c r="F34" s="202" t="s">
        <v>101</v>
      </c>
      <c r="G34" s="207">
        <v>42662</v>
      </c>
      <c r="H34" s="208">
        <v>42669</v>
      </c>
      <c r="I34" s="202" t="s">
        <v>388</v>
      </c>
    </row>
    <row r="35" spans="1:9" ht="39" thickBot="1" x14ac:dyDescent="0.25">
      <c r="A35" s="209" t="s">
        <v>255</v>
      </c>
      <c r="B35" s="210" t="s">
        <v>293</v>
      </c>
      <c r="C35" s="204" t="s">
        <v>406</v>
      </c>
      <c r="D35" s="202" t="s">
        <v>457</v>
      </c>
      <c r="E35" s="202" t="s">
        <v>458</v>
      </c>
      <c r="F35" s="202" t="s">
        <v>107</v>
      </c>
      <c r="G35" s="207">
        <v>42438</v>
      </c>
      <c r="H35" s="208">
        <v>42445</v>
      </c>
      <c r="I35" s="202" t="s">
        <v>388</v>
      </c>
    </row>
    <row r="36" spans="1:9" ht="64.5" thickBot="1" x14ac:dyDescent="0.25">
      <c r="A36" s="209" t="s">
        <v>156</v>
      </c>
      <c r="B36" s="210" t="s">
        <v>157</v>
      </c>
      <c r="C36" s="204" t="s">
        <v>406</v>
      </c>
      <c r="D36" s="202" t="s">
        <v>502</v>
      </c>
      <c r="E36" s="202" t="s">
        <v>501</v>
      </c>
      <c r="F36" s="202" t="s">
        <v>106</v>
      </c>
      <c r="G36" s="207">
        <v>42678</v>
      </c>
      <c r="H36" s="208">
        <v>42683</v>
      </c>
      <c r="I36" s="202" t="s">
        <v>388</v>
      </c>
    </row>
    <row r="37" spans="1:9" ht="51.75" thickBot="1" x14ac:dyDescent="0.25">
      <c r="A37" s="209" t="s">
        <v>507</v>
      </c>
      <c r="B37" s="210" t="s">
        <v>180</v>
      </c>
      <c r="C37" s="204" t="s">
        <v>406</v>
      </c>
      <c r="D37" s="202" t="s">
        <v>506</v>
      </c>
      <c r="E37" s="202" t="s">
        <v>508</v>
      </c>
      <c r="F37" s="202" t="s">
        <v>104</v>
      </c>
      <c r="G37" s="207">
        <v>42678</v>
      </c>
      <c r="H37" s="208">
        <v>42683</v>
      </c>
      <c r="I37" s="202" t="s">
        <v>388</v>
      </c>
    </row>
    <row r="38" spans="1:9" ht="51.75" thickBot="1" x14ac:dyDescent="0.25">
      <c r="A38" s="209" t="s">
        <v>413</v>
      </c>
      <c r="B38" s="210" t="s">
        <v>414</v>
      </c>
      <c r="C38" s="204" t="s">
        <v>410</v>
      </c>
      <c r="D38" s="202" t="s">
        <v>415</v>
      </c>
      <c r="E38" s="202" t="s">
        <v>416</v>
      </c>
      <c r="F38" s="202" t="s">
        <v>101</v>
      </c>
      <c r="G38" s="207">
        <v>42216</v>
      </c>
      <c r="H38" s="208">
        <v>42226</v>
      </c>
      <c r="I38" s="202" t="s">
        <v>388</v>
      </c>
    </row>
    <row r="39" spans="1:9" ht="26.25" thickBot="1" x14ac:dyDescent="0.25">
      <c r="A39" s="209" t="s">
        <v>503</v>
      </c>
      <c r="B39" s="210" t="s">
        <v>172</v>
      </c>
      <c r="C39" s="204" t="s">
        <v>406</v>
      </c>
      <c r="D39" s="202" t="s">
        <v>505</v>
      </c>
      <c r="E39" s="202" t="s">
        <v>504</v>
      </c>
      <c r="F39" s="202" t="s">
        <v>106</v>
      </c>
      <c r="G39" s="207">
        <v>42678</v>
      </c>
      <c r="H39" s="208">
        <v>42683</v>
      </c>
      <c r="I39" s="202" t="s">
        <v>388</v>
      </c>
    </row>
    <row r="40" spans="1:9" ht="26.25" thickBot="1" x14ac:dyDescent="0.25">
      <c r="A40" s="209" t="s">
        <v>483</v>
      </c>
      <c r="B40" s="210" t="s">
        <v>484</v>
      </c>
      <c r="C40" s="204" t="s">
        <v>406</v>
      </c>
      <c r="D40" s="202" t="s">
        <v>485</v>
      </c>
      <c r="E40" s="202" t="s">
        <v>486</v>
      </c>
      <c r="F40" s="202" t="s">
        <v>109</v>
      </c>
      <c r="G40" s="207">
        <v>42664</v>
      </c>
      <c r="H40" s="208">
        <v>42669</v>
      </c>
      <c r="I40" s="202" t="s">
        <v>388</v>
      </c>
    </row>
    <row r="41" spans="1:9" s="213" customFormat="1" ht="64.5" thickBot="1" x14ac:dyDescent="0.25">
      <c r="A41" s="216" t="s">
        <v>331</v>
      </c>
      <c r="B41" s="210" t="s">
        <v>509</v>
      </c>
      <c r="C41" s="217" t="s">
        <v>410</v>
      </c>
      <c r="D41" s="202" t="s">
        <v>510</v>
      </c>
      <c r="E41" s="202" t="s">
        <v>511</v>
      </c>
      <c r="F41" s="202" t="s">
        <v>109</v>
      </c>
      <c r="G41" s="207">
        <v>42692</v>
      </c>
      <c r="H41" s="208">
        <v>42697</v>
      </c>
      <c r="I41" s="218" t="s">
        <v>388</v>
      </c>
    </row>
    <row r="42" spans="1:9" ht="26.25" thickBot="1" x14ac:dyDescent="0.25">
      <c r="A42" s="209" t="s">
        <v>480</v>
      </c>
      <c r="B42" s="210" t="s">
        <v>481</v>
      </c>
      <c r="C42" s="204" t="s">
        <v>489</v>
      </c>
      <c r="D42" s="202" t="s">
        <v>482</v>
      </c>
      <c r="E42" s="202"/>
      <c r="F42" s="202" t="s">
        <v>109</v>
      </c>
      <c r="G42" s="207">
        <v>42664</v>
      </c>
      <c r="H42" s="208">
        <v>42669</v>
      </c>
      <c r="I42" s="202" t="s">
        <v>388</v>
      </c>
    </row>
    <row r="43" spans="1:9" ht="51.75" thickBot="1" x14ac:dyDescent="0.25">
      <c r="A43" s="209" t="s">
        <v>322</v>
      </c>
      <c r="B43" s="210" t="s">
        <v>409</v>
      </c>
      <c r="C43" s="204" t="s">
        <v>410</v>
      </c>
      <c r="D43" s="202" t="s">
        <v>411</v>
      </c>
      <c r="E43" s="202" t="s">
        <v>412</v>
      </c>
      <c r="F43" s="202" t="s">
        <v>105</v>
      </c>
      <c r="G43" s="207">
        <v>42220</v>
      </c>
      <c r="H43" s="208">
        <v>42222</v>
      </c>
      <c r="I43" s="202" t="s">
        <v>388</v>
      </c>
    </row>
    <row r="44" spans="1:9" ht="64.5" thickBot="1" x14ac:dyDescent="0.25">
      <c r="A44" s="209" t="s">
        <v>322</v>
      </c>
      <c r="B44" s="210" t="s">
        <v>409</v>
      </c>
      <c r="C44" s="204" t="s">
        <v>410</v>
      </c>
      <c r="D44" s="202" t="s">
        <v>427</v>
      </c>
      <c r="E44" s="202" t="s">
        <v>428</v>
      </c>
      <c r="F44" s="202" t="s">
        <v>105</v>
      </c>
      <c r="G44" s="207">
        <v>42299</v>
      </c>
      <c r="H44" s="208">
        <v>42305</v>
      </c>
      <c r="I44" s="202" t="s">
        <v>388</v>
      </c>
    </row>
    <row r="45" spans="1:9" ht="39" thickBot="1" x14ac:dyDescent="0.25">
      <c r="A45" s="209" t="s">
        <v>322</v>
      </c>
      <c r="B45" s="210" t="s">
        <v>409</v>
      </c>
      <c r="C45" s="204" t="s">
        <v>406</v>
      </c>
      <c r="D45" s="202" t="s">
        <v>446</v>
      </c>
      <c r="E45" s="202" t="s">
        <v>428</v>
      </c>
      <c r="F45" s="202" t="s">
        <v>105</v>
      </c>
      <c r="G45" s="207">
        <v>42373</v>
      </c>
      <c r="H45" s="208">
        <v>42375</v>
      </c>
      <c r="I45" s="202" t="s">
        <v>388</v>
      </c>
    </row>
    <row r="46" spans="1:9" ht="39" thickBot="1" x14ac:dyDescent="0.25">
      <c r="A46" s="209" t="s">
        <v>322</v>
      </c>
      <c r="B46" s="210" t="s">
        <v>454</v>
      </c>
      <c r="C46" s="204" t="s">
        <v>406</v>
      </c>
      <c r="D46" s="202" t="s">
        <v>455</v>
      </c>
      <c r="E46" s="202" t="s">
        <v>456</v>
      </c>
      <c r="F46" s="202" t="s">
        <v>105</v>
      </c>
      <c r="G46" s="207">
        <v>42440</v>
      </c>
      <c r="H46" s="208">
        <v>42445</v>
      </c>
      <c r="I46" s="202" t="s">
        <v>388</v>
      </c>
    </row>
    <row r="47" spans="1:9" ht="39" thickBot="1" x14ac:dyDescent="0.25">
      <c r="A47" s="209" t="s">
        <v>322</v>
      </c>
      <c r="B47" s="210" t="s">
        <v>454</v>
      </c>
      <c r="C47" s="204" t="s">
        <v>406</v>
      </c>
      <c r="D47" s="202" t="s">
        <v>465</v>
      </c>
      <c r="E47" s="202" t="s">
        <v>466</v>
      </c>
      <c r="F47" s="202" t="s">
        <v>105</v>
      </c>
      <c r="G47" s="207">
        <v>42481</v>
      </c>
      <c r="H47" s="208">
        <v>42683</v>
      </c>
      <c r="I47" s="202" t="s">
        <v>388</v>
      </c>
    </row>
  </sheetData>
  <mergeCells count="1">
    <mergeCell ref="A1:J1"/>
  </mergeCells>
  <hyperlinks>
    <hyperlink ref="A3" r:id="rId1" display="../../../livelink/llisapi.dll?func=ll&amp;objaction=overview&amp;objid=339321226"/>
    <hyperlink ref="A19" r:id="rId2" display="../../../livelink/llisapi.dll/properties/343270103"/>
    <hyperlink ref="A43" r:id="rId3" display="../../../livelink/llisapi.dll?func=ll&amp;objaction=overview&amp;objid=344814193"/>
    <hyperlink ref="A38" r:id="rId4" display="../../../livelink/llisapi.dll?func=ll&amp;objaction=overview&amp;objid=344651261"/>
    <hyperlink ref="A32" r:id="rId5" display="../../../livelink/llisapi.dll?func=ll&amp;objaction=overview&amp;objid=345547942"/>
    <hyperlink ref="A44" r:id="rId6" display="../../../livelink/llisapi.dll?func=ll&amp;objaction=overview&amp;objid=346810357"/>
    <hyperlink ref="A24" r:id="rId7" display="../../../livelink/llisapi.dll?func=ll&amp;objaction=overview&amp;objid=346919573"/>
    <hyperlink ref="A15" r:id="rId8" display="../../../livelink/llisapi.dll?func=ll&amp;objaction=overview&amp;objid=347184540"/>
    <hyperlink ref="A30" r:id="rId9" display="../../../livelink/llisapi.dll?func=ll&amp;objaction=overview&amp;objid=347740992"/>
    <hyperlink ref="A45" r:id="rId10" display="../../../livelink/llisapi.dll?func=ll&amp;objaction=overview&amp;objid=349091271"/>
    <hyperlink ref="A16" r:id="rId11" display="\\ONELONDON.TFL.LOCAL\SHARED\FACILITIES_DATA\Share\PROJECTS\Fire Compartmentation\Post Contract\Finance\Change Control\Budget increase and sign off"/>
    <hyperlink ref="A18" r:id="rId12" display="../../../livelink/llisapi.dll?func=ll&amp;objaction=overview&amp;objid=353310777"/>
    <hyperlink ref="A25" r:id="rId13" display="../../../livelink/llisapi.dll?func=ll&amp;objaction=overview&amp;objid=357674878"/>
    <hyperlink ref="A31" r:id="rId14" display="../../../livelink/llisapi.dll/fetch/2000/316342085/330811523/333105533/342972123/344257912/344277468/344262870/CCR_Air_Test.pdf?nodeid=349085048&amp;vernum=-2"/>
    <hyperlink ref="A22" r:id="rId15" display="../../../livelink/llisapi.dll?func=ll&amp;objaction=overview&amp;objid=349819089"/>
    <hyperlink ref="A21" r:id="rId16" display="../../../livelink/llisapi.dll?func=ll&amp;objaction=overview&amp;objid=345948721"/>
    <hyperlink ref="A20" r:id="rId17" display="../../../livelink/llisapi.dll/properties/343298893"/>
    <hyperlink ref="A17" r:id="rId18" display="\\ONELONDON.TFL.LOCAL\SHARED\FACILITIES_DATA\Share\PROJECTS\Fire Compartmentation\Post Contract\Finance\Change Control"/>
    <hyperlink ref="A14" r:id="rId19" display="../../../livelink/llisapi.dll?func=ll&amp;objaction=overview&amp;objid=347642695"/>
    <hyperlink ref="A13" r:id="rId20" display="\\ONELONDON.TFL.LOCAL\SHARED\FACILITIES_DATA\Share\PROJECTS\12-13 Property Care Programme\OCH_BMS_connection\2.0 Project Governance\2.09 Change Control\Signed CRF2.pdf"/>
    <hyperlink ref="A12" r:id="rId21" display="\\ONELONDON.TFL.LOCAL\SHARED\FACILITIES_DATA\Share\PROJECTS\12-13 Property Care Programme\OCH_BMS_connection\2.0 Project Governance\2.09 Change Control\PCP-13-010 OCH-BMS Connectivity.pdf"/>
    <hyperlink ref="A7" r:id="rId22" display="../../../livelink/llisapi.dll?func=ll&amp;objaction=overview&amp;objid=357551211"/>
    <hyperlink ref="A6" r:id="rId23" display="../../../livelink/llisapi.dll?func=ll&amp;objaction=overview&amp;objid=357551210"/>
    <hyperlink ref="A5" r:id="rId24" display="../../../livelink/llisapi.dll/fetch/2000/316342085/330811523/333105533/335757796/335745045/335745047/Albany_House_Signed_VO_3.pdf?nodeid=349480263&amp;vernum=-2"/>
    <hyperlink ref="A4" r:id="rId25" display="../../../livelink/llisapi.dll?func=ll&amp;objaction=overview&amp;objid=347392329"/>
  </hyperlinks>
  <pageMargins left="0.7" right="0.7" top="0.75" bottom="0.75" header="0.3" footer="0.3"/>
  <legacyDrawing r:id="rId26"/>
  <tableParts count="1">
    <tablePart r:id="rId2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44"/>
  <sheetViews>
    <sheetView workbookViewId="0">
      <selection activeCell="J45" sqref="J45"/>
    </sheetView>
  </sheetViews>
  <sheetFormatPr defaultRowHeight="15" x14ac:dyDescent="0.2"/>
  <cols>
    <col min="1" max="1" width="15.5546875" bestFit="1" customWidth="1"/>
    <col min="2" max="2" width="18.6640625" customWidth="1"/>
    <col min="3" max="3" width="29.109375" bestFit="1" customWidth="1"/>
    <col min="4" max="4" width="13.21875" bestFit="1" customWidth="1"/>
    <col min="5" max="5" width="17.109375" bestFit="1" customWidth="1"/>
    <col min="8" max="8" width="10.77734375" bestFit="1" customWidth="1"/>
  </cols>
  <sheetData>
    <row r="1" spans="1:10" ht="16.5" thickBot="1" x14ac:dyDescent="0.3">
      <c r="A1" s="70"/>
      <c r="B1" s="71"/>
      <c r="C1" s="71" t="s">
        <v>194</v>
      </c>
      <c r="D1" s="71"/>
      <c r="E1" s="71"/>
      <c r="F1" s="72"/>
      <c r="G1" s="73"/>
      <c r="H1" s="426" t="s">
        <v>585</v>
      </c>
      <c r="I1" s="427"/>
      <c r="J1" s="427"/>
    </row>
    <row r="2" spans="1:10" ht="15.75" thickBot="1" x14ac:dyDescent="0.25">
      <c r="A2" s="74" t="s">
        <v>195</v>
      </c>
      <c r="B2" s="75" t="s">
        <v>9</v>
      </c>
      <c r="C2" s="75" t="s">
        <v>10</v>
      </c>
      <c r="D2" s="75" t="s">
        <v>196</v>
      </c>
      <c r="E2" s="75" t="s">
        <v>18</v>
      </c>
      <c r="F2" s="76" t="s">
        <v>197</v>
      </c>
      <c r="G2" s="73"/>
      <c r="H2" s="74" t="s">
        <v>198</v>
      </c>
      <c r="I2" s="75" t="s">
        <v>199</v>
      </c>
      <c r="J2" s="75" t="s">
        <v>200</v>
      </c>
    </row>
    <row r="3" spans="1:10" x14ac:dyDescent="0.2">
      <c r="A3" s="219" t="s">
        <v>201</v>
      </c>
      <c r="B3" s="77" t="s">
        <v>202</v>
      </c>
      <c r="C3" s="77" t="s">
        <v>203</v>
      </c>
      <c r="D3" s="77">
        <v>0</v>
      </c>
      <c r="E3" s="77" t="s">
        <v>204</v>
      </c>
      <c r="F3" s="78" t="s">
        <v>205</v>
      </c>
      <c r="G3" s="73"/>
      <c r="H3" s="79">
        <v>46301</v>
      </c>
      <c r="I3" s="80">
        <v>0</v>
      </c>
      <c r="J3" s="81">
        <v>46301</v>
      </c>
    </row>
    <row r="4" spans="1:10" x14ac:dyDescent="0.2">
      <c r="A4" s="219" t="s">
        <v>206</v>
      </c>
      <c r="B4" s="77" t="s">
        <v>207</v>
      </c>
      <c r="C4" s="77" t="s">
        <v>206</v>
      </c>
      <c r="D4" s="77">
        <v>0</v>
      </c>
      <c r="E4" s="77" t="s">
        <v>204</v>
      </c>
      <c r="F4" s="78" t="s">
        <v>205</v>
      </c>
      <c r="G4" s="73"/>
      <c r="H4" s="79">
        <v>19460</v>
      </c>
      <c r="I4" s="80">
        <v>7425</v>
      </c>
      <c r="J4" s="81">
        <v>26885</v>
      </c>
    </row>
    <row r="5" spans="1:10" x14ac:dyDescent="0.2">
      <c r="A5" s="220" t="s">
        <v>208</v>
      </c>
      <c r="B5" s="77" t="s">
        <v>209</v>
      </c>
      <c r="C5" s="77" t="s">
        <v>208</v>
      </c>
      <c r="D5" s="77">
        <v>0</v>
      </c>
      <c r="E5" s="77" t="s">
        <v>204</v>
      </c>
      <c r="F5" s="78" t="s">
        <v>205</v>
      </c>
      <c r="G5" s="73"/>
      <c r="H5" s="79">
        <v>21620</v>
      </c>
      <c r="I5" s="80">
        <v>0</v>
      </c>
      <c r="J5" s="81">
        <v>21620</v>
      </c>
    </row>
    <row r="6" spans="1:10" x14ac:dyDescent="0.2">
      <c r="A6" s="220" t="s">
        <v>121</v>
      </c>
      <c r="B6" s="77" t="s">
        <v>122</v>
      </c>
      <c r="C6" s="77" t="s">
        <v>123</v>
      </c>
      <c r="D6" s="82" t="s">
        <v>210</v>
      </c>
      <c r="E6" s="77" t="s">
        <v>95</v>
      </c>
      <c r="F6" s="78" t="s">
        <v>211</v>
      </c>
      <c r="G6" s="73"/>
      <c r="H6" s="79">
        <v>53779</v>
      </c>
      <c r="I6" s="80">
        <v>45540</v>
      </c>
      <c r="J6" s="81">
        <v>99319</v>
      </c>
    </row>
    <row r="7" spans="1:10" x14ac:dyDescent="0.2">
      <c r="A7" s="220" t="s">
        <v>212</v>
      </c>
      <c r="B7" s="77" t="s">
        <v>213</v>
      </c>
      <c r="C7" s="77" t="s">
        <v>214</v>
      </c>
      <c r="D7" s="82" t="s">
        <v>215</v>
      </c>
      <c r="E7" s="77" t="s">
        <v>204</v>
      </c>
      <c r="F7" s="78" t="s">
        <v>216</v>
      </c>
      <c r="G7" s="73"/>
      <c r="H7" s="79">
        <v>6250</v>
      </c>
      <c r="I7" s="80">
        <v>0</v>
      </c>
      <c r="J7" s="81">
        <v>6250</v>
      </c>
    </row>
    <row r="8" spans="1:10" x14ac:dyDescent="0.2">
      <c r="A8" s="220" t="s">
        <v>124</v>
      </c>
      <c r="B8" s="77" t="s">
        <v>125</v>
      </c>
      <c r="C8" s="77" t="s">
        <v>217</v>
      </c>
      <c r="D8" s="82" t="s">
        <v>210</v>
      </c>
      <c r="E8" s="77" t="s">
        <v>88</v>
      </c>
      <c r="F8" s="78" t="s">
        <v>218</v>
      </c>
      <c r="G8" s="73"/>
      <c r="H8" s="79">
        <v>102415</v>
      </c>
      <c r="I8" s="80">
        <v>0</v>
      </c>
      <c r="J8" s="81">
        <v>102415</v>
      </c>
    </row>
    <row r="9" spans="1:10" x14ac:dyDescent="0.2">
      <c r="A9" s="220" t="s">
        <v>128</v>
      </c>
      <c r="B9" s="77" t="s">
        <v>129</v>
      </c>
      <c r="C9" s="77" t="s">
        <v>219</v>
      </c>
      <c r="D9" s="82" t="s">
        <v>210</v>
      </c>
      <c r="E9" s="77" t="s">
        <v>220</v>
      </c>
      <c r="F9" s="78" t="s">
        <v>211</v>
      </c>
      <c r="G9" s="73"/>
      <c r="H9" s="79">
        <v>379574</v>
      </c>
      <c r="I9" s="80">
        <v>218815</v>
      </c>
      <c r="J9" s="81">
        <v>598389</v>
      </c>
    </row>
    <row r="10" spans="1:10" x14ac:dyDescent="0.2">
      <c r="A10" s="220" t="s">
        <v>138</v>
      </c>
      <c r="B10" s="83" t="s">
        <v>221</v>
      </c>
      <c r="C10" s="83" t="s">
        <v>222</v>
      </c>
      <c r="D10" s="83" t="s">
        <v>223</v>
      </c>
      <c r="E10" s="83" t="s">
        <v>224</v>
      </c>
      <c r="F10" s="84" t="s">
        <v>218</v>
      </c>
      <c r="G10" s="85"/>
      <c r="H10" s="86">
        <v>168974</v>
      </c>
      <c r="I10" s="80">
        <v>695719</v>
      </c>
      <c r="J10" s="81">
        <v>864693</v>
      </c>
    </row>
    <row r="11" spans="1:10" x14ac:dyDescent="0.2">
      <c r="A11" s="220" t="s">
        <v>141</v>
      </c>
      <c r="B11" s="87" t="s">
        <v>142</v>
      </c>
      <c r="C11" s="87" t="s">
        <v>143</v>
      </c>
      <c r="D11" s="83" t="s">
        <v>223</v>
      </c>
      <c r="E11" s="87" t="s">
        <v>225</v>
      </c>
      <c r="F11" s="88" t="s">
        <v>218</v>
      </c>
      <c r="G11" s="73"/>
      <c r="H11" s="79">
        <v>96973</v>
      </c>
      <c r="I11" s="80">
        <v>1114</v>
      </c>
      <c r="J11" s="81">
        <v>98087</v>
      </c>
    </row>
    <row r="12" spans="1:10" x14ac:dyDescent="0.2">
      <c r="A12" s="220" t="s">
        <v>226</v>
      </c>
      <c r="B12" s="77" t="s">
        <v>227</v>
      </c>
      <c r="C12" s="77" t="s">
        <v>228</v>
      </c>
      <c r="D12" s="82" t="s">
        <v>215</v>
      </c>
      <c r="E12" s="77" t="s">
        <v>88</v>
      </c>
      <c r="F12" s="78" t="s">
        <v>216</v>
      </c>
      <c r="G12" s="73"/>
      <c r="H12" s="79">
        <v>0</v>
      </c>
      <c r="I12" s="80">
        <v>0</v>
      </c>
      <c r="J12" s="81">
        <v>0</v>
      </c>
    </row>
    <row r="13" spans="1:10" x14ac:dyDescent="0.2">
      <c r="A13" s="220" t="s">
        <v>144</v>
      </c>
      <c r="B13" s="77" t="s">
        <v>229</v>
      </c>
      <c r="C13" s="77" t="s">
        <v>146</v>
      </c>
      <c r="D13" s="82" t="s">
        <v>223</v>
      </c>
      <c r="E13" s="77" t="s">
        <v>225</v>
      </c>
      <c r="F13" s="78" t="s">
        <v>218</v>
      </c>
      <c r="G13" s="73"/>
      <c r="H13" s="79">
        <v>18935</v>
      </c>
      <c r="I13" s="80">
        <v>500</v>
      </c>
      <c r="J13" s="81">
        <v>19435</v>
      </c>
    </row>
    <row r="14" spans="1:10" x14ac:dyDescent="0.2">
      <c r="A14" s="220" t="s">
        <v>134</v>
      </c>
      <c r="B14" s="77" t="s">
        <v>135</v>
      </c>
      <c r="C14" s="77" t="s">
        <v>136</v>
      </c>
      <c r="D14" s="82" t="s">
        <v>230</v>
      </c>
      <c r="E14" s="77" t="s">
        <v>231</v>
      </c>
      <c r="F14" s="78" t="s">
        <v>232</v>
      </c>
      <c r="G14" s="73"/>
      <c r="H14" s="79">
        <v>17500</v>
      </c>
      <c r="I14" s="80">
        <v>0</v>
      </c>
      <c r="J14" s="81">
        <v>17500</v>
      </c>
    </row>
    <row r="15" spans="1:10" x14ac:dyDescent="0.2">
      <c r="A15" s="220" t="s">
        <v>233</v>
      </c>
      <c r="B15" s="77" t="s">
        <v>234</v>
      </c>
      <c r="C15" s="77" t="s">
        <v>235</v>
      </c>
      <c r="D15" s="82" t="s">
        <v>223</v>
      </c>
      <c r="E15" s="77" t="s">
        <v>236</v>
      </c>
      <c r="F15" s="78" t="s">
        <v>232</v>
      </c>
      <c r="G15" s="73"/>
      <c r="H15" s="79">
        <v>0</v>
      </c>
      <c r="I15" s="80">
        <v>0</v>
      </c>
      <c r="J15" s="81">
        <v>0</v>
      </c>
    </row>
    <row r="16" spans="1:10" x14ac:dyDescent="0.2">
      <c r="A16" s="220" t="s">
        <v>150</v>
      </c>
      <c r="B16" s="77" t="s">
        <v>151</v>
      </c>
      <c r="C16" s="77" t="s">
        <v>237</v>
      </c>
      <c r="D16" s="82" t="s">
        <v>210</v>
      </c>
      <c r="E16" s="77" t="s">
        <v>238</v>
      </c>
      <c r="F16" s="78" t="s">
        <v>216</v>
      </c>
      <c r="G16" s="73"/>
      <c r="H16" s="79">
        <v>124370</v>
      </c>
      <c r="I16" s="80">
        <v>12191</v>
      </c>
      <c r="J16" s="81">
        <v>136561</v>
      </c>
    </row>
    <row r="17" spans="1:10" x14ac:dyDescent="0.2">
      <c r="A17" s="220" t="s">
        <v>153</v>
      </c>
      <c r="B17" s="89" t="s">
        <v>154</v>
      </c>
      <c r="C17" s="77" t="s">
        <v>239</v>
      </c>
      <c r="D17" s="82" t="s">
        <v>230</v>
      </c>
      <c r="E17" s="77" t="s">
        <v>88</v>
      </c>
      <c r="F17" s="78" t="s">
        <v>218</v>
      </c>
      <c r="G17" s="73"/>
      <c r="H17" s="79">
        <v>7451</v>
      </c>
      <c r="I17" s="80">
        <v>23400</v>
      </c>
      <c r="J17" s="81">
        <v>30851</v>
      </c>
    </row>
    <row r="18" spans="1:10" x14ac:dyDescent="0.2">
      <c r="A18" s="220" t="s">
        <v>156</v>
      </c>
      <c r="B18" s="90" t="s">
        <v>241</v>
      </c>
      <c r="C18" s="77" t="s">
        <v>157</v>
      </c>
      <c r="D18" s="82" t="s">
        <v>223</v>
      </c>
      <c r="E18" s="77" t="s">
        <v>242</v>
      </c>
      <c r="F18" s="78" t="s">
        <v>243</v>
      </c>
      <c r="G18" s="73"/>
      <c r="H18" s="79">
        <v>50529</v>
      </c>
      <c r="I18" s="80">
        <v>8285</v>
      </c>
      <c r="J18" s="81">
        <v>58814</v>
      </c>
    </row>
    <row r="19" spans="1:10" x14ac:dyDescent="0.2">
      <c r="A19" s="221" t="s">
        <v>115</v>
      </c>
      <c r="B19" s="91" t="s">
        <v>116</v>
      </c>
      <c r="C19" s="92" t="s">
        <v>244</v>
      </c>
      <c r="D19" s="93" t="s">
        <v>245</v>
      </c>
      <c r="E19" s="92" t="s">
        <v>246</v>
      </c>
      <c r="F19" s="94" t="s">
        <v>216</v>
      </c>
      <c r="G19" s="73"/>
      <c r="H19" s="79">
        <v>7500</v>
      </c>
      <c r="I19" s="80">
        <v>0</v>
      </c>
      <c r="J19" s="81">
        <v>7500</v>
      </c>
    </row>
    <row r="20" spans="1:10" s="127" customFormat="1" x14ac:dyDescent="0.2">
      <c r="A20" s="220" t="s">
        <v>247</v>
      </c>
      <c r="B20" s="91" t="s">
        <v>159</v>
      </c>
      <c r="C20" s="92" t="s">
        <v>248</v>
      </c>
      <c r="D20" s="93" t="s">
        <v>223</v>
      </c>
      <c r="E20" s="92" t="s">
        <v>242</v>
      </c>
      <c r="F20" s="94" t="s">
        <v>216</v>
      </c>
      <c r="G20" s="73"/>
      <c r="H20" s="79">
        <v>126281</v>
      </c>
      <c r="I20" s="80">
        <v>42766</v>
      </c>
      <c r="J20" s="81">
        <v>169046</v>
      </c>
    </row>
    <row r="21" spans="1:10" x14ac:dyDescent="0.2">
      <c r="A21" s="221" t="s">
        <v>161</v>
      </c>
      <c r="B21" s="91" t="s">
        <v>249</v>
      </c>
      <c r="C21" s="92" t="s">
        <v>162</v>
      </c>
      <c r="D21" s="93" t="s">
        <v>223</v>
      </c>
      <c r="E21" s="92" t="s">
        <v>250</v>
      </c>
      <c r="F21" s="94" t="s">
        <v>232</v>
      </c>
      <c r="G21" s="73"/>
      <c r="H21" s="79">
        <v>131096</v>
      </c>
      <c r="I21" s="80">
        <v>8904</v>
      </c>
      <c r="J21" s="81">
        <v>140000</v>
      </c>
    </row>
    <row r="22" spans="1:10" x14ac:dyDescent="0.2">
      <c r="A22" s="221" t="s">
        <v>251</v>
      </c>
      <c r="B22" s="91" t="s">
        <v>252</v>
      </c>
      <c r="C22" s="92" t="s">
        <v>253</v>
      </c>
      <c r="D22" s="93" t="s">
        <v>230</v>
      </c>
      <c r="E22" s="92" t="s">
        <v>254</v>
      </c>
      <c r="F22" s="94" t="s">
        <v>232</v>
      </c>
      <c r="G22" s="73"/>
      <c r="H22" s="79">
        <v>0</v>
      </c>
      <c r="I22" s="80">
        <v>0</v>
      </c>
      <c r="J22" s="81">
        <v>0</v>
      </c>
    </row>
    <row r="23" spans="1:10" x14ac:dyDescent="0.2">
      <c r="A23" s="221" t="s">
        <v>365</v>
      </c>
      <c r="B23" s="91" t="s">
        <v>514</v>
      </c>
      <c r="C23" s="92" t="s">
        <v>515</v>
      </c>
      <c r="D23" s="93" t="s">
        <v>516</v>
      </c>
      <c r="E23" s="92" t="s">
        <v>236</v>
      </c>
      <c r="F23" s="94" t="s">
        <v>218</v>
      </c>
      <c r="G23" s="73"/>
      <c r="H23" s="79">
        <v>0</v>
      </c>
      <c r="I23" s="80">
        <v>0</v>
      </c>
      <c r="J23" s="81">
        <v>0</v>
      </c>
    </row>
    <row r="24" spans="1:10" x14ac:dyDescent="0.2">
      <c r="A24" s="221" t="s">
        <v>365</v>
      </c>
      <c r="B24" s="91" t="s">
        <v>512</v>
      </c>
      <c r="C24" s="92" t="s">
        <v>513</v>
      </c>
      <c r="D24" s="93" t="s">
        <v>516</v>
      </c>
      <c r="E24" s="92" t="s">
        <v>236</v>
      </c>
      <c r="F24" s="94" t="s">
        <v>218</v>
      </c>
      <c r="G24" s="73"/>
      <c r="H24" s="79">
        <v>0</v>
      </c>
      <c r="I24" s="80">
        <v>0</v>
      </c>
      <c r="J24" s="81">
        <v>0</v>
      </c>
    </row>
    <row r="25" spans="1:10" x14ac:dyDescent="0.2">
      <c r="A25" s="220" t="s">
        <v>331</v>
      </c>
      <c r="B25" s="77" t="s">
        <v>517</v>
      </c>
      <c r="C25" s="77" t="s">
        <v>518</v>
      </c>
      <c r="D25" s="82" t="s">
        <v>519</v>
      </c>
      <c r="E25" s="77" t="s">
        <v>225</v>
      </c>
      <c r="F25" s="78" t="s">
        <v>520</v>
      </c>
      <c r="G25" s="73"/>
      <c r="H25" s="79">
        <v>0</v>
      </c>
      <c r="I25" s="80">
        <v>0</v>
      </c>
      <c r="J25" s="81">
        <v>0</v>
      </c>
    </row>
    <row r="26" spans="1:10" x14ac:dyDescent="0.2">
      <c r="A26" s="221" t="s">
        <v>255</v>
      </c>
      <c r="B26" s="91" t="s">
        <v>256</v>
      </c>
      <c r="C26" s="92" t="s">
        <v>257</v>
      </c>
      <c r="D26" s="93" t="s">
        <v>210</v>
      </c>
      <c r="E26" s="92" t="s">
        <v>225</v>
      </c>
      <c r="F26" s="94" t="s">
        <v>258</v>
      </c>
      <c r="G26" s="73"/>
      <c r="H26" s="79">
        <v>47466</v>
      </c>
      <c r="I26" s="80">
        <v>3000</v>
      </c>
      <c r="J26" s="81">
        <v>50466</v>
      </c>
    </row>
    <row r="27" spans="1:10" x14ac:dyDescent="0.2">
      <c r="A27" s="220" t="s">
        <v>532</v>
      </c>
      <c r="B27" s="77" t="s">
        <v>533</v>
      </c>
      <c r="C27" s="77" t="s">
        <v>534</v>
      </c>
      <c r="D27" s="82" t="s">
        <v>521</v>
      </c>
      <c r="E27" s="77" t="s">
        <v>535</v>
      </c>
      <c r="F27" s="78" t="s">
        <v>232</v>
      </c>
      <c r="G27" s="73"/>
      <c r="H27" s="79"/>
      <c r="I27" s="80"/>
      <c r="J27" s="81">
        <v>10915.6</v>
      </c>
    </row>
    <row r="28" spans="1:10" x14ac:dyDescent="0.2">
      <c r="A28" s="220" t="s">
        <v>183</v>
      </c>
      <c r="B28" s="77" t="s">
        <v>536</v>
      </c>
      <c r="C28" s="77" t="s">
        <v>522</v>
      </c>
      <c r="D28" s="82" t="s">
        <v>523</v>
      </c>
      <c r="E28" s="77" t="s">
        <v>305</v>
      </c>
      <c r="F28" s="78" t="s">
        <v>240</v>
      </c>
      <c r="G28" s="73"/>
      <c r="H28" s="79"/>
      <c r="I28" s="80"/>
      <c r="J28" s="81">
        <v>5250</v>
      </c>
    </row>
    <row r="29" spans="1:10" x14ac:dyDescent="0.2">
      <c r="A29" s="220" t="s">
        <v>312</v>
      </c>
      <c r="B29" s="77" t="s">
        <v>537</v>
      </c>
      <c r="C29" s="77" t="s">
        <v>180</v>
      </c>
      <c r="D29" s="82" t="s">
        <v>523</v>
      </c>
      <c r="E29" s="77" t="s">
        <v>313</v>
      </c>
      <c r="F29" s="78" t="s">
        <v>538</v>
      </c>
      <c r="G29" s="73"/>
      <c r="H29" s="79"/>
      <c r="I29" s="80"/>
      <c r="J29" s="81">
        <v>77471.820000000007</v>
      </c>
    </row>
    <row r="30" spans="1:10" x14ac:dyDescent="0.2">
      <c r="A30" s="220" t="s">
        <v>314</v>
      </c>
      <c r="B30" s="77" t="s">
        <v>315</v>
      </c>
      <c r="C30" s="77" t="s">
        <v>524</v>
      </c>
      <c r="D30" s="82" t="s">
        <v>523</v>
      </c>
      <c r="E30" s="77" t="s">
        <v>238</v>
      </c>
      <c r="F30" s="78" t="s">
        <v>240</v>
      </c>
      <c r="G30" s="73"/>
      <c r="H30" s="79"/>
      <c r="I30" s="80"/>
      <c r="J30" s="81">
        <v>0</v>
      </c>
    </row>
    <row r="31" spans="1:10" x14ac:dyDescent="0.2">
      <c r="A31" s="220" t="s">
        <v>322</v>
      </c>
      <c r="B31" s="77" t="s">
        <v>539</v>
      </c>
      <c r="C31" s="77" t="s">
        <v>525</v>
      </c>
      <c r="D31" s="82" t="s">
        <v>523</v>
      </c>
      <c r="E31" s="77" t="s">
        <v>324</v>
      </c>
      <c r="F31" s="78" t="s">
        <v>240</v>
      </c>
      <c r="G31" s="73"/>
      <c r="H31" s="79"/>
      <c r="I31" s="80"/>
      <c r="J31" s="81">
        <v>1304</v>
      </c>
    </row>
    <row r="32" spans="1:10" x14ac:dyDescent="0.2">
      <c r="A32" s="220" t="s">
        <v>316</v>
      </c>
      <c r="B32" s="77" t="s">
        <v>540</v>
      </c>
      <c r="C32" s="77" t="s">
        <v>287</v>
      </c>
      <c r="D32" s="82" t="s">
        <v>523</v>
      </c>
      <c r="E32" s="77" t="s">
        <v>238</v>
      </c>
      <c r="F32" s="78" t="s">
        <v>526</v>
      </c>
      <c r="G32" s="73"/>
      <c r="H32" s="79"/>
      <c r="I32" s="80"/>
      <c r="J32" s="81">
        <v>4950</v>
      </c>
    </row>
    <row r="33" spans="1:10" x14ac:dyDescent="0.2">
      <c r="A33" s="220" t="s">
        <v>318</v>
      </c>
      <c r="B33" s="77" t="s">
        <v>319</v>
      </c>
      <c r="C33" s="77" t="s">
        <v>288</v>
      </c>
      <c r="D33" s="82" t="s">
        <v>523</v>
      </c>
      <c r="E33" s="77" t="s">
        <v>231</v>
      </c>
      <c r="F33" s="78" t="s">
        <v>526</v>
      </c>
      <c r="G33" s="73"/>
      <c r="H33" s="79"/>
      <c r="I33" s="80"/>
      <c r="J33" s="81">
        <v>82000</v>
      </c>
    </row>
    <row r="34" spans="1:10" x14ac:dyDescent="0.2">
      <c r="A34" s="220" t="s">
        <v>541</v>
      </c>
      <c r="B34" s="77" t="s">
        <v>542</v>
      </c>
      <c r="C34" s="77" t="s">
        <v>543</v>
      </c>
      <c r="D34" s="82" t="s">
        <v>523</v>
      </c>
      <c r="E34" s="77" t="s">
        <v>95</v>
      </c>
      <c r="F34" s="78" t="s">
        <v>520</v>
      </c>
      <c r="G34" s="73"/>
      <c r="H34" s="79"/>
      <c r="I34" s="80"/>
      <c r="J34" s="81">
        <v>25825.53</v>
      </c>
    </row>
    <row r="35" spans="1:10" x14ac:dyDescent="0.2">
      <c r="A35" s="220" t="s">
        <v>310</v>
      </c>
      <c r="B35" s="77" t="s">
        <v>544</v>
      </c>
      <c r="C35" s="77" t="s">
        <v>285</v>
      </c>
      <c r="D35" s="82" t="s">
        <v>523</v>
      </c>
      <c r="E35" s="77" t="s">
        <v>306</v>
      </c>
      <c r="F35" s="78" t="s">
        <v>520</v>
      </c>
      <c r="G35" s="73"/>
      <c r="H35" s="79"/>
      <c r="I35" s="80"/>
      <c r="J35" s="81">
        <v>26302.86</v>
      </c>
    </row>
    <row r="36" spans="1:10" x14ac:dyDescent="0.2">
      <c r="A36" s="220" t="s">
        <v>545</v>
      </c>
      <c r="B36" s="77" t="s">
        <v>546</v>
      </c>
      <c r="C36" s="77" t="s">
        <v>547</v>
      </c>
      <c r="D36" s="82" t="s">
        <v>523</v>
      </c>
      <c r="E36" s="77" t="s">
        <v>95</v>
      </c>
      <c r="F36" s="78" t="s">
        <v>520</v>
      </c>
      <c r="G36" s="73"/>
      <c r="H36" s="79"/>
      <c r="I36" s="80"/>
      <c r="J36" s="81">
        <v>20898.3</v>
      </c>
    </row>
    <row r="37" spans="1:10" x14ac:dyDescent="0.2">
      <c r="A37" s="220" t="s">
        <v>557</v>
      </c>
      <c r="B37" s="77" t="s">
        <v>548</v>
      </c>
      <c r="C37" s="77" t="s">
        <v>549</v>
      </c>
      <c r="D37" s="82" t="s">
        <v>523</v>
      </c>
      <c r="E37" s="77" t="s">
        <v>550</v>
      </c>
      <c r="F37" s="78" t="s">
        <v>520</v>
      </c>
      <c r="G37" s="73"/>
      <c r="H37" s="79"/>
      <c r="I37" s="80"/>
      <c r="J37" s="81">
        <v>20885.62</v>
      </c>
    </row>
    <row r="38" spans="1:10" x14ac:dyDescent="0.2">
      <c r="A38" s="220" t="s">
        <v>320</v>
      </c>
      <c r="B38" s="77" t="s">
        <v>551</v>
      </c>
      <c r="C38" s="77" t="s">
        <v>527</v>
      </c>
      <c r="D38" s="82" t="s">
        <v>523</v>
      </c>
      <c r="E38" s="77" t="s">
        <v>225</v>
      </c>
      <c r="F38" s="78" t="s">
        <v>520</v>
      </c>
      <c r="G38" s="73"/>
      <c r="H38" s="79"/>
      <c r="I38" s="80"/>
      <c r="J38" s="81">
        <v>74456.34</v>
      </c>
    </row>
    <row r="39" spans="1:10" x14ac:dyDescent="0.2">
      <c r="A39" s="220" t="s">
        <v>558</v>
      </c>
      <c r="B39" s="77" t="s">
        <v>552</v>
      </c>
      <c r="C39" s="77" t="s">
        <v>553</v>
      </c>
      <c r="D39" s="82" t="s">
        <v>523</v>
      </c>
      <c r="E39" s="77" t="s">
        <v>528</v>
      </c>
      <c r="F39" s="78" t="s">
        <v>520</v>
      </c>
      <c r="G39" s="73"/>
      <c r="H39" s="79"/>
      <c r="I39" s="80"/>
      <c r="J39" s="81">
        <v>61008.55</v>
      </c>
    </row>
    <row r="40" spans="1:10" x14ac:dyDescent="0.2">
      <c r="A40" s="220" t="s">
        <v>326</v>
      </c>
      <c r="B40" s="77" t="s">
        <v>554</v>
      </c>
      <c r="C40" s="77" t="s">
        <v>529</v>
      </c>
      <c r="D40" s="82" t="s">
        <v>523</v>
      </c>
      <c r="E40" s="77" t="s">
        <v>530</v>
      </c>
      <c r="F40" s="78" t="s">
        <v>243</v>
      </c>
      <c r="G40" s="73"/>
      <c r="H40" s="79"/>
      <c r="I40" s="80"/>
      <c r="J40" s="81">
        <v>107303.85999999999</v>
      </c>
    </row>
    <row r="41" spans="1:10" x14ac:dyDescent="0.2">
      <c r="A41" s="220" t="s">
        <v>174</v>
      </c>
      <c r="B41" s="77" t="s">
        <v>171</v>
      </c>
      <c r="C41" s="77" t="s">
        <v>555</v>
      </c>
      <c r="D41" s="82" t="s">
        <v>523</v>
      </c>
      <c r="E41" s="77" t="s">
        <v>250</v>
      </c>
      <c r="F41" s="78" t="s">
        <v>243</v>
      </c>
      <c r="G41" s="73"/>
      <c r="H41" s="79"/>
      <c r="I41" s="80"/>
      <c r="J41" s="81">
        <v>1120408.71</v>
      </c>
    </row>
    <row r="42" spans="1:10" x14ac:dyDescent="0.2">
      <c r="A42" s="220" t="s">
        <v>559</v>
      </c>
      <c r="B42" s="77" t="s">
        <v>167</v>
      </c>
      <c r="C42" s="77" t="s">
        <v>531</v>
      </c>
      <c r="D42" s="82" t="s">
        <v>523</v>
      </c>
      <c r="E42" s="77" t="s">
        <v>305</v>
      </c>
      <c r="F42" s="78" t="s">
        <v>520</v>
      </c>
      <c r="G42" s="73"/>
      <c r="H42" s="79"/>
      <c r="I42" s="80"/>
      <c r="J42" s="81">
        <v>5555</v>
      </c>
    </row>
    <row r="43" spans="1:10" x14ac:dyDescent="0.2">
      <c r="A43" s="220" t="s">
        <v>331</v>
      </c>
      <c r="B43" s="77" t="s">
        <v>556</v>
      </c>
      <c r="C43" s="77" t="s">
        <v>518</v>
      </c>
      <c r="D43" s="82" t="s">
        <v>523</v>
      </c>
      <c r="E43" s="77" t="s">
        <v>225</v>
      </c>
      <c r="F43" s="78" t="s">
        <v>520</v>
      </c>
      <c r="G43" s="73"/>
      <c r="H43" s="79"/>
      <c r="I43" s="80"/>
      <c r="J43" s="81">
        <v>0</v>
      </c>
    </row>
    <row r="44" spans="1:10" ht="15.75" thickBot="1" x14ac:dyDescent="0.25">
      <c r="A44" s="95"/>
      <c r="B44" s="96"/>
      <c r="C44" s="96"/>
      <c r="D44" s="96"/>
      <c r="E44" s="96"/>
      <c r="F44" s="97"/>
      <c r="G44" s="73"/>
      <c r="H44" s="98"/>
      <c r="I44" s="99"/>
      <c r="J44" s="99"/>
    </row>
  </sheetData>
  <mergeCells count="1">
    <mergeCell ref="H1:J1"/>
  </mergeCells>
  <hyperlinks>
    <hyperlink ref="A26" location="'Working Doc-FacOps'!PCP_16_017" display="PCP/16/017"/>
    <hyperlink ref="A22" location="PCP_16_022" display="PCP/16/022"/>
    <hyperlink ref="A21" location="PCP_16_022" display="PCP/16/022"/>
    <hyperlink ref="A20" location="FacOps_16_001" display="FacOps/16/001"/>
    <hyperlink ref="A4" location="Project_Management" display="Project Management"/>
    <hyperlink ref="A5" location="Health___Safety" display="Health &amp; Safety"/>
    <hyperlink ref="A17" location="PCP_16_018" display="PCP/16/018"/>
    <hyperlink ref="A18" location="PCP_16_019" display="PCP/16/019"/>
    <hyperlink ref="A19" location="PCP_16_020" display="PCP/16/020"/>
    <hyperlink ref="A11" location="PCP_15_009" display="PCP/15/009"/>
    <hyperlink ref="A13" location="PCP_16_006" display="PCP/16/006"/>
    <hyperlink ref="A16" location="PCP_16_016" display="PCP/16/016"/>
    <hyperlink ref="A15" location="PCP_16_010" display="PCP/16/010"/>
    <hyperlink ref="A14" location="PCP_16_007" display="PCP/16/007"/>
    <hyperlink ref="A12" location="PCP_15_014" display="PCP/15/014"/>
    <hyperlink ref="A10" location="PCP_15_007" display="PCP/15/007"/>
    <hyperlink ref="A9" location="PCP_15_006" display="PCP/15/006"/>
    <hyperlink ref="A8" location="PCP_15_003" display="PCP/15/003"/>
    <hyperlink ref="A7" location="PCP_14_007" display="PCP/14/007"/>
    <hyperlink ref="A6" location="PCP_12_033" display="PCP/12/033"/>
    <hyperlink ref="A3" location="Commercial" display="Commercial"/>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29"/>
  <sheetViews>
    <sheetView workbookViewId="0">
      <selection activeCell="J15" sqref="J15"/>
    </sheetView>
  </sheetViews>
  <sheetFormatPr defaultRowHeight="15" x14ac:dyDescent="0.2"/>
  <cols>
    <col min="8" max="8" width="9.88671875" bestFit="1" customWidth="1"/>
  </cols>
  <sheetData>
    <row r="1" spans="1:9" x14ac:dyDescent="0.2">
      <c r="A1" s="5" t="s">
        <v>32</v>
      </c>
      <c r="B1" s="12" t="s">
        <v>28</v>
      </c>
      <c r="D1" t="s">
        <v>339</v>
      </c>
      <c r="E1" t="s">
        <v>339</v>
      </c>
      <c r="F1" t="s">
        <v>339</v>
      </c>
      <c r="H1" s="260">
        <f ca="1">TODAY()</f>
        <v>42768</v>
      </c>
      <c r="I1">
        <v>0</v>
      </c>
    </row>
    <row r="2" spans="1:9" x14ac:dyDescent="0.2">
      <c r="A2" s="5" t="s">
        <v>36</v>
      </c>
      <c r="B2" s="12" t="s">
        <v>28</v>
      </c>
      <c r="D2" t="s">
        <v>341</v>
      </c>
      <c r="E2" t="s">
        <v>340</v>
      </c>
      <c r="F2" t="s">
        <v>375</v>
      </c>
      <c r="H2" s="260">
        <f ca="1">TODAY()</f>
        <v>42768</v>
      </c>
      <c r="I2">
        <v>1</v>
      </c>
    </row>
    <row r="3" spans="1:9" x14ac:dyDescent="0.2">
      <c r="A3" s="5" t="s">
        <v>37</v>
      </c>
      <c r="B3" s="12" t="s">
        <v>28</v>
      </c>
      <c r="E3" t="s">
        <v>341</v>
      </c>
      <c r="F3" t="s">
        <v>341</v>
      </c>
    </row>
    <row r="4" spans="1:9" x14ac:dyDescent="0.2">
      <c r="A4" s="5" t="s">
        <v>38</v>
      </c>
      <c r="B4" s="12" t="s">
        <v>28</v>
      </c>
    </row>
    <row r="5" spans="1:9" x14ac:dyDescent="0.2">
      <c r="A5" s="6" t="s">
        <v>33</v>
      </c>
      <c r="B5" s="12" t="s">
        <v>28</v>
      </c>
    </row>
    <row r="6" spans="1:9" x14ac:dyDescent="0.2">
      <c r="A6" s="6" t="s">
        <v>39</v>
      </c>
      <c r="B6" s="12" t="s">
        <v>28</v>
      </c>
    </row>
    <row r="7" spans="1:9" x14ac:dyDescent="0.2">
      <c r="A7" s="6" t="s">
        <v>40</v>
      </c>
      <c r="B7" s="12" t="s">
        <v>28</v>
      </c>
    </row>
    <row r="8" spans="1:9" x14ac:dyDescent="0.2">
      <c r="A8" s="6" t="s">
        <v>41</v>
      </c>
      <c r="B8" s="12" t="s">
        <v>28</v>
      </c>
    </row>
    <row r="9" spans="1:9" x14ac:dyDescent="0.2">
      <c r="A9" s="6" t="s">
        <v>42</v>
      </c>
      <c r="B9" s="12" t="s">
        <v>28</v>
      </c>
    </row>
    <row r="10" spans="1:9" x14ac:dyDescent="0.2">
      <c r="A10" s="6" t="s">
        <v>43</v>
      </c>
      <c r="B10" s="12" t="s">
        <v>28</v>
      </c>
    </row>
    <row r="11" spans="1:9" x14ac:dyDescent="0.2">
      <c r="A11" s="2" t="s">
        <v>34</v>
      </c>
      <c r="B11" s="11" t="s">
        <v>30</v>
      </c>
    </row>
    <row r="12" spans="1:9" x14ac:dyDescent="0.2">
      <c r="A12" s="2" t="s">
        <v>44</v>
      </c>
      <c r="B12" s="11" t="s">
        <v>30</v>
      </c>
    </row>
    <row r="13" spans="1:9" x14ac:dyDescent="0.2">
      <c r="A13" s="2" t="s">
        <v>45</v>
      </c>
      <c r="B13" s="11" t="s">
        <v>30</v>
      </c>
    </row>
    <row r="14" spans="1:9" x14ac:dyDescent="0.2">
      <c r="A14" s="2" t="s">
        <v>46</v>
      </c>
      <c r="B14" s="11" t="s">
        <v>30</v>
      </c>
    </row>
    <row r="15" spans="1:9" x14ac:dyDescent="0.2">
      <c r="A15" s="7" t="s">
        <v>35</v>
      </c>
      <c r="B15" s="11" t="s">
        <v>30</v>
      </c>
    </row>
    <row r="16" spans="1:9" x14ac:dyDescent="0.2">
      <c r="A16" s="7" t="s">
        <v>47</v>
      </c>
      <c r="B16" s="12" t="s">
        <v>28</v>
      </c>
    </row>
    <row r="17" spans="1:2" x14ac:dyDescent="0.2">
      <c r="A17" s="2" t="s">
        <v>28</v>
      </c>
      <c r="B17" s="12" t="s">
        <v>28</v>
      </c>
    </row>
    <row r="18" spans="1:2" x14ac:dyDescent="0.2">
      <c r="A18" s="2" t="s">
        <v>48</v>
      </c>
      <c r="B18" s="12" t="s">
        <v>28</v>
      </c>
    </row>
    <row r="19" spans="1:2" x14ac:dyDescent="0.2">
      <c r="A19" s="2" t="s">
        <v>49</v>
      </c>
      <c r="B19" s="12" t="s">
        <v>28</v>
      </c>
    </row>
    <row r="20" spans="1:2" x14ac:dyDescent="0.2">
      <c r="A20" s="2" t="s">
        <v>30</v>
      </c>
      <c r="B20" s="11" t="s">
        <v>30</v>
      </c>
    </row>
    <row r="21" spans="1:2" x14ac:dyDescent="0.2">
      <c r="A21" s="2" t="s">
        <v>50</v>
      </c>
      <c r="B21" s="11" t="s">
        <v>30</v>
      </c>
    </row>
    <row r="22" spans="1:2" x14ac:dyDescent="0.2">
      <c r="A22" s="2" t="s">
        <v>51</v>
      </c>
      <c r="B22" s="11" t="s">
        <v>30</v>
      </c>
    </row>
    <row r="23" spans="1:2" x14ac:dyDescent="0.2">
      <c r="A23" s="2" t="s">
        <v>52</v>
      </c>
      <c r="B23" s="12" t="s">
        <v>28</v>
      </c>
    </row>
    <row r="24" spans="1:2" x14ac:dyDescent="0.2">
      <c r="A24" s="2" t="s">
        <v>53</v>
      </c>
      <c r="B24" s="12" t="s">
        <v>28</v>
      </c>
    </row>
    <row r="25" spans="1:2" x14ac:dyDescent="0.2">
      <c r="A25" s="2" t="s">
        <v>54</v>
      </c>
      <c r="B25" s="11" t="s">
        <v>30</v>
      </c>
    </row>
    <row r="26" spans="1:2" x14ac:dyDescent="0.2">
      <c r="A26" s="2" t="s">
        <v>55</v>
      </c>
      <c r="B26" s="12" t="s">
        <v>28</v>
      </c>
    </row>
    <row r="27" spans="1:2" x14ac:dyDescent="0.2">
      <c r="A27" s="2" t="s">
        <v>56</v>
      </c>
      <c r="B27" s="12" t="s">
        <v>28</v>
      </c>
    </row>
    <row r="28" spans="1:2" x14ac:dyDescent="0.2">
      <c r="A28" s="2" t="s">
        <v>57</v>
      </c>
      <c r="B28" s="11" t="s">
        <v>30</v>
      </c>
    </row>
    <row r="29" spans="1:2" x14ac:dyDescent="0.2">
      <c r="A29" s="2" t="s">
        <v>58</v>
      </c>
      <c r="B29" s="11"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C4"/>
  <sheetViews>
    <sheetView showGridLines="0" workbookViewId="0">
      <selection activeCell="C4" sqref="C4"/>
    </sheetView>
  </sheetViews>
  <sheetFormatPr defaultRowHeight="15" x14ac:dyDescent="0.2"/>
  <cols>
    <col min="2" max="2" width="13" customWidth="1"/>
    <col min="3" max="3" width="17.77734375" customWidth="1"/>
  </cols>
  <sheetData>
    <row r="3" spans="2:3" ht="15.75" thickBot="1" x14ac:dyDescent="0.25"/>
    <row r="4" spans="2:3" ht="15.75" thickBot="1" x14ac:dyDescent="0.25">
      <c r="B4" s="9" t="s">
        <v>59</v>
      </c>
      <c r="C4" s="10" t="s">
        <v>31</v>
      </c>
    </row>
  </sheetData>
  <dataValidations count="1">
    <dataValidation type="list" allowBlank="1" showInputMessage="1" showErrorMessage="1" sqref="C4">
      <formula1>#REF!</formula1>
    </dataValidation>
  </dataValidation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34"/>
  <sheetViews>
    <sheetView workbookViewId="0">
      <selection activeCell="B34" sqref="B34"/>
    </sheetView>
  </sheetViews>
  <sheetFormatPr defaultRowHeight="11.25" x14ac:dyDescent="0.2"/>
  <cols>
    <col min="1" max="1" width="36.6640625" style="1" bestFit="1" customWidth="1"/>
    <col min="2" max="2" width="28.21875" style="1" bestFit="1" customWidth="1"/>
    <col min="3" max="16384" width="8.88671875" style="1"/>
  </cols>
  <sheetData>
    <row r="1" spans="1:2" x14ac:dyDescent="0.2">
      <c r="A1" s="1" t="s">
        <v>82</v>
      </c>
      <c r="B1" s="1" t="s">
        <v>82</v>
      </c>
    </row>
    <row r="2" spans="1:2" x14ac:dyDescent="0.2">
      <c r="A2" s="1" t="s">
        <v>83</v>
      </c>
      <c r="B2" s="1" t="s">
        <v>83</v>
      </c>
    </row>
    <row r="3" spans="1:2" x14ac:dyDescent="0.2">
      <c r="A3" s="1" t="s">
        <v>95</v>
      </c>
      <c r="B3" s="1" t="s">
        <v>95</v>
      </c>
    </row>
    <row r="4" spans="1:2" x14ac:dyDescent="0.2">
      <c r="A4" s="1" t="s">
        <v>638</v>
      </c>
      <c r="B4" s="1" t="s">
        <v>70</v>
      </c>
    </row>
    <row r="5" spans="1:2" x14ac:dyDescent="0.2">
      <c r="A5" s="1" t="s">
        <v>639</v>
      </c>
      <c r="B5" s="1" t="s">
        <v>68</v>
      </c>
    </row>
    <row r="6" spans="1:2" x14ac:dyDescent="0.2">
      <c r="A6" s="1" t="s">
        <v>640</v>
      </c>
      <c r="B6" s="1" t="s">
        <v>67</v>
      </c>
    </row>
    <row r="7" spans="1:2" x14ac:dyDescent="0.2">
      <c r="A7" s="1" t="s">
        <v>641</v>
      </c>
      <c r="B7" s="1" t="s">
        <v>61</v>
      </c>
    </row>
    <row r="8" spans="1:2" x14ac:dyDescent="0.2">
      <c r="A8" s="1" t="s">
        <v>642</v>
      </c>
      <c r="B8" s="1" t="s">
        <v>65</v>
      </c>
    </row>
    <row r="9" spans="1:2" x14ac:dyDescent="0.2">
      <c r="A9" s="1" t="s">
        <v>643</v>
      </c>
      <c r="B9" s="1" t="s">
        <v>65</v>
      </c>
    </row>
    <row r="10" spans="1:2" x14ac:dyDescent="0.2">
      <c r="A10" s="1" t="s">
        <v>644</v>
      </c>
      <c r="B10" s="1" t="s">
        <v>66</v>
      </c>
    </row>
    <row r="11" spans="1:2" x14ac:dyDescent="0.2">
      <c r="A11" s="1" t="s">
        <v>645</v>
      </c>
      <c r="B11" s="1" t="s">
        <v>64</v>
      </c>
    </row>
    <row r="12" spans="1:2" x14ac:dyDescent="0.2">
      <c r="A12" s="1" t="s">
        <v>646</v>
      </c>
      <c r="B12" s="1" t="s">
        <v>63</v>
      </c>
    </row>
    <row r="13" spans="1:2" x14ac:dyDescent="0.2">
      <c r="A13" s="1" t="s">
        <v>647</v>
      </c>
      <c r="B13" s="1" t="s">
        <v>72</v>
      </c>
    </row>
    <row r="14" spans="1:2" x14ac:dyDescent="0.2">
      <c r="A14" s="1" t="s">
        <v>648</v>
      </c>
      <c r="B14" s="1" t="s">
        <v>81</v>
      </c>
    </row>
    <row r="15" spans="1:2" x14ac:dyDescent="0.2">
      <c r="A15" s="1" t="s">
        <v>649</v>
      </c>
      <c r="B15" s="1" t="s">
        <v>71</v>
      </c>
    </row>
    <row r="16" spans="1:2" x14ac:dyDescent="0.2">
      <c r="A16" s="1" t="s">
        <v>650</v>
      </c>
      <c r="B16" s="1" t="s">
        <v>62</v>
      </c>
    </row>
    <row r="17" spans="1:2" x14ac:dyDescent="0.2">
      <c r="A17" s="1" t="s">
        <v>651</v>
      </c>
      <c r="B17" s="1" t="s">
        <v>651</v>
      </c>
    </row>
    <row r="18" spans="1:2" x14ac:dyDescent="0.2">
      <c r="A18" s="1" t="s">
        <v>652</v>
      </c>
      <c r="B18" s="1" t="s">
        <v>75</v>
      </c>
    </row>
    <row r="19" spans="1:2" x14ac:dyDescent="0.2">
      <c r="A19" s="1" t="s">
        <v>653</v>
      </c>
      <c r="B19" s="1" t="s">
        <v>73</v>
      </c>
    </row>
    <row r="20" spans="1:2" x14ac:dyDescent="0.2">
      <c r="A20" s="1" t="s">
        <v>225</v>
      </c>
      <c r="B20" s="1" t="s">
        <v>92</v>
      </c>
    </row>
    <row r="21" spans="1:2" x14ac:dyDescent="0.2">
      <c r="A21" s="1" t="s">
        <v>654</v>
      </c>
      <c r="B21" s="1" t="s">
        <v>76</v>
      </c>
    </row>
    <row r="22" spans="1:2" x14ac:dyDescent="0.2">
      <c r="A22" s="1" t="s">
        <v>655</v>
      </c>
      <c r="B22" s="1" t="s">
        <v>60</v>
      </c>
    </row>
    <row r="23" spans="1:2" x14ac:dyDescent="0.2">
      <c r="A23" s="1" t="s">
        <v>528</v>
      </c>
      <c r="B23" s="1" t="s">
        <v>528</v>
      </c>
    </row>
    <row r="24" spans="1:2" x14ac:dyDescent="0.2">
      <c r="A24" s="1" t="s">
        <v>656</v>
      </c>
      <c r="B24" s="1" t="s">
        <v>74</v>
      </c>
    </row>
    <row r="25" spans="1:2" x14ac:dyDescent="0.2">
      <c r="A25" s="1" t="s">
        <v>657</v>
      </c>
      <c r="B25" s="1" t="s">
        <v>69</v>
      </c>
    </row>
    <row r="26" spans="1:2" x14ac:dyDescent="0.2">
      <c r="A26" s="1" t="s">
        <v>238</v>
      </c>
      <c r="B26" s="1" t="s">
        <v>238</v>
      </c>
    </row>
    <row r="27" spans="1:2" x14ac:dyDescent="0.2">
      <c r="A27" s="1" t="s">
        <v>535</v>
      </c>
      <c r="B27" s="1" t="s">
        <v>535</v>
      </c>
    </row>
    <row r="28" spans="1:2" x14ac:dyDescent="0.2">
      <c r="A28" s="1" t="s">
        <v>658</v>
      </c>
      <c r="B28" s="1" t="s">
        <v>77</v>
      </c>
    </row>
    <row r="29" spans="1:2" x14ac:dyDescent="0.2">
      <c r="A29" s="1" t="s">
        <v>659</v>
      </c>
      <c r="B29" s="1" t="s">
        <v>78</v>
      </c>
    </row>
    <row r="30" spans="1:2" x14ac:dyDescent="0.2">
      <c r="A30" s="1" t="s">
        <v>660</v>
      </c>
      <c r="B30" s="1" t="s">
        <v>79</v>
      </c>
    </row>
    <row r="31" spans="1:2" x14ac:dyDescent="0.2">
      <c r="A31" s="1" t="s">
        <v>88</v>
      </c>
      <c r="B31" s="1" t="s">
        <v>88</v>
      </c>
    </row>
    <row r="32" spans="1:2" x14ac:dyDescent="0.2">
      <c r="A32" s="1" t="s">
        <v>661</v>
      </c>
      <c r="B32" s="1" t="s">
        <v>80</v>
      </c>
    </row>
    <row r="33" spans="1:2" x14ac:dyDescent="0.2">
      <c r="A33" s="1" t="s">
        <v>352</v>
      </c>
      <c r="B33" s="1" t="s">
        <v>353</v>
      </c>
    </row>
    <row r="34" spans="1:2" x14ac:dyDescent="0.2">
      <c r="A34" s="1" t="s">
        <v>370</v>
      </c>
      <c r="B34" s="1" t="s">
        <v>371</v>
      </c>
    </row>
  </sheetData>
  <sortState ref="A1:B34">
    <sortCondition ref="A5:A3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7"/>
  <sheetViews>
    <sheetView workbookViewId="0">
      <selection activeCell="B9" sqref="B9"/>
    </sheetView>
  </sheetViews>
  <sheetFormatPr defaultRowHeight="11.25" x14ac:dyDescent="0.2"/>
  <cols>
    <col min="1" max="1" width="18.44140625" style="1" customWidth="1"/>
    <col min="2" max="16384" width="8.88671875" style="1"/>
  </cols>
  <sheetData>
    <row r="1" spans="1:1" x14ac:dyDescent="0.2">
      <c r="A1" s="1" t="s">
        <v>97</v>
      </c>
    </row>
    <row r="2" spans="1:1" x14ac:dyDescent="0.2">
      <c r="A2" s="1" t="s">
        <v>98</v>
      </c>
    </row>
    <row r="3" spans="1:1" x14ac:dyDescent="0.2">
      <c r="A3" s="1" t="s">
        <v>99</v>
      </c>
    </row>
    <row r="4" spans="1:1" x14ac:dyDescent="0.2">
      <c r="A4" s="1" t="s">
        <v>178</v>
      </c>
    </row>
    <row r="5" spans="1:1" x14ac:dyDescent="0.2">
      <c r="A5" s="1" t="s">
        <v>100</v>
      </c>
    </row>
    <row r="6" spans="1:1" x14ac:dyDescent="0.2">
      <c r="A6" s="1" t="s">
        <v>177</v>
      </c>
    </row>
    <row r="7" spans="1:1" x14ac:dyDescent="0.2">
      <c r="A7" s="1" t="s">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0"/>
  <sheetViews>
    <sheetView workbookViewId="0">
      <selection activeCell="C12" sqref="C12"/>
    </sheetView>
  </sheetViews>
  <sheetFormatPr defaultRowHeight="12.75" x14ac:dyDescent="0.2"/>
  <cols>
    <col min="1" max="1" width="11.21875" style="8" bestFit="1" customWidth="1"/>
    <col min="2" max="16384" width="8.88671875" style="8"/>
  </cols>
  <sheetData>
    <row r="1" spans="1:3" x14ac:dyDescent="0.2">
      <c r="A1" s="8" t="s">
        <v>101</v>
      </c>
      <c r="C1" s="8" t="s">
        <v>598</v>
      </c>
    </row>
    <row r="2" spans="1:3" x14ac:dyDescent="0.2">
      <c r="A2" s="8" t="s">
        <v>264</v>
      </c>
      <c r="C2" s="8" t="s">
        <v>602</v>
      </c>
    </row>
    <row r="3" spans="1:3" x14ac:dyDescent="0.2">
      <c r="A3" s="8" t="s">
        <v>102</v>
      </c>
      <c r="C3" s="8" t="s">
        <v>599</v>
      </c>
    </row>
    <row r="4" spans="1:3" x14ac:dyDescent="0.2">
      <c r="A4" s="8" t="s">
        <v>109</v>
      </c>
      <c r="C4" s="8" t="s">
        <v>600</v>
      </c>
    </row>
    <row r="5" spans="1:3" x14ac:dyDescent="0.2">
      <c r="A5" s="8" t="s">
        <v>107</v>
      </c>
      <c r="C5" s="8" t="s">
        <v>601</v>
      </c>
    </row>
    <row r="6" spans="1:3" x14ac:dyDescent="0.2">
      <c r="A6" s="8" t="s">
        <v>103</v>
      </c>
    </row>
    <row r="7" spans="1:3" x14ac:dyDescent="0.2">
      <c r="A7" s="8" t="s">
        <v>104</v>
      </c>
    </row>
    <row r="8" spans="1:3" x14ac:dyDescent="0.2">
      <c r="A8" s="8" t="s">
        <v>105</v>
      </c>
    </row>
    <row r="9" spans="1:3" x14ac:dyDescent="0.2">
      <c r="A9" s="8" t="s">
        <v>106</v>
      </c>
    </row>
    <row r="10" spans="1:3" x14ac:dyDescent="0.2">
      <c r="A10" s="8" t="s">
        <v>108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22"/>
  <sheetViews>
    <sheetView zoomScaleNormal="100" workbookViewId="0">
      <selection activeCell="C32" sqref="C32"/>
    </sheetView>
  </sheetViews>
  <sheetFormatPr defaultRowHeight="15" x14ac:dyDescent="0.2"/>
  <cols>
    <col min="1" max="1" width="22.5546875" bestFit="1" customWidth="1"/>
    <col min="2" max="2" width="17.6640625" style="259" bestFit="1" customWidth="1"/>
    <col min="3" max="3" width="51.5546875" style="259" bestFit="1" customWidth="1"/>
    <col min="4" max="4" width="62.88671875" customWidth="1"/>
    <col min="5" max="5" width="22.5546875" bestFit="1" customWidth="1"/>
    <col min="6" max="6" width="15.21875" customWidth="1"/>
    <col min="7" max="7" width="17.5546875" customWidth="1"/>
    <col min="8" max="8" width="16.109375" customWidth="1"/>
    <col min="9" max="9" width="11.33203125" customWidth="1"/>
    <col min="10" max="10" width="9.88671875" bestFit="1" customWidth="1"/>
    <col min="11" max="12" width="20.21875" customWidth="1"/>
  </cols>
  <sheetData>
    <row r="1" spans="1:12" ht="15.75" x14ac:dyDescent="0.25">
      <c r="A1" s="310" t="s">
        <v>195</v>
      </c>
      <c r="B1" s="310" t="s">
        <v>594</v>
      </c>
      <c r="C1" s="310" t="s">
        <v>590</v>
      </c>
      <c r="D1" s="310" t="s">
        <v>586</v>
      </c>
      <c r="E1" s="310" t="s">
        <v>595</v>
      </c>
      <c r="F1" s="310" t="s">
        <v>587</v>
      </c>
      <c r="G1" s="310" t="s">
        <v>591</v>
      </c>
      <c r="H1" s="310" t="s">
        <v>588</v>
      </c>
      <c r="I1" s="310" t="s">
        <v>592</v>
      </c>
      <c r="J1" s="310" t="s">
        <v>589</v>
      </c>
      <c r="K1" s="310" t="s">
        <v>593</v>
      </c>
      <c r="L1" s="310" t="s">
        <v>596</v>
      </c>
    </row>
    <row r="2" spans="1:12" ht="15.75" x14ac:dyDescent="0.25">
      <c r="A2" s="302" t="s">
        <v>251</v>
      </c>
      <c r="B2" s="301" t="str">
        <f>IF(OR(E2="John Murphy",E2="John Cousins", E2="Helena Healy",E2="Martina Perkins"), E2, "Outside Consultant")</f>
        <v>Helena Healy</v>
      </c>
      <c r="C2" s="302" t="str">
        <f t="shared" ref="C2:C22" si="0">IF(D2="","",CONCATENATE(LEFT(D2,54),"...."))</f>
        <v>Broadway PA/VA system....</v>
      </c>
      <c r="D2" s="302" t="str">
        <f>VLOOKUP($A2,'Tracker Sheet'!$A$3:$BQ$40,3,FALSE)</f>
        <v>Broadway PA/VA system</v>
      </c>
      <c r="E2" s="302" t="str">
        <f>IFERROR(VLOOKUP($A2,'Tracker Sheet'!$A$3:$BQ$40,5,FALSE),"")</f>
        <v>Helena Healy</v>
      </c>
      <c r="F2" s="294">
        <v>42689</v>
      </c>
      <c r="G2" s="304">
        <f>IF(VLOOKUP($A2,'Tracker Sheet'!$A$3:$BQ$40,49,FALSE)&lt;&gt;"",VLOOKUP($A2,'Tracker Sheet'!$A$3:$BQ$40,49,FALSE),IF(VLOOKUP($A2,'Tracker Sheet'!$A$3:$BQ$40,48,FALSE)&lt;&gt;"",VLOOKUP($A2,'Tracker Sheet'!$A$3:$BQ$40,48,FALSE),IF(VLOOKUP($A2,'Tracker Sheet'!$A$3:$BQ$40,38,FALSE)&lt;&gt;"",VLOOKUP($A2,'Tracker Sheet'!$A$3:$BQ$40,38,FALSE),IF(VLOOKUP($A2,'Tracker Sheet'!$A$3:$BQ$40,37,FALSE)&lt;&gt;"",VLOOKUP($A2,'Tracker Sheet'!$A$3:$BQ$40,37,FALSE),IF(VLOOKUP($A2,'Tracker Sheet'!$A$3:$BQ$40,27,FALSE)&lt;&gt;"",VLOOKUP($A2,'Tracker Sheet'!$A$3:$BQ$40,27,FALSE),IF(VLOOKUP($A2,'Tracker Sheet'!$A$3:$BQ$40,40,FALSE)&lt;&gt;"",VLOOKUP($A2,'Tracker Sheet'!$A$3:$BQ$40,40,FALSE),IF(VLOOKUP($A2,'Tracker Sheet'!$A$3:$BQ$40,16,FALSE)&lt;&gt;"",VLOOKUP($A2,'Tracker Sheet'!$A$3:$BQ$40,16,FALSE),IF(VLOOKUP($A2,'Tracker Sheet'!$A$3:$BQ$40,15,FALSE)&lt;&gt;"",VLOOKUP($A2,'Tracker Sheet'!$A$3:$BQ$40,15,FALSE),""))))))))</f>
        <v>42829</v>
      </c>
      <c r="H2" s="304">
        <f t="shared" ref="H2:H22" si="1">IF(G2=0/1/1900,"",G2)</f>
        <v>42829</v>
      </c>
      <c r="I2" s="302">
        <f t="shared" ref="I2:I22" si="2">IF(K2&gt;=0,K2,0)</f>
        <v>140</v>
      </c>
      <c r="J2" s="294">
        <v>42719</v>
      </c>
      <c r="K2" s="302">
        <f t="shared" ref="K2:K22" si="3">SUM(G2-F2)</f>
        <v>140</v>
      </c>
      <c r="L2" s="302" t="str">
        <f>VLOOKUP($A2,'Tracker Sheet'!$A$3:$CA$40,79,FALSE)</f>
        <v>Stage Gate 5</v>
      </c>
    </row>
    <row r="3" spans="1:12" ht="15.75" x14ac:dyDescent="0.25">
      <c r="A3" s="302" t="s">
        <v>138</v>
      </c>
      <c r="B3" s="301" t="str">
        <f>IF(OR(E3="John Murphy",E3="John Cousins", E3="Helena Healy",E3="Martina Perkins"), E3, "Outside Consultant")</f>
        <v>John Cousins</v>
      </c>
      <c r="C3" s="302" t="str">
        <f t="shared" si="0"/>
        <v>172 BPR &amp; Windsor House Chiller Remedial....</v>
      </c>
      <c r="D3" s="302" t="str">
        <f>VLOOKUP($A3,'Tracker Sheet'!$A$3:$BQ$40,3,FALSE)</f>
        <v>172 BPR &amp; Windsor House Chiller Remedial</v>
      </c>
      <c r="E3" s="302" t="str">
        <f>IFERROR(VLOOKUP($A3,'Tracker Sheet'!$A$3:$BQ$40,5,FALSE),"")</f>
        <v>John Cousins</v>
      </c>
      <c r="F3" s="294">
        <v>41645</v>
      </c>
      <c r="G3" s="304">
        <f>IF(VLOOKUP($A3,'Tracker Sheet'!$A$3:$BQ$40,49,FALSE)&lt;&gt;"",VLOOKUP($A3,'Tracker Sheet'!$A$3:$BQ$40,49,FALSE),IF(VLOOKUP($A3,'Tracker Sheet'!$A$3:$BQ$40,48,FALSE)&lt;&gt;"",VLOOKUP($A3,'Tracker Sheet'!$A$3:$BQ$40,48,FALSE),IF(VLOOKUP($A3,'Tracker Sheet'!$A$3:$BQ$40,38,FALSE)&lt;&gt;"",VLOOKUP($A3,'Tracker Sheet'!$A$3:$BQ$40,38,FALSE),IF(VLOOKUP($A3,'Tracker Sheet'!$A$3:$BQ$40,37,FALSE)&lt;&gt;"",VLOOKUP($A3,'Tracker Sheet'!$A$3:$BQ$40,37,FALSE),IF(VLOOKUP($A3,'Tracker Sheet'!$A$3:$BQ$40,27,FALSE)&lt;&gt;"",VLOOKUP($A3,'Tracker Sheet'!$A$3:$BQ$40,27,FALSE),IF(VLOOKUP($A3,'Tracker Sheet'!$A$3:$BQ$40,40,FALSE)&lt;&gt;"",VLOOKUP($A3,'Tracker Sheet'!$A$3:$BQ$40,40,FALSE),IF(VLOOKUP($A3,'Tracker Sheet'!$A$3:$BQ$40,16,FALSE)&lt;&gt;"",VLOOKUP($A3,'Tracker Sheet'!$A$3:$BQ$40,16,FALSE),IF(VLOOKUP($A3,'Tracker Sheet'!$A$3:$BQ$40,15,FALSE)&lt;&gt;"",VLOOKUP($A3,'Tracker Sheet'!$A$3:$BQ$40,15,FALSE),""))))))))</f>
        <v>42814</v>
      </c>
      <c r="H3" s="304">
        <f t="shared" si="1"/>
        <v>42814</v>
      </c>
      <c r="I3" s="302">
        <f t="shared" si="2"/>
        <v>1169</v>
      </c>
      <c r="J3" s="294">
        <v>42719</v>
      </c>
      <c r="K3" s="302">
        <f t="shared" si="3"/>
        <v>1169</v>
      </c>
      <c r="L3" s="302" t="str">
        <f>VLOOKUP($A3,'Tracker Sheet'!$A$3:$CA$40,79,FALSE)</f>
        <v>Stage Gate 5</v>
      </c>
    </row>
    <row r="4" spans="1:12" ht="15.75" x14ac:dyDescent="0.25">
      <c r="A4" s="302" t="s">
        <v>141</v>
      </c>
      <c r="B4" s="301"/>
      <c r="C4" s="302" t="str">
        <f t="shared" si="0"/>
        <v>Basement Leak Detection and Sump Pump....</v>
      </c>
      <c r="D4" s="302" t="str">
        <f>VLOOKUP($A4,'Tracker Sheet'!$A$3:$BQ$40,3,FALSE)</f>
        <v>Basement Leak Detection and Sump Pump</v>
      </c>
      <c r="E4" s="302" t="str">
        <f>IFERROR(VLOOKUP($A4,'Tracker Sheet'!$A$3:$BQ$40,5,FALSE),"")</f>
        <v>John Cousins</v>
      </c>
      <c r="F4" s="294">
        <v>42262</v>
      </c>
      <c r="G4" s="304">
        <f>IF(VLOOKUP($A4,'Tracker Sheet'!$A$3:$BQ$40,49,FALSE)&lt;&gt;"",VLOOKUP($A4,'Tracker Sheet'!$A$3:$BQ$40,49,FALSE),IF(VLOOKUP($A4,'Tracker Sheet'!$A$3:$BQ$40,48,FALSE)&lt;&gt;"",VLOOKUP($A4,'Tracker Sheet'!$A$3:$BQ$40,48,FALSE),IF(VLOOKUP($A4,'Tracker Sheet'!$A$3:$BQ$40,38,FALSE)&lt;&gt;"",VLOOKUP($A4,'Tracker Sheet'!$A$3:$BQ$40,38,FALSE),IF(VLOOKUP($A4,'Tracker Sheet'!$A$3:$BQ$40,37,FALSE)&lt;&gt;"",VLOOKUP($A4,'Tracker Sheet'!$A$3:$BQ$40,37,FALSE),IF(VLOOKUP($A4,'Tracker Sheet'!$A$3:$BQ$40,27,FALSE)&lt;&gt;"",VLOOKUP($A4,'Tracker Sheet'!$A$3:$BQ$40,27,FALSE),IF(VLOOKUP($A4,'Tracker Sheet'!$A$3:$BQ$40,40,FALSE)&lt;&gt;"",VLOOKUP($A4,'Tracker Sheet'!$A$3:$BQ$40,40,FALSE),IF(VLOOKUP($A4,'Tracker Sheet'!$A$3:$BQ$40,16,FALSE)&lt;&gt;"",VLOOKUP($A4,'Tracker Sheet'!$A$3:$BQ$40,16,FALSE),IF(VLOOKUP($A4,'Tracker Sheet'!$A$3:$BQ$40,15,FALSE)&lt;&gt;"",VLOOKUP($A4,'Tracker Sheet'!$A$3:$BQ$40,15,FALSE),""))))))))</f>
        <v>42720</v>
      </c>
      <c r="H4" s="304">
        <f t="shared" si="1"/>
        <v>42720</v>
      </c>
      <c r="I4" s="302">
        <f t="shared" si="2"/>
        <v>458</v>
      </c>
      <c r="J4" s="294">
        <v>42719</v>
      </c>
      <c r="K4" s="302">
        <f t="shared" si="3"/>
        <v>458</v>
      </c>
      <c r="L4" s="302" t="str">
        <f>VLOOKUP($A4,'Tracker Sheet'!$A$3:$CA$40,79,FALSE)</f>
        <v>Stage Gate 5</v>
      </c>
    </row>
    <row r="5" spans="1:12" ht="15.75" x14ac:dyDescent="0.25">
      <c r="A5" s="302" t="s">
        <v>144</v>
      </c>
      <c r="B5" s="301"/>
      <c r="C5" s="302" t="str">
        <f t="shared" si="0"/>
        <v>Toilet Flushing Upgrade....</v>
      </c>
      <c r="D5" s="302" t="str">
        <f>VLOOKUP($A5,'Tracker Sheet'!$A$3:$BQ$40,3,FALSE)</f>
        <v>Toilet Flushing Upgrade</v>
      </c>
      <c r="E5" s="302" t="str">
        <f>IFERROR(VLOOKUP($A5,'Tracker Sheet'!$A$3:$BQ$40,5,FALSE),"")</f>
        <v>John Cousins</v>
      </c>
      <c r="F5" s="294">
        <v>42262</v>
      </c>
      <c r="G5" s="304">
        <f>IF(VLOOKUP($A5,'Tracker Sheet'!$A$3:$BQ$40,49,FALSE)&lt;&gt;"",VLOOKUP($A5,'Tracker Sheet'!$A$3:$BQ$40,49,FALSE),IF(VLOOKUP($A5,'Tracker Sheet'!$A$3:$BQ$40,48,FALSE)&lt;&gt;"",VLOOKUP($A5,'Tracker Sheet'!$A$3:$BQ$40,48,FALSE),IF(VLOOKUP($A5,'Tracker Sheet'!$A$3:$BQ$40,38,FALSE)&lt;&gt;"",VLOOKUP($A5,'Tracker Sheet'!$A$3:$BQ$40,38,FALSE),IF(VLOOKUP($A5,'Tracker Sheet'!$A$3:$BQ$40,37,FALSE)&lt;&gt;"",VLOOKUP($A5,'Tracker Sheet'!$A$3:$BQ$40,37,FALSE),IF(VLOOKUP($A5,'Tracker Sheet'!$A$3:$BQ$40,27,FALSE)&lt;&gt;"",VLOOKUP($A5,'Tracker Sheet'!$A$3:$BQ$40,27,FALSE),IF(VLOOKUP($A5,'Tracker Sheet'!$A$3:$BQ$40,40,FALSE)&lt;&gt;"",VLOOKUP($A5,'Tracker Sheet'!$A$3:$BQ$40,40,FALSE),IF(VLOOKUP($A5,'Tracker Sheet'!$A$3:$BQ$40,16,FALSE)&lt;&gt;"",VLOOKUP($A5,'Tracker Sheet'!$A$3:$BQ$40,16,FALSE),IF(VLOOKUP($A5,'Tracker Sheet'!$A$3:$BQ$40,15,FALSE)&lt;&gt;"",VLOOKUP($A5,'Tracker Sheet'!$A$3:$BQ$40,15,FALSE),""))))))))</f>
        <v>42592</v>
      </c>
      <c r="H5" s="304">
        <f t="shared" si="1"/>
        <v>42592</v>
      </c>
      <c r="I5" s="302">
        <f t="shared" si="2"/>
        <v>330</v>
      </c>
      <c r="J5" s="294">
        <v>42719</v>
      </c>
      <c r="K5" s="302">
        <f t="shared" si="3"/>
        <v>330</v>
      </c>
      <c r="L5" s="302" t="str">
        <f>VLOOKUP($A5,'Tracker Sheet'!$A$3:$CA$40,79,FALSE)</f>
        <v>Stage Gate 4</v>
      </c>
    </row>
    <row r="6" spans="1:12" ht="15.75" x14ac:dyDescent="0.25">
      <c r="A6" s="302" t="s">
        <v>153</v>
      </c>
      <c r="B6" s="301"/>
      <c r="C6" s="302" t="str">
        <f t="shared" si="0"/>
        <v>VSH Roof and Facades Repairs....</v>
      </c>
      <c r="D6" s="302" t="str">
        <f>VLOOKUP($A6,'Tracker Sheet'!$A$3:$BQ$40,3,FALSE)</f>
        <v>VSH Roof and Facades Repairs</v>
      </c>
      <c r="E6" s="302" t="str">
        <f>IFERROR(VLOOKUP($A6,'Tracker Sheet'!$A$3:$BQ$40,5,FALSE),"")</f>
        <v>John Cousins</v>
      </c>
      <c r="F6" s="294">
        <v>42269</v>
      </c>
      <c r="G6" s="304">
        <f>IF(VLOOKUP($A6,'Tracker Sheet'!$A$3:$BQ$40,49,FALSE)&lt;&gt;"",VLOOKUP($A6,'Tracker Sheet'!$A$3:$BQ$40,49,FALSE),IF(VLOOKUP($A6,'Tracker Sheet'!$A$3:$BQ$40,48,FALSE)&lt;&gt;"",VLOOKUP($A6,'Tracker Sheet'!$A$3:$BQ$40,48,FALSE),IF(VLOOKUP($A6,'Tracker Sheet'!$A$3:$BQ$40,38,FALSE)&lt;&gt;"",VLOOKUP($A6,'Tracker Sheet'!$A$3:$BQ$40,38,FALSE),IF(VLOOKUP($A6,'Tracker Sheet'!$A$3:$BQ$40,37,FALSE)&lt;&gt;"",VLOOKUP($A6,'Tracker Sheet'!$A$3:$BQ$40,37,FALSE),IF(VLOOKUP($A6,'Tracker Sheet'!$A$3:$BQ$40,27,FALSE)&lt;&gt;"",VLOOKUP($A6,'Tracker Sheet'!$A$3:$BQ$40,27,FALSE),IF(VLOOKUP($A6,'Tracker Sheet'!$A$3:$BQ$40,40,FALSE)&lt;&gt;"",VLOOKUP($A6,'Tracker Sheet'!$A$3:$BQ$40,40,FALSE),IF(VLOOKUP($A6,'Tracker Sheet'!$A$3:$BQ$40,16,FALSE)&lt;&gt;"",VLOOKUP($A6,'Tracker Sheet'!$A$3:$BQ$40,16,FALSE),IF(VLOOKUP($A6,'Tracker Sheet'!$A$3:$BQ$40,15,FALSE)&lt;&gt;"",VLOOKUP($A6,'Tracker Sheet'!$A$3:$BQ$40,15,FALSE),""))))))))</f>
        <v>42870</v>
      </c>
      <c r="H6" s="304">
        <f t="shared" si="1"/>
        <v>42870</v>
      </c>
      <c r="I6" s="302">
        <f t="shared" si="2"/>
        <v>601</v>
      </c>
      <c r="J6" s="294">
        <v>42719</v>
      </c>
      <c r="K6" s="302">
        <f t="shared" si="3"/>
        <v>601</v>
      </c>
      <c r="L6" s="302" t="str">
        <f>VLOOKUP($A6,'Tracker Sheet'!$A$3:$CA$40,79,FALSE)</f>
        <v>Stage Gate 4</v>
      </c>
    </row>
    <row r="7" spans="1:12" ht="15.75" x14ac:dyDescent="0.25">
      <c r="A7" s="302" t="s">
        <v>365</v>
      </c>
      <c r="B7" s="301"/>
      <c r="C7" s="302" t="str">
        <f t="shared" si="0"/>
        <v>Griffith House Facade Repairs....</v>
      </c>
      <c r="D7" s="302" t="str">
        <f>VLOOKUP($A7,'Tracker Sheet'!$A$3:$BQ$40,3,FALSE)</f>
        <v>Griffith House Facade Repairs</v>
      </c>
      <c r="E7" s="302" t="str">
        <f>IFERROR(VLOOKUP($A7,'Tracker Sheet'!$A$3:$BQ$40,5,FALSE),"")</f>
        <v>John Cousins</v>
      </c>
      <c r="F7" s="294">
        <v>42689</v>
      </c>
      <c r="G7" s="304" t="str">
        <f>IF(VLOOKUP($A7,'Tracker Sheet'!$A$3:$BQ$40,49,FALSE)&lt;&gt;"",VLOOKUP($A7,'Tracker Sheet'!$A$3:$BQ$40,49,FALSE),IF(VLOOKUP($A7,'Tracker Sheet'!$A$3:$BQ$40,48,FALSE)&lt;&gt;"",VLOOKUP($A7,'Tracker Sheet'!$A$3:$BQ$40,48,FALSE),IF(VLOOKUP($A7,'Tracker Sheet'!$A$3:$BQ$40,38,FALSE)&lt;&gt;"",VLOOKUP($A7,'Tracker Sheet'!$A$3:$BQ$40,38,FALSE),IF(VLOOKUP($A7,'Tracker Sheet'!$A$3:$BQ$40,37,FALSE)&lt;&gt;"",VLOOKUP($A7,'Tracker Sheet'!$A$3:$BQ$40,37,FALSE),IF(VLOOKUP($A7,'Tracker Sheet'!$A$3:$BQ$40,27,FALSE)&lt;&gt;"",VLOOKUP($A7,'Tracker Sheet'!$A$3:$BQ$40,27,FALSE),IF(VLOOKUP($A7,'Tracker Sheet'!$A$3:$BQ$40,40,FALSE)&lt;&gt;"",VLOOKUP($A7,'Tracker Sheet'!$A$3:$BQ$40,40,FALSE),IF(VLOOKUP($A7,'Tracker Sheet'!$A$3:$BQ$40,16,FALSE)&lt;&gt;"",VLOOKUP($A7,'Tracker Sheet'!$A$3:$BQ$40,16,FALSE),IF(VLOOKUP($A7,'Tracker Sheet'!$A$3:$BQ$40,15,FALSE)&lt;&gt;"",VLOOKUP($A7,'Tracker Sheet'!$A$3:$BQ$40,15,FALSE),""))))))))</f>
        <v/>
      </c>
      <c r="H7" s="304" t="str">
        <f t="shared" si="1"/>
        <v/>
      </c>
      <c r="I7" s="302" t="e">
        <f t="shared" si="2"/>
        <v>#VALUE!</v>
      </c>
      <c r="J7" s="294">
        <v>42719</v>
      </c>
      <c r="K7" s="302" t="e">
        <f t="shared" si="3"/>
        <v>#VALUE!</v>
      </c>
      <c r="L7" s="302" t="str">
        <f>VLOOKUP($A7,'Tracker Sheet'!$A$3:$CA$40,79,FALSE)</f>
        <v>Stage Gate 1</v>
      </c>
    </row>
    <row r="8" spans="1:12" ht="15.75" x14ac:dyDescent="0.25">
      <c r="A8" s="302" t="s">
        <v>115</v>
      </c>
      <c r="B8" s="301" t="str">
        <f>IF(OR(E8="John Murphy",E8="John Cousins", E8="Helena Healy",E8="Martina Perkins"), E8, "Outside Consultant")</f>
        <v>John Murphy</v>
      </c>
      <c r="C8" s="302" t="str">
        <f t="shared" si="0"/>
        <v>Building Facades Risk Assessments (7 Building)....</v>
      </c>
      <c r="D8" s="302" t="str">
        <f>VLOOKUP($A8,'Tracker Sheet'!$A$3:$BQ$40,3,FALSE)</f>
        <v>Building Facades Risk Assessments (7 Building)</v>
      </c>
      <c r="E8" s="302" t="str">
        <f>IFERROR(VLOOKUP($A8,'Tracker Sheet'!$A$3:$BQ$40,5,FALSE),"")</f>
        <v>John Murphy</v>
      </c>
      <c r="F8" s="294">
        <v>42571</v>
      </c>
      <c r="G8" s="304">
        <f>IF(VLOOKUP($A8,'Tracker Sheet'!$A$3:$BQ$40,49,FALSE)&lt;&gt;"",VLOOKUP($A8,'Tracker Sheet'!$A$3:$BQ$40,49,FALSE),IF(VLOOKUP($A8,'Tracker Sheet'!$A$3:$BQ$40,48,FALSE)&lt;&gt;"",VLOOKUP($A8,'Tracker Sheet'!$A$3:$BQ$40,48,FALSE),IF(VLOOKUP($A8,'Tracker Sheet'!$A$3:$BQ$40,38,FALSE)&lt;&gt;"",VLOOKUP($A8,'Tracker Sheet'!$A$3:$BQ$40,38,FALSE),IF(VLOOKUP($A8,'Tracker Sheet'!$A$3:$BQ$40,37,FALSE)&lt;&gt;"",VLOOKUP($A8,'Tracker Sheet'!$A$3:$BQ$40,37,FALSE),IF(VLOOKUP($A8,'Tracker Sheet'!$A$3:$BQ$40,27,FALSE)&lt;&gt;"",VLOOKUP($A8,'Tracker Sheet'!$A$3:$BQ$40,27,FALSE),IF(VLOOKUP($A8,'Tracker Sheet'!$A$3:$BQ$40,40,FALSE)&lt;&gt;"",VLOOKUP($A8,'Tracker Sheet'!$A$3:$BQ$40,40,FALSE),IF(VLOOKUP($A8,'Tracker Sheet'!$A$3:$BQ$40,16,FALSE)&lt;&gt;"",VLOOKUP($A8,'Tracker Sheet'!$A$3:$BQ$40,16,FALSE),IF(VLOOKUP($A8,'Tracker Sheet'!$A$3:$BQ$40,15,FALSE)&lt;&gt;"",VLOOKUP($A8,'Tracker Sheet'!$A$3:$BQ$40,15,FALSE),""))))))))</f>
        <v>42908</v>
      </c>
      <c r="H8" s="304">
        <f t="shared" si="1"/>
        <v>42908</v>
      </c>
      <c r="I8" s="302">
        <f t="shared" si="2"/>
        <v>337</v>
      </c>
      <c r="J8" s="294">
        <v>42719</v>
      </c>
      <c r="K8" s="302">
        <f t="shared" si="3"/>
        <v>337</v>
      </c>
      <c r="L8" s="302" t="str">
        <f>VLOOKUP($A8,'Tracker Sheet'!$A$3:$CA$40,79,FALSE)</f>
        <v>Stage Gate 4</v>
      </c>
    </row>
    <row r="9" spans="1:12" ht="15.75" x14ac:dyDescent="0.25">
      <c r="A9" s="302" t="s">
        <v>134</v>
      </c>
      <c r="B9" s="301"/>
      <c r="C9" s="302" t="str">
        <f t="shared" si="0"/>
        <v>200 BPR Toilet Refurbishment....</v>
      </c>
      <c r="D9" s="302" t="str">
        <f>VLOOKUP($A9,'Tracker Sheet'!$A$3:$BQ$40,3,FALSE)</f>
        <v>200 BPR Toilet Refurbishment</v>
      </c>
      <c r="E9" s="302" t="str">
        <f>IFERROR(VLOOKUP($A9,'Tracker Sheet'!$A$3:$BQ$40,5,FALSE),"")</f>
        <v>John Murphy</v>
      </c>
      <c r="F9" s="294">
        <v>42305</v>
      </c>
      <c r="G9" s="304">
        <f>IF(VLOOKUP($A9,'Tracker Sheet'!$A$3:$BQ$40,49,FALSE)&lt;&gt;"",VLOOKUP($A9,'Tracker Sheet'!$A$3:$BQ$40,49,FALSE),IF(VLOOKUP($A9,'Tracker Sheet'!$A$3:$BQ$40,48,FALSE)&lt;&gt;"",VLOOKUP($A9,'Tracker Sheet'!$A$3:$BQ$40,48,FALSE),IF(VLOOKUP($A9,'Tracker Sheet'!$A$3:$BQ$40,38,FALSE)&lt;&gt;"",VLOOKUP($A9,'Tracker Sheet'!$A$3:$BQ$40,38,FALSE),IF(VLOOKUP($A9,'Tracker Sheet'!$A$3:$BQ$40,37,FALSE)&lt;&gt;"",VLOOKUP($A9,'Tracker Sheet'!$A$3:$BQ$40,37,FALSE),IF(VLOOKUP($A9,'Tracker Sheet'!$A$3:$BQ$40,27,FALSE)&lt;&gt;"",VLOOKUP($A9,'Tracker Sheet'!$A$3:$BQ$40,27,FALSE),IF(VLOOKUP($A9,'Tracker Sheet'!$A$3:$BQ$40,40,FALSE)&lt;&gt;"",VLOOKUP($A9,'Tracker Sheet'!$A$3:$BQ$40,40,FALSE),IF(VLOOKUP($A9,'Tracker Sheet'!$A$3:$BQ$40,16,FALSE)&lt;&gt;"",VLOOKUP($A9,'Tracker Sheet'!$A$3:$BQ$40,16,FALSE),IF(VLOOKUP($A9,'Tracker Sheet'!$A$3:$BQ$40,15,FALSE)&lt;&gt;"",VLOOKUP($A9,'Tracker Sheet'!$A$3:$BQ$40,15,FALSE),""))))))))</f>
        <v>42650</v>
      </c>
      <c r="H9" s="304">
        <f t="shared" si="1"/>
        <v>42650</v>
      </c>
      <c r="I9" s="302">
        <f t="shared" si="2"/>
        <v>345</v>
      </c>
      <c r="J9" s="294">
        <v>42719</v>
      </c>
      <c r="K9" s="302">
        <f t="shared" si="3"/>
        <v>345</v>
      </c>
      <c r="L9" s="302" t="str">
        <f>VLOOKUP($A9,'Tracker Sheet'!$A$3:$CA$40,79,FALSE)</f>
        <v>Stage Gate 2</v>
      </c>
    </row>
    <row r="10" spans="1:12" ht="15.75" x14ac:dyDescent="0.25">
      <c r="A10" s="302" t="s">
        <v>150</v>
      </c>
      <c r="B10" s="301"/>
      <c r="C10" s="302" t="str">
        <f t="shared" si="0"/>
        <v>Templar House Boiler Replacement....</v>
      </c>
      <c r="D10" s="302" t="str">
        <f>VLOOKUP($A10,'Tracker Sheet'!$A$3:$BQ$40,3,FALSE)</f>
        <v>Templar House Boiler Replacement</v>
      </c>
      <c r="E10" s="302" t="str">
        <f>IFERROR(VLOOKUP($A10,'Tracker Sheet'!$A$3:$BQ$40,5,FALSE),"")</f>
        <v>John Murphy</v>
      </c>
      <c r="F10" s="294">
        <v>42199</v>
      </c>
      <c r="G10" s="304">
        <f>IF(VLOOKUP($A10,'Tracker Sheet'!$A$3:$BQ$40,49,FALSE)&lt;&gt;"",VLOOKUP($A10,'Tracker Sheet'!$A$3:$BQ$40,49,FALSE),IF(VLOOKUP($A10,'Tracker Sheet'!$A$3:$BQ$40,48,FALSE)&lt;&gt;"",VLOOKUP($A10,'Tracker Sheet'!$A$3:$BQ$40,48,FALSE),IF(VLOOKUP($A10,'Tracker Sheet'!$A$3:$BQ$40,38,FALSE)&lt;&gt;"",VLOOKUP($A10,'Tracker Sheet'!$A$3:$BQ$40,38,FALSE),IF(VLOOKUP($A10,'Tracker Sheet'!$A$3:$BQ$40,37,FALSE)&lt;&gt;"",VLOOKUP($A10,'Tracker Sheet'!$A$3:$BQ$40,37,FALSE),IF(VLOOKUP($A10,'Tracker Sheet'!$A$3:$BQ$40,27,FALSE)&lt;&gt;"",VLOOKUP($A10,'Tracker Sheet'!$A$3:$BQ$40,27,FALSE),IF(VLOOKUP($A10,'Tracker Sheet'!$A$3:$BQ$40,40,FALSE)&lt;&gt;"",VLOOKUP($A10,'Tracker Sheet'!$A$3:$BQ$40,40,FALSE),IF(VLOOKUP($A10,'Tracker Sheet'!$A$3:$BQ$40,16,FALSE)&lt;&gt;"",VLOOKUP($A10,'Tracker Sheet'!$A$3:$BQ$40,16,FALSE),IF(VLOOKUP($A10,'Tracker Sheet'!$A$3:$BQ$40,15,FALSE)&lt;&gt;"",VLOOKUP($A10,'Tracker Sheet'!$A$3:$BQ$40,15,FALSE),""))))))))</f>
        <v>42716</v>
      </c>
      <c r="H10" s="304">
        <f t="shared" si="1"/>
        <v>42716</v>
      </c>
      <c r="I10" s="302">
        <f t="shared" si="2"/>
        <v>517</v>
      </c>
      <c r="J10" s="294">
        <v>42719</v>
      </c>
      <c r="K10" s="302">
        <f t="shared" si="3"/>
        <v>517</v>
      </c>
      <c r="L10" s="302" t="str">
        <f>VLOOKUP($A10,'Tracker Sheet'!$A$3:$CA$40,79,FALSE)</f>
        <v>Stage Gate 5</v>
      </c>
    </row>
    <row r="11" spans="1:12" ht="15.75" x14ac:dyDescent="0.25">
      <c r="A11" s="302" t="s">
        <v>158</v>
      </c>
      <c r="B11" s="301"/>
      <c r="C11" s="302" t="str">
        <f t="shared" si="0"/>
        <v>172 BPR 5th Floor Power....</v>
      </c>
      <c r="D11" s="302" t="str">
        <f>VLOOKUP($A11,'Tracker Sheet'!$A$3:$BQ$40,3,FALSE)</f>
        <v>172 BPR 5th Floor Power</v>
      </c>
      <c r="E11" s="302" t="str">
        <f>IFERROR(VLOOKUP($A11,'Tracker Sheet'!$A$3:$BQ$40,5,FALSE),"")</f>
        <v>John Murphy</v>
      </c>
      <c r="F11" s="294">
        <v>42571</v>
      </c>
      <c r="G11" s="304">
        <f>IF(VLOOKUP($A11,'Tracker Sheet'!$A$3:$BQ$40,49,FALSE)&lt;&gt;"",VLOOKUP($A11,'Tracker Sheet'!$A$3:$BQ$40,49,FALSE),IF(VLOOKUP($A11,'Tracker Sheet'!$A$3:$BQ$40,48,FALSE)&lt;&gt;"",VLOOKUP($A11,'Tracker Sheet'!$A$3:$BQ$40,48,FALSE),IF(VLOOKUP($A11,'Tracker Sheet'!$A$3:$BQ$40,38,FALSE)&lt;&gt;"",VLOOKUP($A11,'Tracker Sheet'!$A$3:$BQ$40,38,FALSE),IF(VLOOKUP($A11,'Tracker Sheet'!$A$3:$BQ$40,37,FALSE)&lt;&gt;"",VLOOKUP($A11,'Tracker Sheet'!$A$3:$BQ$40,37,FALSE),IF(VLOOKUP($A11,'Tracker Sheet'!$A$3:$BQ$40,27,FALSE)&lt;&gt;"",VLOOKUP($A11,'Tracker Sheet'!$A$3:$BQ$40,27,FALSE),IF(VLOOKUP($A11,'Tracker Sheet'!$A$3:$BQ$40,40,FALSE)&lt;&gt;"",VLOOKUP($A11,'Tracker Sheet'!$A$3:$BQ$40,40,FALSE),IF(VLOOKUP($A11,'Tracker Sheet'!$A$3:$BQ$40,16,FALSE)&lt;&gt;"",VLOOKUP($A11,'Tracker Sheet'!$A$3:$BQ$40,16,FALSE),IF(VLOOKUP($A11,'Tracker Sheet'!$A$3:$BQ$40,15,FALSE)&lt;&gt;"",VLOOKUP($A11,'Tracker Sheet'!$A$3:$BQ$40,15,FALSE),""))))))))</f>
        <v>42705</v>
      </c>
      <c r="H11" s="304">
        <f t="shared" si="1"/>
        <v>42705</v>
      </c>
      <c r="I11" s="302">
        <f t="shared" si="2"/>
        <v>134</v>
      </c>
      <c r="J11" s="294">
        <v>42719</v>
      </c>
      <c r="K11" s="302">
        <f t="shared" si="3"/>
        <v>134</v>
      </c>
      <c r="L11" s="302" t="str">
        <f>VLOOKUP($A11,'Tracker Sheet'!$A$3:$CA$40,79,FALSE)</f>
        <v>Stage Gate 5</v>
      </c>
    </row>
    <row r="12" spans="1:12" ht="15.75" x14ac:dyDescent="0.25">
      <c r="A12" s="302" t="s">
        <v>320</v>
      </c>
      <c r="B12" s="301" t="str">
        <f>IF(OR(E12="John Murphy",E12="John Cousins", E12="Helena Healy",E12="Martina Perkins"), E12, "Outside Consultant")</f>
        <v>Martina Perkins</v>
      </c>
      <c r="C12" s="302" t="str">
        <f t="shared" si="0"/>
        <v>New Meeting Rooms for Steve Burton EOS Director ....</v>
      </c>
      <c r="D12" s="302" t="str">
        <f>VLOOKUP($A12,'Tracker Sheet'!$A$3:$BQ$40,3,FALSE)</f>
        <v xml:space="preserve">New Meeting Rooms for Steve Burton EOS Director </v>
      </c>
      <c r="E12" s="302" t="str">
        <f>IFERROR(VLOOKUP($A12,'Tracker Sheet'!$A$3:$BQ$40,5,FALSE),"")</f>
        <v>Martina Perkins</v>
      </c>
      <c r="F12" s="294">
        <v>42478</v>
      </c>
      <c r="G12" s="304">
        <f>IF(VLOOKUP($A12,'Tracker Sheet'!$A$3:$BQ$40,49,FALSE)&lt;&gt;"",VLOOKUP($A12,'Tracker Sheet'!$A$3:$BQ$40,49,FALSE),IF(VLOOKUP($A12,'Tracker Sheet'!$A$3:$BQ$40,48,FALSE)&lt;&gt;"",VLOOKUP($A12,'Tracker Sheet'!$A$3:$BQ$40,48,FALSE),IF(VLOOKUP($A12,'Tracker Sheet'!$A$3:$BQ$40,38,FALSE)&lt;&gt;"",VLOOKUP($A12,'Tracker Sheet'!$A$3:$BQ$40,38,FALSE),IF(VLOOKUP($A12,'Tracker Sheet'!$A$3:$BQ$40,37,FALSE)&lt;&gt;"",VLOOKUP($A12,'Tracker Sheet'!$A$3:$BQ$40,37,FALSE),IF(VLOOKUP($A12,'Tracker Sheet'!$A$3:$BQ$40,27,FALSE)&lt;&gt;"",VLOOKUP($A12,'Tracker Sheet'!$A$3:$BQ$40,27,FALSE),IF(VLOOKUP($A12,'Tracker Sheet'!$A$3:$BQ$40,40,FALSE)&lt;&gt;"",VLOOKUP($A12,'Tracker Sheet'!$A$3:$BQ$40,40,FALSE),IF(VLOOKUP($A12,'Tracker Sheet'!$A$3:$BQ$40,16,FALSE)&lt;&gt;"",VLOOKUP($A12,'Tracker Sheet'!$A$3:$BQ$40,16,FALSE),IF(VLOOKUP($A12,'Tracker Sheet'!$A$3:$BQ$40,15,FALSE)&lt;&gt;"",VLOOKUP($A12,'Tracker Sheet'!$A$3:$BQ$40,15,FALSE),""))))))))</f>
        <v>42711</v>
      </c>
      <c r="H12" s="304">
        <f t="shared" si="1"/>
        <v>42711</v>
      </c>
      <c r="I12" s="302">
        <f t="shared" si="2"/>
        <v>233</v>
      </c>
      <c r="J12" s="294">
        <v>42719</v>
      </c>
      <c r="K12" s="302">
        <f t="shared" si="3"/>
        <v>233</v>
      </c>
      <c r="L12" s="302" t="str">
        <f>VLOOKUP($A12,'Tracker Sheet'!$A$3:$CA$40,79,FALSE)</f>
        <v>Stage Gate 5</v>
      </c>
    </row>
    <row r="13" spans="1:12" s="332" customFormat="1" ht="15.75" x14ac:dyDescent="0.25">
      <c r="A13" s="302" t="s">
        <v>670</v>
      </c>
      <c r="B13" s="301"/>
      <c r="C13" s="302" t="str">
        <f t="shared" ref="C13" si="4">IF(D13="","",CONCATENATE(LEFT(D13,54),"...."))</f>
        <v>Bringing Back to use Staircase/chained door leading to....</v>
      </c>
      <c r="D13" s="302" t="str">
        <f>VLOOKUP($A13,'Tracker Sheet'!$A$3:$BQ$40,3,FALSE)</f>
        <v>Bringing Back to use Staircase/chained door leading to the track</v>
      </c>
      <c r="E13" s="302" t="str">
        <f>IFERROR(VLOOKUP($A13,'Tracker Sheet'!$A$3:$BQ$40,5,FALSE),"")</f>
        <v>Martina Perkins</v>
      </c>
      <c r="F13" s="294">
        <v>42689</v>
      </c>
      <c r="G13" s="304">
        <f>IF(VLOOKUP($A13,'Tracker Sheet'!$A$3:$BQ$40,49,FALSE)&lt;&gt;"",VLOOKUP($A13,'Tracker Sheet'!$A$3:$BQ$40,49,FALSE),IF(VLOOKUP($A13,'Tracker Sheet'!$A$3:$BQ$40,48,FALSE)&lt;&gt;"",VLOOKUP($A13,'Tracker Sheet'!$A$3:$BQ$40,48,FALSE),IF(VLOOKUP($A13,'Tracker Sheet'!$A$3:$BQ$40,38,FALSE)&lt;&gt;"",VLOOKUP($A13,'Tracker Sheet'!$A$3:$BQ$40,38,FALSE),IF(VLOOKUP($A13,'Tracker Sheet'!$A$3:$BQ$40,37,FALSE)&lt;&gt;"",VLOOKUP($A13,'Tracker Sheet'!$A$3:$BQ$40,37,FALSE),IF(VLOOKUP($A13,'Tracker Sheet'!$A$3:$BQ$40,27,FALSE)&lt;&gt;"",VLOOKUP($A13,'Tracker Sheet'!$A$3:$BQ$40,27,FALSE),IF(VLOOKUP($A13,'Tracker Sheet'!$A$3:$BQ$40,40,FALSE)&lt;&gt;"",VLOOKUP($A13,'Tracker Sheet'!$A$3:$BQ$40,40,FALSE),IF(VLOOKUP($A13,'Tracker Sheet'!$A$3:$BQ$40,16,FALSE)&lt;&gt;"",VLOOKUP($A13,'Tracker Sheet'!$A$3:$BQ$40,16,FALSE),IF(VLOOKUP($A13,'Tracker Sheet'!$A$3:$BQ$40,15,FALSE)&lt;&gt;"",VLOOKUP($A13,'Tracker Sheet'!$A$3:$BQ$40,15,FALSE),""))))))))</f>
        <v>42828</v>
      </c>
      <c r="H13" s="304">
        <f t="shared" ref="H13" si="5">IF(G13=0/1/1900,"",G13)</f>
        <v>42828</v>
      </c>
      <c r="I13" s="302">
        <f t="shared" ref="I13" si="6">IF(K13&gt;=0,K13,0)</f>
        <v>139</v>
      </c>
      <c r="J13" s="294">
        <v>42719</v>
      </c>
      <c r="K13" s="302">
        <f t="shared" ref="K13" si="7">SUM(G13-F13)</f>
        <v>139</v>
      </c>
      <c r="L13" s="302" t="str">
        <f>VLOOKUP($A13,'Tracker Sheet'!$A$3:$CA$40,79,FALSE)</f>
        <v>Stage Gate 5</v>
      </c>
    </row>
    <row r="14" spans="1:12" ht="15.75" x14ac:dyDescent="0.25">
      <c r="A14" s="302" t="s">
        <v>331</v>
      </c>
      <c r="B14" s="301"/>
      <c r="C14" s="302" t="str">
        <f t="shared" si="0"/>
        <v>2nd Floor Kitchen area Palestra....</v>
      </c>
      <c r="D14" s="302" t="str">
        <f>VLOOKUP($A14,'Tracker Sheet'!$A$3:$BQ$40,3,FALSE)</f>
        <v>2nd Floor Kitchen area Palestra</v>
      </c>
      <c r="E14" s="302" t="str">
        <f>IFERROR(VLOOKUP($A14,'Tracker Sheet'!$A$3:$BQ$40,5,FALSE),"")</f>
        <v>Martina Perkins</v>
      </c>
      <c r="F14" s="294">
        <v>42576</v>
      </c>
      <c r="G14" s="304">
        <f>IF(VLOOKUP($A14,'Tracker Sheet'!$A$3:$BQ$40,49,FALSE)&lt;&gt;"",VLOOKUP($A14,'Tracker Sheet'!$A$3:$BQ$40,49,FALSE),IF(VLOOKUP($A14,'Tracker Sheet'!$A$3:$BQ$40,48,FALSE)&lt;&gt;"",VLOOKUP($A14,'Tracker Sheet'!$A$3:$BQ$40,48,FALSE),IF(VLOOKUP($A14,'Tracker Sheet'!$A$3:$BQ$40,38,FALSE)&lt;&gt;"",VLOOKUP($A14,'Tracker Sheet'!$A$3:$BQ$40,38,FALSE),IF(VLOOKUP($A14,'Tracker Sheet'!$A$3:$BQ$40,37,FALSE)&lt;&gt;"",VLOOKUP($A14,'Tracker Sheet'!$A$3:$BQ$40,37,FALSE),IF(VLOOKUP($A14,'Tracker Sheet'!$A$3:$BQ$40,27,FALSE)&lt;&gt;"",VLOOKUP($A14,'Tracker Sheet'!$A$3:$BQ$40,27,FALSE),IF(VLOOKUP($A14,'Tracker Sheet'!$A$3:$BQ$40,40,FALSE)&lt;&gt;"",VLOOKUP($A14,'Tracker Sheet'!$A$3:$BQ$40,40,FALSE),IF(VLOOKUP($A14,'Tracker Sheet'!$A$3:$BQ$40,16,FALSE)&lt;&gt;"",VLOOKUP($A14,'Tracker Sheet'!$A$3:$BQ$40,16,FALSE),IF(VLOOKUP($A14,'Tracker Sheet'!$A$3:$BQ$40,15,FALSE)&lt;&gt;"",VLOOKUP($A14,'Tracker Sheet'!$A$3:$BQ$40,15,FALSE),""))))))))</f>
        <v>42779</v>
      </c>
      <c r="H14" s="304">
        <f t="shared" si="1"/>
        <v>42779</v>
      </c>
      <c r="I14" s="302">
        <f t="shared" si="2"/>
        <v>203</v>
      </c>
      <c r="J14" s="294">
        <v>42719</v>
      </c>
      <c r="K14" s="302">
        <f t="shared" si="3"/>
        <v>203</v>
      </c>
      <c r="L14" s="302" t="str">
        <f>VLOOKUP($A14,'Tracker Sheet'!$A$3:$CA$40,79,FALSE)</f>
        <v>Stage Gate 5</v>
      </c>
    </row>
    <row r="15" spans="1:12" ht="15.75" x14ac:dyDescent="0.25">
      <c r="A15" s="302" t="s">
        <v>121</v>
      </c>
      <c r="B15" s="301" t="str">
        <f>IF(OR(E15="John Murphy",E15="John Cousins", E15="Helena Healy",E15="Martina Perkins"), E15, "Outside Consultant")</f>
        <v>Outside Consultant</v>
      </c>
      <c r="C15" s="302" t="str">
        <f t="shared" si="0"/>
        <v>Albany House - Plant Optimisation....</v>
      </c>
      <c r="D15" s="302" t="str">
        <f>VLOOKUP($A15,'Tracker Sheet'!$A$3:$BQ$40,3,FALSE)</f>
        <v>Albany House - Plant Optimisation</v>
      </c>
      <c r="E15" s="302" t="str">
        <f>IFERROR(VLOOKUP($A15,'Tracker Sheet'!$A$3:$BQ$40,5,FALSE),"")</f>
        <v>Jerry Young</v>
      </c>
      <c r="F15" s="294">
        <v>40938</v>
      </c>
      <c r="G15" s="304">
        <f>IF(VLOOKUP($A15,'Tracker Sheet'!$A$3:$BQ$40,49,FALSE)&lt;&gt;"",VLOOKUP($A15,'Tracker Sheet'!$A$3:$BQ$40,49,FALSE),IF(VLOOKUP($A15,'Tracker Sheet'!$A$3:$BQ$40,48,FALSE)&lt;&gt;"",VLOOKUP($A15,'Tracker Sheet'!$A$3:$BQ$40,48,FALSE),IF(VLOOKUP($A15,'Tracker Sheet'!$A$3:$BQ$40,38,FALSE)&lt;&gt;"",VLOOKUP($A15,'Tracker Sheet'!$A$3:$BQ$40,38,FALSE),IF(VLOOKUP($A15,'Tracker Sheet'!$A$3:$BQ$40,37,FALSE)&lt;&gt;"",VLOOKUP($A15,'Tracker Sheet'!$A$3:$BQ$40,37,FALSE),IF(VLOOKUP($A15,'Tracker Sheet'!$A$3:$BQ$40,27,FALSE)&lt;&gt;"",VLOOKUP($A15,'Tracker Sheet'!$A$3:$BQ$40,27,FALSE),IF(VLOOKUP($A15,'Tracker Sheet'!$A$3:$BQ$40,40,FALSE)&lt;&gt;"",VLOOKUP($A15,'Tracker Sheet'!$A$3:$BQ$40,40,FALSE),IF(VLOOKUP($A15,'Tracker Sheet'!$A$3:$BQ$40,16,FALSE)&lt;&gt;"",VLOOKUP($A15,'Tracker Sheet'!$A$3:$BQ$40,16,FALSE),IF(VLOOKUP($A15,'Tracker Sheet'!$A$3:$BQ$40,15,FALSE)&lt;&gt;"",VLOOKUP($A15,'Tracker Sheet'!$A$3:$BQ$40,15,FALSE),""))))))))</f>
        <v>42783</v>
      </c>
      <c r="H15" s="304">
        <f t="shared" si="1"/>
        <v>42783</v>
      </c>
      <c r="I15" s="302">
        <f t="shared" si="2"/>
        <v>1845</v>
      </c>
      <c r="J15" s="294">
        <v>42719</v>
      </c>
      <c r="K15" s="302">
        <f t="shared" si="3"/>
        <v>1845</v>
      </c>
      <c r="L15" s="302" t="str">
        <f>VLOOKUP($A15,'Tracker Sheet'!$A$3:$CA$40,79,FALSE)</f>
        <v>Stage Gate 5</v>
      </c>
    </row>
    <row r="16" spans="1:12" ht="15.75" x14ac:dyDescent="0.25">
      <c r="A16" s="302" t="s">
        <v>128</v>
      </c>
      <c r="B16" s="301"/>
      <c r="C16" s="302" t="str">
        <f t="shared" si="0"/>
        <v>Baker Street Complex - Fire Compliance - Fire Alarms n....</v>
      </c>
      <c r="D16" s="302" t="str">
        <f>VLOOKUP($A16,'Tracker Sheet'!$A$3:$BQ$40,3,FALSE)</f>
        <v>Baker Street Complex - Fire Compliance - Fire Alarms no MICC</v>
      </c>
      <c r="E16" s="302" t="str">
        <f>IFERROR(VLOOKUP($A16,'Tracker Sheet'!$A$3:$BQ$40,5,FALSE),"")</f>
        <v>Jerry Young</v>
      </c>
      <c r="F16" s="294">
        <v>41183</v>
      </c>
      <c r="G16" s="304">
        <f>IF(VLOOKUP($A16,'Tracker Sheet'!$A$3:$BQ$40,49,FALSE)&lt;&gt;"",VLOOKUP($A16,'Tracker Sheet'!$A$3:$BQ$40,49,FALSE),IF(VLOOKUP($A16,'Tracker Sheet'!$A$3:$BQ$40,48,FALSE)&lt;&gt;"",VLOOKUP($A16,'Tracker Sheet'!$A$3:$BQ$40,48,FALSE),IF(VLOOKUP($A16,'Tracker Sheet'!$A$3:$BQ$40,38,FALSE)&lt;&gt;"",VLOOKUP($A16,'Tracker Sheet'!$A$3:$BQ$40,38,FALSE),IF(VLOOKUP($A16,'Tracker Sheet'!$A$3:$BQ$40,37,FALSE)&lt;&gt;"",VLOOKUP($A16,'Tracker Sheet'!$A$3:$BQ$40,37,FALSE),IF(VLOOKUP($A16,'Tracker Sheet'!$A$3:$BQ$40,27,FALSE)&lt;&gt;"",VLOOKUP($A16,'Tracker Sheet'!$A$3:$BQ$40,27,FALSE),IF(VLOOKUP($A16,'Tracker Sheet'!$A$3:$BQ$40,40,FALSE)&lt;&gt;"",VLOOKUP($A16,'Tracker Sheet'!$A$3:$BQ$40,40,FALSE),IF(VLOOKUP($A16,'Tracker Sheet'!$A$3:$BQ$40,16,FALSE)&lt;&gt;"",VLOOKUP($A16,'Tracker Sheet'!$A$3:$BQ$40,16,FALSE),IF(VLOOKUP($A16,'Tracker Sheet'!$A$3:$BQ$40,15,FALSE)&lt;&gt;"",VLOOKUP($A16,'Tracker Sheet'!$A$3:$BQ$40,15,FALSE),""))))))))</f>
        <v>42855</v>
      </c>
      <c r="H16" s="304">
        <f t="shared" si="1"/>
        <v>42855</v>
      </c>
      <c r="I16" s="302">
        <f t="shared" si="2"/>
        <v>1672</v>
      </c>
      <c r="J16" s="294">
        <v>42719</v>
      </c>
      <c r="K16" s="302">
        <f t="shared" si="3"/>
        <v>1672</v>
      </c>
      <c r="L16" s="302" t="str">
        <f>VLOOKUP($A16,'Tracker Sheet'!$A$3:$CA$40,79,FALSE)</f>
        <v>Stage Gate 5</v>
      </c>
    </row>
    <row r="17" spans="1:12" ht="15.75" x14ac:dyDescent="0.25">
      <c r="A17" s="302" t="s">
        <v>156</v>
      </c>
      <c r="B17" s="301"/>
      <c r="C17" s="302" t="str">
        <f t="shared" si="0"/>
        <v>172 BPR LV Infrastructure Upgrade....</v>
      </c>
      <c r="D17" s="302" t="str">
        <f>VLOOKUP($A17,'Tracker Sheet'!$A$3:$BQ$40,3,FALSE)</f>
        <v>172 BPR LV Infrastructure Upgrade</v>
      </c>
      <c r="E17" s="302" t="str">
        <f>IFERROR(VLOOKUP($A17,'Tracker Sheet'!$A$3:$BQ$40,5,FALSE),"")</f>
        <v>Laurie Morely</v>
      </c>
      <c r="F17" s="294">
        <v>42355</v>
      </c>
      <c r="G17" s="304">
        <f>IF(VLOOKUP($A17,'Tracker Sheet'!$A$3:$BQ$40,49,FALSE)&lt;&gt;"",VLOOKUP($A17,'Tracker Sheet'!$A$3:$BQ$40,49,FALSE),IF(VLOOKUP($A17,'Tracker Sheet'!$A$3:$BQ$40,48,FALSE)&lt;&gt;"",VLOOKUP($A17,'Tracker Sheet'!$A$3:$BQ$40,48,FALSE),IF(VLOOKUP($A17,'Tracker Sheet'!$A$3:$BQ$40,38,FALSE)&lt;&gt;"",VLOOKUP($A17,'Tracker Sheet'!$A$3:$BQ$40,38,FALSE),IF(VLOOKUP($A17,'Tracker Sheet'!$A$3:$BQ$40,37,FALSE)&lt;&gt;"",VLOOKUP($A17,'Tracker Sheet'!$A$3:$BQ$40,37,FALSE),IF(VLOOKUP($A17,'Tracker Sheet'!$A$3:$BQ$40,27,FALSE)&lt;&gt;"",VLOOKUP($A17,'Tracker Sheet'!$A$3:$BQ$40,27,FALSE),IF(VLOOKUP($A17,'Tracker Sheet'!$A$3:$BQ$40,40,FALSE)&lt;&gt;"",VLOOKUP($A17,'Tracker Sheet'!$A$3:$BQ$40,40,FALSE),IF(VLOOKUP($A17,'Tracker Sheet'!$A$3:$BQ$40,16,FALSE)&lt;&gt;"",VLOOKUP($A17,'Tracker Sheet'!$A$3:$BQ$40,16,FALSE),IF(VLOOKUP($A17,'Tracker Sheet'!$A$3:$BQ$40,15,FALSE)&lt;&gt;"",VLOOKUP($A17,'Tracker Sheet'!$A$3:$BQ$40,15,FALSE),""))))))))</f>
        <v>42727</v>
      </c>
      <c r="H17" s="304">
        <f t="shared" si="1"/>
        <v>42727</v>
      </c>
      <c r="I17" s="302">
        <f t="shared" si="2"/>
        <v>372</v>
      </c>
      <c r="J17" s="294">
        <v>42719</v>
      </c>
      <c r="K17" s="302">
        <f t="shared" si="3"/>
        <v>372</v>
      </c>
      <c r="L17" s="302" t="str">
        <f>VLOOKUP($A17,'Tracker Sheet'!$A$3:$CA$40,79,FALSE)</f>
        <v>Stage Gate 4</v>
      </c>
    </row>
    <row r="18" spans="1:12" ht="15.75" x14ac:dyDescent="0.25">
      <c r="A18" s="302" t="s">
        <v>318</v>
      </c>
      <c r="B18" s="301"/>
      <c r="C18" s="302" t="str">
        <f t="shared" si="0"/>
        <v>200 BPR New Kitchens 4th,5th and 6th Floors....</v>
      </c>
      <c r="D18" s="302" t="str">
        <f>VLOOKUP($A18,'Tracker Sheet'!$A$3:$BQ$40,3,FALSE)</f>
        <v>200 BPR New Kitchens 4th,5th and 6th Floors</v>
      </c>
      <c r="E18" s="302" t="str">
        <f>IFERROR(VLOOKUP($A18,'Tracker Sheet'!$A$3:$BQ$40,5,FALSE),"")</f>
        <v>Alan Crossan</v>
      </c>
      <c r="F18" s="294">
        <v>42398</v>
      </c>
      <c r="G18" s="304">
        <f>IF(VLOOKUP($A18,'Tracker Sheet'!$A$3:$BQ$40,49,FALSE)&lt;&gt;"",VLOOKUP($A18,'Tracker Sheet'!$A$3:$BQ$40,49,FALSE),IF(VLOOKUP($A18,'Tracker Sheet'!$A$3:$BQ$40,48,FALSE)&lt;&gt;"",VLOOKUP($A18,'Tracker Sheet'!$A$3:$BQ$40,48,FALSE),IF(VLOOKUP($A18,'Tracker Sheet'!$A$3:$BQ$40,38,FALSE)&lt;&gt;"",VLOOKUP($A18,'Tracker Sheet'!$A$3:$BQ$40,38,FALSE),IF(VLOOKUP($A18,'Tracker Sheet'!$A$3:$BQ$40,37,FALSE)&lt;&gt;"",VLOOKUP($A18,'Tracker Sheet'!$A$3:$BQ$40,37,FALSE),IF(VLOOKUP($A18,'Tracker Sheet'!$A$3:$BQ$40,27,FALSE)&lt;&gt;"",VLOOKUP($A18,'Tracker Sheet'!$A$3:$BQ$40,27,FALSE),IF(VLOOKUP($A18,'Tracker Sheet'!$A$3:$BQ$40,40,FALSE)&lt;&gt;"",VLOOKUP($A18,'Tracker Sheet'!$A$3:$BQ$40,40,FALSE),IF(VLOOKUP($A18,'Tracker Sheet'!$A$3:$BQ$40,16,FALSE)&lt;&gt;"",VLOOKUP($A18,'Tracker Sheet'!$A$3:$BQ$40,16,FALSE),IF(VLOOKUP($A18,'Tracker Sheet'!$A$3:$BQ$40,15,FALSE)&lt;&gt;"",VLOOKUP($A18,'Tracker Sheet'!$A$3:$BQ$40,15,FALSE),""))))))))</f>
        <v>42709</v>
      </c>
      <c r="H18" s="304">
        <f t="shared" si="1"/>
        <v>42709</v>
      </c>
      <c r="I18" s="302">
        <f t="shared" si="2"/>
        <v>311</v>
      </c>
      <c r="J18" s="294">
        <v>42719</v>
      </c>
      <c r="K18" s="302">
        <f t="shared" si="3"/>
        <v>311</v>
      </c>
      <c r="L18" s="302" t="str">
        <f>VLOOKUP($A18,'Tracker Sheet'!$A$3:$CA$40,79,FALSE)</f>
        <v>Stage Gate 5</v>
      </c>
    </row>
    <row r="19" spans="1:12" ht="15.75" x14ac:dyDescent="0.25">
      <c r="A19" s="302" t="s">
        <v>560</v>
      </c>
      <c r="B19" s="301"/>
      <c r="C19" s="302" t="str">
        <f t="shared" si="0"/>
        <v>13 Allsop Place Refurbishment ex-police cells to make ....</v>
      </c>
      <c r="D19" s="302" t="str">
        <f>VLOOKUP($A19,'Tracker Sheet'!$A$3:$BQ$40,3,FALSE)</f>
        <v>13 Allsop Place Refurbishment ex-police cells to make new into lockers</v>
      </c>
      <c r="E19" s="302" t="str">
        <f>IFERROR(VLOOKUP($A19,'Tracker Sheet'!$A$3:$BQ$40,5,FALSE),"")</f>
        <v>Laurie Morely</v>
      </c>
      <c r="F19" s="294">
        <v>42569</v>
      </c>
      <c r="G19" s="304">
        <f>IF(VLOOKUP($A19,'Tracker Sheet'!$A$3:$BQ$40,49,FALSE)&lt;&gt;"",VLOOKUP($A19,'Tracker Sheet'!$A$3:$BQ$40,49,FALSE),IF(VLOOKUP($A19,'Tracker Sheet'!$A$3:$BQ$40,48,FALSE)&lt;&gt;"",VLOOKUP($A19,'Tracker Sheet'!$A$3:$BQ$40,48,FALSE),IF(VLOOKUP($A19,'Tracker Sheet'!$A$3:$BQ$40,38,FALSE)&lt;&gt;"",VLOOKUP($A19,'Tracker Sheet'!$A$3:$BQ$40,38,FALSE),IF(VLOOKUP($A19,'Tracker Sheet'!$A$3:$BQ$40,37,FALSE)&lt;&gt;"",VLOOKUP($A19,'Tracker Sheet'!$A$3:$BQ$40,37,FALSE),IF(VLOOKUP($A19,'Tracker Sheet'!$A$3:$BQ$40,27,FALSE)&lt;&gt;"",VLOOKUP($A19,'Tracker Sheet'!$A$3:$BQ$40,27,FALSE),IF(VLOOKUP($A19,'Tracker Sheet'!$A$3:$BQ$40,40,FALSE)&lt;&gt;"",VLOOKUP($A19,'Tracker Sheet'!$A$3:$BQ$40,40,FALSE),IF(VLOOKUP($A19,'Tracker Sheet'!$A$3:$BQ$40,16,FALSE)&lt;&gt;"",VLOOKUP($A19,'Tracker Sheet'!$A$3:$BQ$40,16,FALSE),IF(VLOOKUP($A19,'Tracker Sheet'!$A$3:$BQ$40,15,FALSE)&lt;&gt;"",VLOOKUP($A19,'Tracker Sheet'!$A$3:$BQ$40,15,FALSE),""))))))))</f>
        <v>42692</v>
      </c>
      <c r="H19" s="304">
        <f t="shared" si="1"/>
        <v>42692</v>
      </c>
      <c r="I19" s="302">
        <f t="shared" si="2"/>
        <v>123</v>
      </c>
      <c r="J19" s="294">
        <v>42719</v>
      </c>
      <c r="K19" s="302">
        <f t="shared" si="3"/>
        <v>123</v>
      </c>
      <c r="L19" s="302" t="str">
        <f>VLOOKUP($A19,'Tracker Sheet'!$A$3:$CA$40,79,FALSE)</f>
        <v>Stage Gate 5</v>
      </c>
    </row>
    <row r="20" spans="1:12" ht="15.75" x14ac:dyDescent="0.25">
      <c r="A20" s="302" t="s">
        <v>174</v>
      </c>
      <c r="B20" s="301"/>
      <c r="C20" s="302" t="str">
        <f t="shared" si="0"/>
        <v>Uniform Store relocation to Penton Street....</v>
      </c>
      <c r="D20" s="302" t="str">
        <f>VLOOKUP($A20,'Tracker Sheet'!$A$3:$BQ$40,3,FALSE)</f>
        <v>Uniform Store relocation to Penton Street</v>
      </c>
      <c r="E20" s="302" t="str">
        <f>IFERROR(VLOOKUP($A20,'Tracker Sheet'!$A$3:$BQ$40,5,FALSE),"")</f>
        <v>Laurie Morely</v>
      </c>
      <c r="F20" s="294">
        <v>42611</v>
      </c>
      <c r="G20" s="304">
        <f>IF(VLOOKUP($A20,'Tracker Sheet'!$A$3:$BQ$40,49,FALSE)&lt;&gt;"",VLOOKUP($A20,'Tracker Sheet'!$A$3:$BQ$40,49,FALSE),IF(VLOOKUP($A20,'Tracker Sheet'!$A$3:$BQ$40,48,FALSE)&lt;&gt;"",VLOOKUP($A20,'Tracker Sheet'!$A$3:$BQ$40,48,FALSE),IF(VLOOKUP($A20,'Tracker Sheet'!$A$3:$BQ$40,38,FALSE)&lt;&gt;"",VLOOKUP($A20,'Tracker Sheet'!$A$3:$BQ$40,38,FALSE),IF(VLOOKUP($A20,'Tracker Sheet'!$A$3:$BQ$40,37,FALSE)&lt;&gt;"",VLOOKUP($A20,'Tracker Sheet'!$A$3:$BQ$40,37,FALSE),IF(VLOOKUP($A20,'Tracker Sheet'!$A$3:$BQ$40,27,FALSE)&lt;&gt;"",VLOOKUP($A20,'Tracker Sheet'!$A$3:$BQ$40,27,FALSE),IF(VLOOKUP($A20,'Tracker Sheet'!$A$3:$BQ$40,40,FALSE)&lt;&gt;"",VLOOKUP($A20,'Tracker Sheet'!$A$3:$BQ$40,40,FALSE),IF(VLOOKUP($A20,'Tracker Sheet'!$A$3:$BQ$40,16,FALSE)&lt;&gt;"",VLOOKUP($A20,'Tracker Sheet'!$A$3:$BQ$40,16,FALSE),IF(VLOOKUP($A20,'Tracker Sheet'!$A$3:$BQ$40,15,FALSE)&lt;&gt;"",VLOOKUP($A20,'Tracker Sheet'!$A$3:$BQ$40,15,FALSE),""))))))))</f>
        <v>42727</v>
      </c>
      <c r="H20" s="304">
        <f t="shared" si="1"/>
        <v>42727</v>
      </c>
      <c r="I20" s="302">
        <f t="shared" si="2"/>
        <v>116</v>
      </c>
      <c r="J20" s="294">
        <v>42719</v>
      </c>
      <c r="K20" s="302">
        <f t="shared" si="3"/>
        <v>116</v>
      </c>
      <c r="L20" s="302" t="str">
        <f>VLOOKUP($A20,'Tracker Sheet'!$A$3:$CA$40,79,FALSE)</f>
        <v>Stage Gate 5</v>
      </c>
    </row>
    <row r="21" spans="1:12" ht="15.75" x14ac:dyDescent="0.25">
      <c r="A21" s="302" t="s">
        <v>312</v>
      </c>
      <c r="B21" s="301"/>
      <c r="C21" s="302" t="str">
        <f t="shared" si="0"/>
        <v>LSTOC Accommodation Workstream....</v>
      </c>
      <c r="D21" s="302" t="str">
        <f>VLOOKUP($A21,'Tracker Sheet'!$A$3:$BQ$40,3,FALSE)</f>
        <v>LSTOC Accommodation Workstream</v>
      </c>
      <c r="E21" s="302" t="str">
        <f>IFERROR(VLOOKUP($A21,'Tracker Sheet'!$A$3:$BQ$40,5,FALSE),"")</f>
        <v>Tony Hunter</v>
      </c>
      <c r="F21" s="294">
        <v>42005</v>
      </c>
      <c r="G21" s="304">
        <f>IF(VLOOKUP($A21,'Tracker Sheet'!$A$3:$BQ$40,49,FALSE)&lt;&gt;"",VLOOKUP($A21,'Tracker Sheet'!$A$3:$BQ$40,49,FALSE),IF(VLOOKUP($A21,'Tracker Sheet'!$A$3:$BQ$40,48,FALSE)&lt;&gt;"",VLOOKUP($A21,'Tracker Sheet'!$A$3:$BQ$40,48,FALSE),IF(VLOOKUP($A21,'Tracker Sheet'!$A$3:$BQ$40,38,FALSE)&lt;&gt;"",VLOOKUP($A21,'Tracker Sheet'!$A$3:$BQ$40,38,FALSE),IF(VLOOKUP($A21,'Tracker Sheet'!$A$3:$BQ$40,37,FALSE)&lt;&gt;"",VLOOKUP($A21,'Tracker Sheet'!$A$3:$BQ$40,37,FALSE),IF(VLOOKUP($A21,'Tracker Sheet'!$A$3:$BQ$40,27,FALSE)&lt;&gt;"",VLOOKUP($A21,'Tracker Sheet'!$A$3:$BQ$40,27,FALSE),IF(VLOOKUP($A21,'Tracker Sheet'!$A$3:$BQ$40,40,FALSE)&lt;&gt;"",VLOOKUP($A21,'Tracker Sheet'!$A$3:$BQ$40,40,FALSE),IF(VLOOKUP($A21,'Tracker Sheet'!$A$3:$BQ$40,16,FALSE)&lt;&gt;"",VLOOKUP($A21,'Tracker Sheet'!$A$3:$BQ$40,16,FALSE),IF(VLOOKUP($A21,'Tracker Sheet'!$A$3:$BQ$40,15,FALSE)&lt;&gt;"",VLOOKUP($A21,'Tracker Sheet'!$A$3:$BQ$40,15,FALSE),""))))))))</f>
        <v>42697</v>
      </c>
      <c r="H21" s="304">
        <f t="shared" si="1"/>
        <v>42697</v>
      </c>
      <c r="I21" s="302">
        <f t="shared" si="2"/>
        <v>692</v>
      </c>
      <c r="J21" s="294">
        <v>42719</v>
      </c>
      <c r="K21" s="302">
        <f t="shared" si="3"/>
        <v>692</v>
      </c>
      <c r="L21" s="302" t="str">
        <f>VLOOKUP($A21,'Tracker Sheet'!$A$3:$CA$40,79,FALSE)</f>
        <v>Stage Gate 5</v>
      </c>
    </row>
    <row r="22" spans="1:12" ht="15.75" x14ac:dyDescent="0.25">
      <c r="A22" s="302" t="s">
        <v>314</v>
      </c>
      <c r="B22" s="301"/>
      <c r="C22" s="302" t="str">
        <f t="shared" si="0"/>
        <v>Templar House Basement Changeing Room for Chancery Lan....</v>
      </c>
      <c r="D22" s="302" t="str">
        <f>VLOOKUP($A22,'Tracker Sheet'!$A$3:$BQ$40,3,FALSE)</f>
        <v>Templar House Basement Changeing Room for Chancery Lane Escalator Replacement Project</v>
      </c>
      <c r="E22" s="302" t="str">
        <f>IFERROR(VLOOKUP($A22,'Tracker Sheet'!$A$3:$BQ$40,5,FALSE),"")</f>
        <v>Martin Smith</v>
      </c>
      <c r="F22" s="294">
        <v>42370</v>
      </c>
      <c r="G22" s="304">
        <f>IF(VLOOKUP($A22,'Tracker Sheet'!$A$3:$BQ$40,49,FALSE)&lt;&gt;"",VLOOKUP($A22,'Tracker Sheet'!$A$3:$BQ$40,49,FALSE),IF(VLOOKUP($A22,'Tracker Sheet'!$A$3:$BQ$40,48,FALSE)&lt;&gt;"",VLOOKUP($A22,'Tracker Sheet'!$A$3:$BQ$40,48,FALSE),IF(VLOOKUP($A22,'Tracker Sheet'!$A$3:$BQ$40,38,FALSE)&lt;&gt;"",VLOOKUP($A22,'Tracker Sheet'!$A$3:$BQ$40,38,FALSE),IF(VLOOKUP($A22,'Tracker Sheet'!$A$3:$BQ$40,37,FALSE)&lt;&gt;"",VLOOKUP($A22,'Tracker Sheet'!$A$3:$BQ$40,37,FALSE),IF(VLOOKUP($A22,'Tracker Sheet'!$A$3:$BQ$40,27,FALSE)&lt;&gt;"",VLOOKUP($A22,'Tracker Sheet'!$A$3:$BQ$40,27,FALSE),IF(VLOOKUP($A22,'Tracker Sheet'!$A$3:$BQ$40,40,FALSE)&lt;&gt;"",VLOOKUP($A22,'Tracker Sheet'!$A$3:$BQ$40,40,FALSE),IF(VLOOKUP($A22,'Tracker Sheet'!$A$3:$BQ$40,16,FALSE)&lt;&gt;"",VLOOKUP($A22,'Tracker Sheet'!$A$3:$BQ$40,16,FALSE),IF(VLOOKUP($A22,'Tracker Sheet'!$A$3:$BQ$40,15,FALSE)&lt;&gt;"",VLOOKUP($A22,'Tracker Sheet'!$A$3:$BQ$40,15,FALSE),""))))))))</f>
        <v>42415</v>
      </c>
      <c r="H22" s="304">
        <f t="shared" si="1"/>
        <v>42415</v>
      </c>
      <c r="I22" s="302">
        <f t="shared" si="2"/>
        <v>45</v>
      </c>
      <c r="J22" s="294">
        <v>42719</v>
      </c>
      <c r="K22" s="302">
        <f t="shared" si="3"/>
        <v>45</v>
      </c>
      <c r="L22" s="302" t="str">
        <f>VLOOKUP($A22,'Tracker Sheet'!$A$3:$CA$40,79,FALSE)</f>
        <v>Stage Gate 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B39"/>
  <sheetViews>
    <sheetView showGridLines="0" showRowColHeaders="0" zoomScaleNormal="100" workbookViewId="0">
      <selection activeCell="Q40" sqref="Q40"/>
    </sheetView>
  </sheetViews>
  <sheetFormatPr defaultRowHeight="15" x14ac:dyDescent="0.2"/>
  <sheetData>
    <row r="39" spans="2:2" x14ac:dyDescent="0.2">
      <c r="B39" s="267">
        <v>11</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Scroll Bar 1">
              <controlPr defaultSize="0" autoPict="0" macro="[0]!Scrollbar">
                <anchor moveWithCells="1">
                  <from>
                    <xdr:col>0</xdr:col>
                    <xdr:colOff>209550</xdr:colOff>
                    <xdr:row>36</xdr:row>
                    <xdr:rowOff>47625</xdr:rowOff>
                  </from>
                  <to>
                    <xdr:col>20</xdr:col>
                    <xdr:colOff>314325</xdr:colOff>
                    <xdr:row>37</xdr:row>
                    <xdr:rowOff>95250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Dashboard Page</vt:lpstr>
      <vt:lpstr>Tracker Sheet</vt:lpstr>
      <vt:lpstr>Health and Saftey</vt:lpstr>
      <vt:lpstr>Stage Gate 5</vt:lpstr>
      <vt:lpstr>Closed Projects (Stage Gate 6)</vt:lpstr>
      <vt:lpstr>Archive</vt:lpstr>
      <vt:lpstr>Change Control Register</vt:lpstr>
      <vt:lpstr>Finance</vt:lpstr>
      <vt:lpstr>Rag Coding</vt:lpstr>
      <vt:lpstr>Sheet2</vt:lpstr>
      <vt:lpstr>Head Office Buildings</vt:lpstr>
      <vt:lpstr>Sponsors</vt:lpstr>
      <vt:lpstr>Project Managers &amp; FacOps Reps</vt:lpstr>
      <vt:lpstr>Resources Data</vt:lpstr>
      <vt:lpstr>Resources Planner</vt:lpstr>
      <vt:lpstr>'Dashboard Page'!Print_Area</vt:lpstr>
      <vt:lpstr>'Dashboard Page'!Print_Titles</vt:lpstr>
    </vt:vector>
  </TitlesOfParts>
  <Company>Transport for London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veronicasenior</dc:creator>
  <cp:lastModifiedBy>adamwadsworth</cp:lastModifiedBy>
  <cp:lastPrinted>2016-12-15T14:37:48Z</cp:lastPrinted>
  <dcterms:created xsi:type="dcterms:W3CDTF">2016-05-11T14:32:02Z</dcterms:created>
  <dcterms:modified xsi:type="dcterms:W3CDTF">2017-02-02T12:57:24Z</dcterms:modified>
</cp:coreProperties>
</file>