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HSEVEN\"/>
    </mc:Choice>
  </mc:AlternateContent>
  <xr:revisionPtr revIDLastSave="0" documentId="8_{CA50D332-7FF7-4EE5-8E9A-B824DE0EB9DD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CALCULOS AUXILIARES" sheetId="1" r:id="rId1"/>
    <sheet name="LUV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I137" i="2"/>
  <c r="G137" i="2"/>
  <c r="E130" i="2"/>
  <c r="F117" i="2"/>
  <c r="H117" i="2" s="1"/>
  <c r="F116" i="2"/>
  <c r="H116" i="2" s="1"/>
  <c r="F115" i="2"/>
  <c r="H115" i="2" s="1"/>
  <c r="H114" i="2"/>
  <c r="F114" i="2"/>
  <c r="F113" i="2"/>
  <c r="H113" i="2" s="1"/>
  <c r="F112" i="2"/>
  <c r="H112" i="2" s="1"/>
  <c r="H118" i="2" s="1"/>
  <c r="F106" i="2"/>
  <c r="G106" i="2" s="1"/>
  <c r="H106" i="2" s="1"/>
  <c r="F105" i="2"/>
  <c r="F104" i="2"/>
  <c r="G104" i="2" s="1"/>
  <c r="H104" i="2" s="1"/>
  <c r="G103" i="2"/>
  <c r="F103" i="2"/>
  <c r="H103" i="2" s="1"/>
  <c r="F102" i="2"/>
  <c r="G102" i="2" s="1"/>
  <c r="H102" i="2" s="1"/>
  <c r="F101" i="2"/>
  <c r="I92" i="2"/>
  <c r="H92" i="2"/>
  <c r="E89" i="2"/>
  <c r="I70" i="2"/>
  <c r="I69" i="2"/>
  <c r="I68" i="2"/>
  <c r="I67" i="2"/>
  <c r="I66" i="2"/>
  <c r="I65" i="2"/>
  <c r="I64" i="2"/>
  <c r="I63" i="2"/>
  <c r="I62" i="2"/>
  <c r="I61" i="2"/>
  <c r="I60" i="2"/>
  <c r="B60" i="2"/>
  <c r="I59" i="2"/>
  <c r="I58" i="2"/>
  <c r="I57" i="2"/>
  <c r="I56" i="2"/>
  <c r="I55" i="2"/>
  <c r="I54" i="2"/>
  <c r="I53" i="2"/>
  <c r="I52" i="2"/>
  <c r="I51" i="2"/>
  <c r="I50" i="2"/>
  <c r="I49" i="2"/>
  <c r="I48" i="2"/>
  <c r="I72" i="2" s="1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B27" i="2"/>
  <c r="I26" i="2"/>
  <c r="I25" i="2"/>
  <c r="I24" i="2"/>
  <c r="I23" i="2"/>
  <c r="B22" i="2"/>
  <c r="I22" i="2" s="1"/>
  <c r="I44" i="2" s="1"/>
  <c r="H16" i="2"/>
  <c r="I16" i="2" s="1"/>
  <c r="H15" i="2"/>
  <c r="I15" i="2" s="1"/>
  <c r="H14" i="2"/>
  <c r="I14" i="2" s="1"/>
  <c r="H13" i="2"/>
  <c r="I13" i="2" s="1"/>
  <c r="B12" i="2"/>
  <c r="I46" i="1"/>
  <c r="I45" i="1"/>
  <c r="I44" i="1"/>
  <c r="I43" i="1"/>
  <c r="D43" i="1"/>
  <c r="I42" i="1"/>
  <c r="I41" i="1"/>
  <c r="I40" i="1"/>
  <c r="I39" i="1"/>
  <c r="I38" i="1"/>
  <c r="I37" i="1"/>
  <c r="I36" i="1"/>
  <c r="I49" i="1" s="1"/>
  <c r="F15" i="1"/>
  <c r="E15" i="1"/>
  <c r="E14" i="1"/>
  <c r="E13" i="1"/>
  <c r="E12" i="1"/>
  <c r="E11" i="1"/>
  <c r="E10" i="1"/>
  <c r="H9" i="1"/>
  <c r="F9" i="1"/>
  <c r="E9" i="1"/>
  <c r="H12" i="2" l="1"/>
  <c r="I12" i="2" s="1"/>
  <c r="I18" i="2" s="1"/>
  <c r="I74" i="2" s="1"/>
  <c r="G101" i="2"/>
  <c r="H101" i="2" s="1"/>
  <c r="H107" i="2" s="1"/>
  <c r="H120" i="2" s="1"/>
  <c r="H132" i="2" s="1"/>
  <c r="H130" i="2" s="1"/>
  <c r="G105" i="2"/>
  <c r="H105" i="2" s="1"/>
  <c r="H79" i="2" l="1"/>
  <c r="H91" i="2" s="1"/>
  <c r="I76" i="2"/>
  <c r="I79" i="2" s="1"/>
  <c r="I91" i="2" s="1"/>
  <c r="H125" i="2" l="1"/>
  <c r="I93" i="2"/>
  <c r="H124" i="2"/>
  <c r="I86" i="2"/>
  <c r="H123" i="2"/>
  <c r="I135" i="2"/>
  <c r="I138" i="2" s="1"/>
  <c r="I85" i="2"/>
  <c r="I84" i="2"/>
  <c r="I83" i="2"/>
  <c r="H129" i="2"/>
  <c r="H128" i="2"/>
  <c r="I88" i="2"/>
  <c r="I82" i="2"/>
  <c r="H126" i="2"/>
  <c r="I87" i="2"/>
  <c r="H127" i="2"/>
  <c r="I89" i="2"/>
  <c r="H87" i="2"/>
  <c r="H93" i="2"/>
  <c r="H85" i="2"/>
  <c r="H86" i="2"/>
  <c r="G135" i="2"/>
  <c r="G138" i="2" s="1"/>
  <c r="H84" i="2"/>
  <c r="H83" i="2"/>
  <c r="H88" i="2"/>
  <c r="H82" i="2"/>
  <c r="H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PCP</author>
    <author>Tatiane Alves</author>
    <author>Tatiane</author>
    <author>Sandro Sigmarhoh</author>
  </authors>
  <commentList>
    <comment ref="B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PCP:</t>
        </r>
        <r>
          <rPr>
            <sz val="9"/>
            <color indexed="81"/>
            <rFont val="Segoe UI"/>
            <family val="2"/>
          </rPr>
          <t xml:space="preserve">
90,25 KG/M</t>
        </r>
      </text>
    </comment>
    <comment ref="B2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15 MIN/PÇ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7" authorId="2" shapeId="0" xr:uid="{00000000-0006-0000-0100-000003000000}">
      <text>
        <r>
          <rPr>
            <b/>
            <sz val="9"/>
            <color indexed="81"/>
            <rFont val="Segoe UI"/>
            <family val="2"/>
          </rPr>
          <t>Tatiane:</t>
        </r>
        <r>
          <rPr>
            <sz val="9"/>
            <color indexed="81"/>
            <rFont val="Segoe UI"/>
            <family val="2"/>
          </rPr>
          <t xml:space="preserve">
1,25 P/PÇ
</t>
        </r>
      </text>
    </comment>
    <comment ref="C48" authorId="3" shapeId="0" xr:uid="{00000000-0006-0000-0100-000004000000}">
      <text>
        <r>
          <rPr>
            <b/>
            <sz val="9"/>
            <color indexed="81"/>
            <rFont val="Segoe UI"/>
            <family val="2"/>
          </rPr>
          <t>Sandro Sigmarhoh:</t>
        </r>
        <r>
          <rPr>
            <sz val="9"/>
            <color indexed="81"/>
            <rFont val="Segoe UI"/>
            <family val="2"/>
          </rPr>
          <t xml:space="preserve">
HORARIO ADM</t>
        </r>
      </text>
    </comment>
    <comment ref="C49" authorId="3" shapeId="0" xr:uid="{00000000-0006-0000-0100-000005000000}">
      <text>
        <r>
          <rPr>
            <b/>
            <sz val="9"/>
            <color indexed="81"/>
            <rFont val="Segoe UI"/>
            <family val="2"/>
          </rPr>
          <t>Sandro Sigmarhoh:</t>
        </r>
        <r>
          <rPr>
            <sz val="9"/>
            <color indexed="81"/>
            <rFont val="Segoe UI"/>
            <family val="2"/>
          </rPr>
          <t xml:space="preserve">
APÓS HORARIO ADM ATE AS 22H
SABADOS ATÉ AS 12HS
</t>
        </r>
      </text>
    </comment>
    <comment ref="C50" authorId="3" shapeId="0" xr:uid="{00000000-0006-0000-0100-000006000000}">
      <text>
        <r>
          <rPr>
            <b/>
            <sz val="9"/>
            <color indexed="81"/>
            <rFont val="Segoe UI"/>
            <family val="2"/>
          </rPr>
          <t>Sandro Sigmarhoh:</t>
        </r>
        <r>
          <rPr>
            <sz val="9"/>
            <color indexed="81"/>
            <rFont val="Segoe UI"/>
            <family val="2"/>
          </rPr>
          <t xml:space="preserve">
APÓS AS 22HS 
SABADO APÓS 12HS
DOMINGOS E FERIADOS
</t>
        </r>
      </text>
    </comment>
    <comment ref="B60" authorId="1" shapeId="0" xr:uid="{00000000-0006-0000-0100-000007000000}">
      <text>
        <r>
          <rPr>
            <b/>
            <sz val="9"/>
            <color indexed="81"/>
            <rFont val="Segoe UI"/>
            <family val="2"/>
          </rPr>
          <t>20 MIN/PÇ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<sst xmlns="http://schemas.openxmlformats.org/spreadsheetml/2006/main" count="247" uniqueCount="165">
  <si>
    <t xml:space="preserve">NÚMERO </t>
  </si>
  <si>
    <t>DATA</t>
  </si>
  <si>
    <t>PRODUTO OU SERVIÇO</t>
  </si>
  <si>
    <t>QTDE</t>
  </si>
  <si>
    <t>DESTINATÁRIO</t>
  </si>
  <si>
    <t>ELABORADA</t>
  </si>
  <si>
    <t>REVISADA</t>
  </si>
  <si>
    <t>MATERIAIS / COMPONENTES</t>
  </si>
  <si>
    <t>ITEM</t>
  </si>
  <si>
    <t>UNID</t>
  </si>
  <si>
    <t>DESCRIÇÃO</t>
  </si>
  <si>
    <t>PREÇO UNITÁRIO</t>
  </si>
  <si>
    <t>PREÇO TOTAL</t>
  </si>
  <si>
    <t>TOTAL</t>
  </si>
  <si>
    <t>RESULTADO DOS MATERIAIS / COMPONENTES</t>
  </si>
  <si>
    <t>SERVIÇOS INTERNOS / EXTERNOS</t>
  </si>
  <si>
    <t>Hora</t>
  </si>
  <si>
    <t>CORTE SERRA</t>
  </si>
  <si>
    <t>HORA</t>
  </si>
  <si>
    <t>TORNO CONVENCIONAL GRANDE</t>
  </si>
  <si>
    <t>PREPARAÇÃO CENTRO DE USINAGEM</t>
  </si>
  <si>
    <t>FRESA</t>
  </si>
  <si>
    <t>FURADEIRA RADIAL</t>
  </si>
  <si>
    <t>PLAINA</t>
  </si>
  <si>
    <t>RETÍFICA INTERNA E EXTERNA</t>
  </si>
  <si>
    <t>FOSFATIZAÇÃO</t>
  </si>
  <si>
    <t>PINTURA</t>
  </si>
  <si>
    <t>CROMAGEM</t>
  </si>
  <si>
    <t>KG</t>
  </si>
  <si>
    <t>TRATAMENTO TÉRMICO</t>
  </si>
  <si>
    <t>RESULTADO DOS SERVIÇOS</t>
  </si>
  <si>
    <t>MÃO DE OBRA</t>
  </si>
  <si>
    <t>RESULTADO MÃO DE OBRA</t>
  </si>
  <si>
    <t>RESULTADO (MAO DE OBRA + SERVIÇOS + MATERIAIS)</t>
  </si>
  <si>
    <t>TAXA DE HORA EMERGENCIAL</t>
  </si>
  <si>
    <t>ALÍQUOTA</t>
  </si>
  <si>
    <t>VALOR</t>
  </si>
  <si>
    <t>LUCRO</t>
  </si>
  <si>
    <t>IMPOSTOS FEDERAIS</t>
  </si>
  <si>
    <t>ICMS / ISS</t>
  </si>
  <si>
    <t>IPI</t>
  </si>
  <si>
    <t>COMISSÃO REPRESENTANTES</t>
  </si>
  <si>
    <t>CUSTO FINANCEIRO</t>
  </si>
  <si>
    <t>QUANTIDADE UNITÁRIA</t>
  </si>
  <si>
    <t>VALOR UNITÁRIO RESULTANTE</t>
  </si>
  <si>
    <t>CENTRO DE USINAGEM CNC</t>
  </si>
  <si>
    <t>TREPANAÇÃO</t>
  </si>
  <si>
    <t>METALIZAÇÃO - METAL PATENTE (BABBIT)</t>
  </si>
  <si>
    <t>MM2</t>
  </si>
  <si>
    <t>DCM2</t>
  </si>
  <si>
    <t>SOLDADOR</t>
  </si>
  <si>
    <t>VALOR NORMAL</t>
  </si>
  <si>
    <t>VALOR        EXTRA</t>
  </si>
  <si>
    <t>NORMAL</t>
  </si>
  <si>
    <t>EXTRA (40%)</t>
  </si>
  <si>
    <t>CALCULO DE PESO DE MATERIA-PRIMA</t>
  </si>
  <si>
    <t>D1</t>
  </si>
  <si>
    <t>D2</t>
  </si>
  <si>
    <r>
      <t>C</t>
    </r>
    <r>
      <rPr>
        <sz val="11"/>
        <color rgb="FF000000"/>
        <rFont val="Calibri"/>
      </rPr>
      <t>omprimento</t>
    </r>
  </si>
  <si>
    <t>AÇO</t>
  </si>
  <si>
    <t xml:space="preserve">BRONZE </t>
  </si>
  <si>
    <t>COBRE</t>
  </si>
  <si>
    <t>LATAO</t>
  </si>
  <si>
    <t>ALUMINIO</t>
  </si>
  <si>
    <t>REFERENCIA</t>
  </si>
  <si>
    <t>Unidade</t>
  </si>
  <si>
    <t>mm</t>
  </si>
  <si>
    <t>m</t>
  </si>
  <si>
    <t>kg</t>
  </si>
  <si>
    <t>kg/500mm</t>
  </si>
  <si>
    <t>kg/m</t>
  </si>
  <si>
    <t>Barra Redonda</t>
  </si>
  <si>
    <t>Barra Quadrada</t>
  </si>
  <si>
    <t>Barra Retangular</t>
  </si>
  <si>
    <t>Barra Sextavada</t>
  </si>
  <si>
    <t>Barra Oitavada</t>
  </si>
  <si>
    <t>Barra Triangular</t>
  </si>
  <si>
    <t>Bucha</t>
  </si>
  <si>
    <t>COTAÇÕES</t>
  </si>
  <si>
    <t>23.08.99</t>
  </si>
  <si>
    <t>AÇO INOX 304</t>
  </si>
  <si>
    <t>AÇO INOX 316</t>
  </si>
  <si>
    <t>AÇO INOX 410</t>
  </si>
  <si>
    <t>AÇO 1020</t>
  </si>
  <si>
    <t>AÇO 1045</t>
  </si>
  <si>
    <t>AÇO 4140</t>
  </si>
  <si>
    <t>AÇO 4340</t>
  </si>
  <si>
    <t>AÇO 8620</t>
  </si>
  <si>
    <t>AÇO 4320</t>
  </si>
  <si>
    <t>BRONZE TM23</t>
  </si>
  <si>
    <t>BRONZE SAE 660</t>
  </si>
  <si>
    <t>POLIACETAL DELRIN 65mm</t>
  </si>
  <si>
    <t>R$ 0,10/mm</t>
  </si>
  <si>
    <t>POLIACETAL DELRIN 110mm</t>
  </si>
  <si>
    <t>R$ 0,27/mm</t>
  </si>
  <si>
    <t>PLANILHA P/ CALCULO DE CROMAGEM</t>
  </si>
  <si>
    <t>UNIDADE</t>
  </si>
  <si>
    <t>DIAMETRO DA PEÇA</t>
  </si>
  <si>
    <t xml:space="preserve">PI </t>
  </si>
  <si>
    <t>rad</t>
  </si>
  <si>
    <t>COMPRIMENTO</t>
  </si>
  <si>
    <t>CONVERSOR</t>
  </si>
  <si>
    <t>PREÇO BASICO</t>
  </si>
  <si>
    <t>PREÇO FINAL DO SERVIÇO</t>
  </si>
  <si>
    <t>CALCULO DE USO DE VEICULO</t>
  </si>
  <si>
    <t>INSUMOS</t>
  </si>
  <si>
    <t>CONSUMO/KM</t>
  </si>
  <si>
    <t>VALOR P/ KM</t>
  </si>
  <si>
    <t>COMBUSTIVEL</t>
  </si>
  <si>
    <t>PNEU</t>
  </si>
  <si>
    <t>OLEO</t>
  </si>
  <si>
    <t>DEPRECIAÇÃO</t>
  </si>
  <si>
    <t>MANUTENCAO</t>
  </si>
  <si>
    <t>FILTROS</t>
  </si>
  <si>
    <t>AMORTECEDOR</t>
  </si>
  <si>
    <t>LAVAGEM</t>
  </si>
  <si>
    <t>SEGURO</t>
  </si>
  <si>
    <t>CORREIA DENTADA</t>
  </si>
  <si>
    <t>LICENCIAMENTO</t>
  </si>
  <si>
    <t>VALOR TOTAL P/ KM</t>
  </si>
  <si>
    <t>TORNO CONVENCIONAL L.A.</t>
  </si>
  <si>
    <t>TORNO CONVENCIONAL NARDINE</t>
  </si>
  <si>
    <t>TORNO CNC NARDINE</t>
  </si>
  <si>
    <t>TORNO CNC GALAXI</t>
  </si>
  <si>
    <t xml:space="preserve">SUPERVISÃO </t>
  </si>
  <si>
    <t>SUPERVISÃO  (extra 50%)</t>
  </si>
  <si>
    <t>SUPERVISÃO (EXTRA 100%)</t>
  </si>
  <si>
    <t xml:space="preserve">APOIO LOGISTICO </t>
  </si>
  <si>
    <t>APOIO LOGISTICO (EXTRA 50%)</t>
  </si>
  <si>
    <t>APOIO LOGISTICO (EXTRA 100%)</t>
  </si>
  <si>
    <t>MECANICO (EXTRA 50%)</t>
  </si>
  <si>
    <t>MECANICO (EXTRA 100%)</t>
  </si>
  <si>
    <t>MECANICO</t>
  </si>
  <si>
    <t>OPERADOR DE PU</t>
  </si>
  <si>
    <t>OPERADOR DE PU (EXTRA 50%)</t>
  </si>
  <si>
    <t>OPERADOR DE PU (EXTRA 100%)</t>
  </si>
  <si>
    <t>AUXILIAR DE PRODUÇÃO</t>
  </si>
  <si>
    <t>AUXILIAR DE PRODUÇÃO (EXTRA 50%)</t>
  </si>
  <si>
    <t>AUXILIAR DE PRODUÇÃO (EXTRA 100%)</t>
  </si>
  <si>
    <t>INSPEÇAO PROJETOS</t>
  </si>
  <si>
    <t>MOTORISTA</t>
  </si>
  <si>
    <t>TAXI - UBER</t>
  </si>
  <si>
    <t>REFEIÇOES</t>
  </si>
  <si>
    <t>FOLHA DE ORÇAMENTO SIGMARHOH -  DATA BASE 16.02.2023</t>
  </si>
  <si>
    <t>UM</t>
  </si>
  <si>
    <t>VALOR TOTAL RESULTANTE (MP + SERV + M.O. + TRIBUTOS)</t>
  </si>
  <si>
    <t>EMERGENCIAL</t>
  </si>
  <si>
    <t>UNITARIO</t>
  </si>
  <si>
    <t>ALIQUOTAS COMPLEMENTAR DE ICMS CONFORME REGIAO DE AQUISIÇÃO MP</t>
  </si>
  <si>
    <t>SUL/SUDESTE: 15%; NORTE / NORDESTE / CENTRO-OESTE e ES: 11%</t>
  </si>
  <si>
    <t>ICMS DIFAL</t>
  </si>
  <si>
    <t>ENCARGOS DESP ACESSORIAS</t>
  </si>
  <si>
    <t>VALOR TOTAL RESULTANTE DAS DESPESSAS ACESSORIAS</t>
  </si>
  <si>
    <t>PREÇO UNITÁRIO + IPI</t>
  </si>
  <si>
    <t>DESPESAS ASCESSORIAS PARA ENTREGA AO CLIENTE</t>
  </si>
  <si>
    <t>VALOR TOTAL RESULTANTE DO ORCAMENTO (CUSTO DE PRODUÇÃO + DESPESAS ACESSORIAS)</t>
  </si>
  <si>
    <t>QUANTIDADE</t>
  </si>
  <si>
    <t>DESPESAS ASCESSORIAS PARA COMPRA DE MATERIA-PRIMA, COMPONENTES E SERVIÇOS</t>
  </si>
  <si>
    <t>FRETE + SEGURO SP - AJU</t>
  </si>
  <si>
    <t>TOTAL DAS DESPESAS ACESSORIAS</t>
  </si>
  <si>
    <t>PETROSYNERGY</t>
  </si>
  <si>
    <t>TATIANE ALVES</t>
  </si>
  <si>
    <t>THIAGO FONTES</t>
  </si>
  <si>
    <t>BARRA REDONDA SAE 4140  Ø4.3/4" 155 MM/PÇ (5,1 M)</t>
  </si>
  <si>
    <t>LUVA TUBO DE PRODUÇAO Ø3.1/2"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</si>
</sst>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0_);_(&quot;R$&quot;* \(#,##0.000\);_(&quot;R$&quot;* &quot;-&quot;??_);_(@_)"/>
    <numFmt numFmtId="165" formatCode="_(&quot;R$&quot;* #,##0.00_);_(&quot;R$&quot;* \(#,##0.00\);_(&quot;R$&quot;* &quot;-&quot;??_);_(@_)"/>
    <numFmt numFmtId="166" formatCode="&quot;R$&quot;\ #,##0.0"/>
    <numFmt numFmtId="167" formatCode="_-[$R$-416]\ * #,##0.00_-;\-[$R$-416]\ * #,##0.00_-;_-[$R$-416]\ * &quot;-&quot;??_-;_-@_-"/>
  </numFmts>
  <fonts count="19">
    <font>
      <sz val="11"/>
      <name val="Calibri"/>
    </font>
    <font>
      <b/>
      <sz val="10"/>
      <name val="Arial"/>
    </font>
    <font>
      <sz val="11"/>
      <color rgb="FF000000"/>
      <name val="Calibri"/>
    </font>
    <font>
      <sz val="12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b/>
      <sz val="12"/>
      <color rgb="FF000000"/>
      <name val="Calibri"/>
    </font>
    <font>
      <b/>
      <sz val="14"/>
      <color rgb="FFFF0000"/>
      <name val="Calibri"/>
    </font>
    <font>
      <b/>
      <sz val="14"/>
      <name val="Calibri"/>
    </font>
    <font>
      <b/>
      <sz val="16"/>
      <color rgb="FFFF0000"/>
      <name val="Calibri"/>
    </font>
    <font>
      <b/>
      <sz val="12"/>
      <name val="Calibri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D5DCE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4" fontId="4" fillId="0" borderId="0">
      <alignment vertical="top"/>
      <protection locked="0"/>
    </xf>
    <xf numFmtId="43" fontId="4" fillId="0" borderId="0">
      <alignment vertical="top"/>
      <protection locked="0"/>
    </xf>
    <xf numFmtId="9" fontId="4" fillId="0" borderId="0">
      <alignment vertical="top"/>
      <protection locked="0"/>
    </xf>
  </cellStyleXfs>
  <cellXfs count="189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/>
    <xf numFmtId="164" fontId="2" fillId="0" borderId="0" xfId="1" applyNumberFormat="1" applyFont="1" applyAlignment="1" applyProtection="1"/>
    <xf numFmtId="43" fontId="2" fillId="0" borderId="0" xfId="2" applyFont="1" applyAlignment="1" applyProtection="1"/>
    <xf numFmtId="164" fontId="2" fillId="0" borderId="4" xfId="1" applyNumberFormat="1" applyFont="1" applyBorder="1" applyAlignment="1" applyProtection="1"/>
    <xf numFmtId="2" fontId="2" fillId="0" borderId="3" xfId="0" applyNumberFormat="1" applyFont="1" applyBorder="1" applyAlignment="1"/>
    <xf numFmtId="44" fontId="2" fillId="0" borderId="0" xfId="1" applyFont="1" applyAlignment="1" applyProtection="1"/>
    <xf numFmtId="44" fontId="2" fillId="0" borderId="3" xfId="1" applyFont="1" applyBorder="1" applyAlignment="1" applyProtection="1"/>
    <xf numFmtId="0" fontId="2" fillId="0" borderId="5" xfId="0" applyFont="1" applyBorder="1" applyAlignment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0" fontId="2" fillId="0" borderId="6" xfId="0" applyFont="1" applyBorder="1" applyAlignment="1"/>
    <xf numFmtId="2" fontId="2" fillId="0" borderId="0" xfId="0" applyNumberFormat="1" applyFont="1" applyAlignment="1"/>
    <xf numFmtId="164" fontId="2" fillId="0" borderId="7" xfId="1" applyNumberFormat="1" applyFont="1" applyBorder="1" applyAlignment="1" applyProtection="1"/>
    <xf numFmtId="164" fontId="2" fillId="0" borderId="3" xfId="1" applyNumberFormat="1" applyFont="1" applyBorder="1" applyAlignment="1" applyProtection="1"/>
    <xf numFmtId="164" fontId="2" fillId="0" borderId="2" xfId="1" applyNumberFormat="1" applyFont="1" applyBorder="1" applyAlignment="1" applyProtection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1" xfId="0" applyFont="1" applyBorder="1" applyAlignment="1">
      <alignment horizont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6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7" fontId="2" fillId="5" borderId="4" xfId="0" applyNumberFormat="1" applyFont="1" applyFill="1" applyBorder="1" applyAlignment="1"/>
    <xf numFmtId="44" fontId="4" fillId="0" borderId="4" xfId="1" applyBorder="1" applyAlignment="1" applyProtection="1"/>
    <xf numFmtId="44" fontId="4" fillId="0" borderId="3" xfId="1" applyBorder="1" applyAlignment="1" applyProtection="1"/>
    <xf numFmtId="44" fontId="4" fillId="0" borderId="10" xfId="0" applyNumberFormat="1" applyFont="1" applyBorder="1" applyAlignment="1"/>
    <xf numFmtId="0" fontId="4" fillId="5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10" fillId="0" borderId="3" xfId="0" applyNumberFormat="1" applyFont="1" applyBorder="1" applyAlignment="1"/>
    <xf numFmtId="0" fontId="4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7" fontId="2" fillId="0" borderId="3" xfId="0" applyNumberFormat="1" applyFont="1" applyBorder="1" applyAlignment="1"/>
    <xf numFmtId="44" fontId="6" fillId="3" borderId="2" xfId="1" applyFont="1" applyFill="1" applyBorder="1" applyAlignment="1" applyProtection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3" xfId="0" applyFont="1" applyBorder="1" applyAlignment="1"/>
    <xf numFmtId="44" fontId="4" fillId="0" borderId="10" xfId="1" applyBorder="1" applyAlignment="1" applyProtection="1"/>
    <xf numFmtId="0" fontId="10" fillId="0" borderId="3" xfId="0" applyFont="1" applyBorder="1" applyAlignment="1"/>
    <xf numFmtId="44" fontId="10" fillId="5" borderId="3" xfId="1" applyFont="1" applyFill="1" applyBorder="1" applyAlignment="1" applyProtection="1"/>
    <xf numFmtId="44" fontId="4" fillId="5" borderId="3" xfId="1" applyFill="1" applyBorder="1" applyAlignment="1" applyProtection="1"/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/>
    <xf numFmtId="0" fontId="2" fillId="5" borderId="3" xfId="0" applyFont="1" applyFill="1" applyBorder="1" applyAlignment="1"/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/>
    <xf numFmtId="44" fontId="4" fillId="5" borderId="19" xfId="1" applyFill="1" applyBorder="1" applyAlignment="1" applyProtection="1"/>
    <xf numFmtId="0" fontId="4" fillId="0" borderId="19" xfId="0" applyFont="1" applyBorder="1" applyAlignment="1"/>
    <xf numFmtId="44" fontId="4" fillId="0" borderId="19" xfId="1" applyBorder="1" applyAlignment="1" applyProtection="1"/>
    <xf numFmtId="0" fontId="10" fillId="0" borderId="3" xfId="0" applyFont="1" applyBorder="1" applyAlignment="1">
      <alignment horizontal="center" vertical="center"/>
    </xf>
    <xf numFmtId="0" fontId="2" fillId="0" borderId="20" xfId="0" applyFont="1" applyBorder="1" applyAlignment="1"/>
    <xf numFmtId="44" fontId="10" fillId="0" borderId="3" xfId="1" applyFont="1" applyBorder="1" applyAlignment="1" applyProtection="1"/>
    <xf numFmtId="0" fontId="2" fillId="0" borderId="7" xfId="0" applyFont="1" applyBorder="1" applyAlignment="1"/>
    <xf numFmtId="44" fontId="10" fillId="0" borderId="21" xfId="1" applyFont="1" applyBorder="1" applyAlignment="1" applyProtection="1"/>
    <xf numFmtId="0" fontId="10" fillId="0" borderId="21" xfId="0" applyFont="1" applyBorder="1" applyAlignment="1"/>
    <xf numFmtId="44" fontId="4" fillId="0" borderId="20" xfId="1" applyBorder="1" applyAlignment="1" applyProtection="1"/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/>
    <xf numFmtId="44" fontId="4" fillId="6" borderId="2" xfId="1" applyFill="1" applyBorder="1" applyAlignment="1" applyProtection="1"/>
    <xf numFmtId="44" fontId="6" fillId="6" borderId="2" xfId="0" applyNumberFormat="1" applyFont="1" applyFill="1" applyBorder="1" applyAlignment="1"/>
    <xf numFmtId="44" fontId="6" fillId="0" borderId="7" xfId="0" applyNumberFormat="1" applyFont="1" applyBorder="1" applyAlignment="1"/>
    <xf numFmtId="0" fontId="2" fillId="3" borderId="0" xfId="0" applyFont="1" applyFill="1" applyAlignment="1"/>
    <xf numFmtId="9" fontId="5" fillId="3" borderId="0" xfId="0" applyNumberFormat="1" applyFont="1" applyFill="1" applyAlignment="1">
      <alignment horizontal="center"/>
    </xf>
    <xf numFmtId="44" fontId="6" fillId="3" borderId="2" xfId="0" applyNumberFormat="1" applyFont="1" applyFill="1" applyBorder="1" applyAlignment="1"/>
    <xf numFmtId="0" fontId="10" fillId="0" borderId="0" xfId="0" applyFont="1" applyAlignment="1"/>
    <xf numFmtId="9" fontId="10" fillId="0" borderId="0" xfId="0" applyNumberFormat="1" applyFont="1" applyAlignment="1"/>
    <xf numFmtId="44" fontId="11" fillId="0" borderId="0" xfId="0" applyNumberFormat="1" applyFont="1" applyAlignment="1"/>
    <xf numFmtId="0" fontId="6" fillId="4" borderId="23" xfId="0" applyFont="1" applyFill="1" applyBorder="1" applyAlignment="1">
      <alignment horizontal="center"/>
    </xf>
    <xf numFmtId="9" fontId="6" fillId="8" borderId="23" xfId="0" applyNumberFormat="1" applyFont="1" applyFill="1" applyBorder="1" applyAlignment="1">
      <alignment horizontal="center"/>
    </xf>
    <xf numFmtId="44" fontId="12" fillId="4" borderId="24" xfId="0" applyNumberFormat="1" applyFont="1" applyFill="1" applyBorder="1" applyAlignment="1"/>
    <xf numFmtId="44" fontId="12" fillId="3" borderId="24" xfId="0" applyNumberFormat="1" applyFont="1" applyFill="1" applyBorder="1" applyAlignment="1"/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wrapText="1"/>
    </xf>
    <xf numFmtId="0" fontId="4" fillId="0" borderId="18" xfId="0" applyFont="1" applyBorder="1" applyAlignment="1"/>
    <xf numFmtId="10" fontId="4" fillId="0" borderId="25" xfId="3" applyNumberFormat="1" applyBorder="1" applyAlignment="1" applyProtection="1"/>
    <xf numFmtId="44" fontId="4" fillId="0" borderId="0" xfId="0" applyNumberFormat="1" applyFont="1" applyAlignment="1"/>
    <xf numFmtId="44" fontId="4" fillId="9" borderId="23" xfId="0" applyNumberFormat="1" applyFont="1" applyFill="1" applyBorder="1" applyAlignment="1"/>
    <xf numFmtId="44" fontId="4" fillId="10" borderId="23" xfId="0" applyNumberFormat="1" applyFont="1" applyFill="1" applyBorder="1" applyAlignment="1"/>
    <xf numFmtId="0" fontId="4" fillId="0" borderId="11" xfId="0" applyFont="1" applyBorder="1" applyAlignment="1"/>
    <xf numFmtId="10" fontId="4" fillId="0" borderId="26" xfId="3" applyNumberFormat="1" applyBorder="1" applyAlignment="1" applyProtection="1"/>
    <xf numFmtId="44" fontId="4" fillId="10" borderId="5" xfId="0" applyNumberFormat="1" applyFont="1" applyFill="1" applyBorder="1" applyAlignment="1"/>
    <xf numFmtId="0" fontId="4" fillId="0" borderId="22" xfId="0" applyFont="1" applyBorder="1" applyAlignment="1"/>
    <xf numFmtId="10" fontId="4" fillId="0" borderId="27" xfId="3" applyNumberFormat="1" applyBorder="1" applyAlignment="1" applyProtection="1"/>
    <xf numFmtId="44" fontId="4" fillId="10" borderId="6" xfId="0" applyNumberFormat="1" applyFont="1" applyFill="1" applyBorder="1" applyAlignment="1"/>
    <xf numFmtId="10" fontId="6" fillId="0" borderId="2" xfId="0" applyNumberFormat="1" applyFont="1" applyBorder="1" applyAlignment="1"/>
    <xf numFmtId="44" fontId="6" fillId="11" borderId="2" xfId="0" applyNumberFormat="1" applyFont="1" applyFill="1" applyBorder="1" applyAlignment="1"/>
    <xf numFmtId="44" fontId="6" fillId="12" borderId="2" xfId="0" applyNumberFormat="1" applyFont="1" applyFill="1" applyBorder="1" applyAlignment="1"/>
    <xf numFmtId="0" fontId="6" fillId="4" borderId="2" xfId="0" applyFont="1" applyFill="1" applyBorder="1" applyAlignment="1"/>
    <xf numFmtId="44" fontId="4" fillId="0" borderId="0" xfId="1" applyAlignment="1" applyProtection="1">
      <alignment vertical="center"/>
    </xf>
    <xf numFmtId="44" fontId="12" fillId="4" borderId="2" xfId="1" applyFont="1" applyFill="1" applyBorder="1" applyAlignment="1" applyProtection="1">
      <alignment vertical="center"/>
    </xf>
    <xf numFmtId="44" fontId="12" fillId="3" borderId="2" xfId="1" applyFont="1" applyFill="1" applyBorder="1" applyAlignment="1" applyProtection="1"/>
    <xf numFmtId="0" fontId="4" fillId="0" borderId="2" xfId="0" applyFont="1" applyBorder="1" applyAlignment="1"/>
    <xf numFmtId="0" fontId="4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44" fontId="12" fillId="3" borderId="2" xfId="0" applyNumberFormat="1" applyFont="1" applyFill="1" applyBorder="1" applyAlignment="1"/>
    <xf numFmtId="0" fontId="6" fillId="0" borderId="0" xfId="0" applyFont="1" applyAlignment="1"/>
    <xf numFmtId="44" fontId="12" fillId="0" borderId="0" xfId="1" applyFont="1" applyAlignment="1" applyProtection="1">
      <alignment vertical="center"/>
    </xf>
    <xf numFmtId="44" fontId="12" fillId="0" borderId="0" xfId="0" applyNumberFormat="1" applyFont="1" applyAlignment="1"/>
    <xf numFmtId="0" fontId="9" fillId="0" borderId="19" xfId="0" applyFont="1" applyBorder="1" applyAlignment="1">
      <alignment horizontal="center" vertical="center" wrapText="1"/>
    </xf>
    <xf numFmtId="9" fontId="9" fillId="0" borderId="20" xfId="0" applyNumberFormat="1" applyFont="1" applyBorder="1" applyAlignment="1">
      <alignment horizontal="center" vertical="center" wrapText="1"/>
    </xf>
    <xf numFmtId="0" fontId="2" fillId="0" borderId="4" xfId="0" applyFont="1" applyBorder="1" applyAlignment="1"/>
    <xf numFmtId="44" fontId="4" fillId="5" borderId="4" xfId="1" applyFill="1" applyBorder="1" applyAlignment="1" applyProtection="1"/>
    <xf numFmtId="44" fontId="4" fillId="0" borderId="4" xfId="0" applyNumberFormat="1" applyFont="1" applyBorder="1" applyAlignment="1"/>
    <xf numFmtId="44" fontId="4" fillId="0" borderId="28" xfId="0" applyNumberFormat="1" applyFont="1" applyBorder="1" applyAlignment="1"/>
    <xf numFmtId="44" fontId="4" fillId="0" borderId="0" xfId="1" applyAlignment="1" applyProtection="1"/>
    <xf numFmtId="44" fontId="4" fillId="0" borderId="19" xfId="0" applyNumberFormat="1" applyFont="1" applyBorder="1" applyAlignment="1"/>
    <xf numFmtId="0" fontId="10" fillId="0" borderId="0" xfId="0" applyFont="1" applyAlignment="1">
      <alignment horizontal="center" vertical="center"/>
    </xf>
    <xf numFmtId="44" fontId="10" fillId="0" borderId="0" xfId="1" applyFont="1" applyAlignment="1" applyProtection="1"/>
    <xf numFmtId="44" fontId="12" fillId="8" borderId="2" xfId="1" applyFont="1" applyFill="1" applyBorder="1" applyAlignment="1" applyProtection="1"/>
    <xf numFmtId="44" fontId="12" fillId="0" borderId="0" xfId="1" applyFont="1" applyAlignment="1" applyProtection="1"/>
    <xf numFmtId="44" fontId="12" fillId="11" borderId="2" xfId="1" applyFont="1" applyFill="1" applyBorder="1" applyAlignment="1" applyProtection="1"/>
    <xf numFmtId="0" fontId="12" fillId="13" borderId="2" xfId="0" applyFont="1" applyFill="1" applyBorder="1" applyAlignment="1">
      <alignment horizontal="center" wrapText="1"/>
    </xf>
    <xf numFmtId="44" fontId="6" fillId="13" borderId="2" xfId="0" applyNumberFormat="1" applyFont="1" applyFill="1" applyBorder="1" applyAlignment="1"/>
    <xf numFmtId="44" fontId="12" fillId="13" borderId="2" xfId="1" applyFont="1" applyFill="1" applyBorder="1" applyAlignment="1" applyProtection="1"/>
    <xf numFmtId="0" fontId="11" fillId="8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44" fontId="5" fillId="8" borderId="2" xfId="0" applyNumberFormat="1" applyFont="1" applyFill="1" applyBorder="1" applyAlignment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11" borderId="29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44" fontId="5" fillId="11" borderId="31" xfId="0" applyNumberFormat="1" applyFont="1" applyFill="1" applyBorder="1" applyAlignment="1">
      <alignment horizontal="center" vertical="center"/>
    </xf>
    <xf numFmtId="44" fontId="5" fillId="11" borderId="32" xfId="0" applyNumberFormat="1" applyFont="1" applyFill="1" applyBorder="1" applyAlignment="1">
      <alignment horizontal="center" vertical="center"/>
    </xf>
    <xf numFmtId="44" fontId="5" fillId="11" borderId="33" xfId="0" applyNumberFormat="1" applyFont="1" applyFill="1" applyBorder="1" applyAlignment="1">
      <alignment horizontal="center" vertical="center"/>
    </xf>
    <xf numFmtId="44" fontId="5" fillId="11" borderId="34" xfId="0" applyNumberFormat="1" applyFont="1" applyFill="1" applyBorder="1" applyAlignment="1">
      <alignment horizontal="center" vertical="center"/>
    </xf>
    <xf numFmtId="44" fontId="14" fillId="8" borderId="1" xfId="0" applyNumberFormat="1" applyFont="1" applyFill="1" applyBorder="1" applyAlignment="1">
      <alignment horizontal="center" vertical="center" wrapText="1"/>
    </xf>
    <xf numFmtId="44" fontId="14" fillId="8" borderId="8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4" fontId="5" fillId="11" borderId="29" xfId="0" applyNumberFormat="1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9"/>
  <sheetViews>
    <sheetView workbookViewId="0">
      <selection activeCell="K35" sqref="K35"/>
    </sheetView>
  </sheetViews>
  <sheetFormatPr defaultColWidth="10" defaultRowHeight="14.4"/>
  <cols>
    <col min="2" max="2" width="19.88671875" customWidth="1"/>
    <col min="4" max="4" width="16.5546875" customWidth="1"/>
    <col min="6" max="6" width="21.5546875" customWidth="1"/>
    <col min="7" max="7" width="14.109375" customWidth="1"/>
    <col min="8" max="8" width="12.44140625" customWidth="1"/>
    <col min="9" max="9" width="11.33203125" customWidth="1"/>
  </cols>
  <sheetData>
    <row r="3" spans="1:9">
      <c r="A3" t="s">
        <v>55</v>
      </c>
    </row>
    <row r="6" spans="1:9">
      <c r="B6" s="1" t="s">
        <v>56</v>
      </c>
      <c r="C6" s="1" t="s">
        <v>57</v>
      </c>
      <c r="D6" s="1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</row>
    <row r="7" spans="1:9">
      <c r="A7" t="s">
        <v>64</v>
      </c>
    </row>
    <row r="8" spans="1:9">
      <c r="A8" t="s">
        <v>65</v>
      </c>
      <c r="B8" t="s">
        <v>66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69</v>
      </c>
      <c r="I8" t="s">
        <v>70</v>
      </c>
    </row>
    <row r="9" spans="1:9">
      <c r="A9" t="s">
        <v>71</v>
      </c>
      <c r="B9">
        <v>127</v>
      </c>
      <c r="C9" s="2">
        <v>0</v>
      </c>
      <c r="D9">
        <v>1</v>
      </c>
      <c r="E9">
        <f>((B9*B9*0.62)/100)*D9</f>
        <v>99.999799999999993</v>
      </c>
      <c r="F9">
        <f>(B9*B9)*0.003534</f>
        <v>56.999885999999996</v>
      </c>
      <c r="H9">
        <f>((((B9^2)*0.00676)-(C9^2)*0.00676))/2</f>
        <v>54.516020000000005</v>
      </c>
    </row>
    <row r="10" spans="1:9">
      <c r="A10" t="s">
        <v>72</v>
      </c>
      <c r="C10" s="2">
        <v>0</v>
      </c>
      <c r="E10">
        <f>((B10*B10*0.0785)/100)*D10</f>
        <v>0</v>
      </c>
    </row>
    <row r="11" spans="1:9">
      <c r="A11" t="s">
        <v>73</v>
      </c>
      <c r="E11">
        <f>((B11*C11*0.0785)/100)*D11</f>
        <v>0</v>
      </c>
    </row>
    <row r="12" spans="1:9">
      <c r="A12" t="s">
        <v>74</v>
      </c>
      <c r="C12" s="2">
        <v>0</v>
      </c>
      <c r="E12">
        <f>((B12*B12*0.68)/100)*D12</f>
        <v>0</v>
      </c>
    </row>
    <row r="13" spans="1:9">
      <c r="A13" t="s">
        <v>75</v>
      </c>
      <c r="C13" s="2">
        <v>0</v>
      </c>
      <c r="E13">
        <f>((B13*B13*0.65)/100)*D13</f>
        <v>0</v>
      </c>
    </row>
    <row r="14" spans="1:9">
      <c r="A14" t="s">
        <v>76</v>
      </c>
      <c r="C14" s="2">
        <v>0</v>
      </c>
      <c r="E14">
        <f>((B14*B14*0.34)/100)*D14</f>
        <v>0</v>
      </c>
    </row>
    <row r="15" spans="1:9">
      <c r="A15" t="s">
        <v>77</v>
      </c>
      <c r="B15">
        <v>215</v>
      </c>
      <c r="C15">
        <v>165.1</v>
      </c>
      <c r="D15">
        <v>0.38</v>
      </c>
      <c r="E15">
        <f>(((B15*B15*0.616)/100)-((C15*C15*0.616)/100))*D15</f>
        <v>44.397930192000004</v>
      </c>
      <c r="F15">
        <f>((B15*B15)-(C15*C15))*0.003534</f>
        <v>67.029342659999998</v>
      </c>
    </row>
    <row r="18" spans="1:2">
      <c r="A18" t="s">
        <v>78</v>
      </c>
      <c r="B18" t="s">
        <v>79</v>
      </c>
    </row>
    <row r="19" spans="1:2">
      <c r="A19" t="s">
        <v>63</v>
      </c>
    </row>
    <row r="20" spans="1:2">
      <c r="A20" t="s">
        <v>80</v>
      </c>
    </row>
    <row r="21" spans="1:2">
      <c r="A21" t="s">
        <v>81</v>
      </c>
    </row>
    <row r="22" spans="1:2">
      <c r="A22" t="s">
        <v>82</v>
      </c>
    </row>
    <row r="23" spans="1:2">
      <c r="A23" t="s">
        <v>83</v>
      </c>
    </row>
    <row r="24" spans="1:2">
      <c r="A24" t="s">
        <v>84</v>
      </c>
    </row>
    <row r="25" spans="1:2">
      <c r="A25" t="s">
        <v>85</v>
      </c>
    </row>
    <row r="26" spans="1:2">
      <c r="A26" t="s">
        <v>86</v>
      </c>
    </row>
    <row r="27" spans="1:2">
      <c r="A27" t="s">
        <v>87</v>
      </c>
    </row>
    <row r="28" spans="1:2">
      <c r="A28" t="s">
        <v>88</v>
      </c>
    </row>
    <row r="29" spans="1:2">
      <c r="A29" t="s">
        <v>89</v>
      </c>
    </row>
    <row r="30" spans="1:2">
      <c r="A30" t="s">
        <v>90</v>
      </c>
    </row>
    <row r="31" spans="1:2">
      <c r="A31" t="s">
        <v>91</v>
      </c>
      <c r="B31" t="s">
        <v>92</v>
      </c>
    </row>
    <row r="32" spans="1:2">
      <c r="A32" t="s">
        <v>93</v>
      </c>
      <c r="B32" t="s">
        <v>94</v>
      </c>
    </row>
    <row r="34" spans="1:9" ht="15">
      <c r="A34" s="3" t="s">
        <v>95</v>
      </c>
      <c r="F34" t="s">
        <v>104</v>
      </c>
    </row>
    <row r="35" spans="1:9">
      <c r="F35" s="4" t="s">
        <v>105</v>
      </c>
      <c r="G35" s="4" t="s">
        <v>64</v>
      </c>
      <c r="H35" s="4" t="s">
        <v>106</v>
      </c>
      <c r="I35" s="5" t="s">
        <v>107</v>
      </c>
    </row>
    <row r="36" spans="1:9">
      <c r="A36" s="6" t="s">
        <v>8</v>
      </c>
      <c r="B36" s="6" t="s">
        <v>10</v>
      </c>
      <c r="C36" s="6" t="s">
        <v>96</v>
      </c>
      <c r="D36" s="6" t="s">
        <v>36</v>
      </c>
      <c r="F36" s="7" t="s">
        <v>108</v>
      </c>
      <c r="G36" s="8">
        <v>2.6</v>
      </c>
      <c r="H36" s="9">
        <v>10</v>
      </c>
      <c r="I36" s="10">
        <f t="shared" ref="I36:I45" si="0">G36/H36</f>
        <v>0.26</v>
      </c>
    </row>
    <row r="37" spans="1:9">
      <c r="A37" s="7">
        <v>1</v>
      </c>
      <c r="B37" s="7" t="s">
        <v>97</v>
      </c>
      <c r="C37" s="7" t="s">
        <v>66</v>
      </c>
      <c r="D37" s="11">
        <v>102</v>
      </c>
      <c r="F37" s="7" t="s">
        <v>109</v>
      </c>
      <c r="G37" s="12">
        <v>800</v>
      </c>
      <c r="H37" s="9">
        <v>30000</v>
      </c>
      <c r="I37" s="10">
        <f t="shared" si="0"/>
        <v>2.6666666666666668E-2</v>
      </c>
    </row>
    <row r="38" spans="1:9">
      <c r="A38" s="7">
        <v>2</v>
      </c>
      <c r="B38" s="7" t="s">
        <v>98</v>
      </c>
      <c r="C38" s="7" t="s">
        <v>99</v>
      </c>
      <c r="D38" s="7">
        <v>3.1415999999999999</v>
      </c>
      <c r="F38" s="7" t="s">
        <v>110</v>
      </c>
      <c r="G38" s="12">
        <v>50</v>
      </c>
      <c r="H38" s="9">
        <v>10000</v>
      </c>
      <c r="I38" s="10">
        <f t="shared" si="0"/>
        <v>5.0000000000000001E-3</v>
      </c>
    </row>
    <row r="39" spans="1:9">
      <c r="A39" s="7">
        <v>3</v>
      </c>
      <c r="B39" s="7" t="s">
        <v>100</v>
      </c>
      <c r="C39" s="7" t="s">
        <v>66</v>
      </c>
      <c r="D39" s="11">
        <v>328</v>
      </c>
      <c r="F39" s="7" t="s">
        <v>111</v>
      </c>
      <c r="G39" s="12">
        <v>625</v>
      </c>
      <c r="H39" s="9">
        <v>3000</v>
      </c>
      <c r="I39" s="10">
        <f t="shared" si="0"/>
        <v>0.20833333333333334</v>
      </c>
    </row>
    <row r="40" spans="1:9">
      <c r="A40" s="7">
        <v>4</v>
      </c>
      <c r="B40" s="7" t="s">
        <v>101</v>
      </c>
      <c r="C40" s="7"/>
      <c r="D40" s="7">
        <v>10000</v>
      </c>
      <c r="F40" s="7" t="s">
        <v>112</v>
      </c>
      <c r="G40" s="12">
        <v>50</v>
      </c>
      <c r="H40" s="9">
        <v>3000</v>
      </c>
      <c r="I40" s="10">
        <f t="shared" si="0"/>
        <v>1.6666666666666666E-2</v>
      </c>
    </row>
    <row r="41" spans="1:9">
      <c r="A41" s="7">
        <v>5</v>
      </c>
      <c r="B41" s="7" t="s">
        <v>102</v>
      </c>
      <c r="C41" s="7"/>
      <c r="D41" s="13">
        <v>50</v>
      </c>
      <c r="F41" s="14" t="s">
        <v>113</v>
      </c>
      <c r="G41" s="12">
        <v>20</v>
      </c>
      <c r="H41" s="9">
        <v>15000</v>
      </c>
      <c r="I41" s="10">
        <f t="shared" si="0"/>
        <v>1.3333333333333333E-3</v>
      </c>
    </row>
    <row r="42" spans="1:9">
      <c r="F42" s="14" t="s">
        <v>114</v>
      </c>
      <c r="G42" s="12">
        <v>500</v>
      </c>
      <c r="H42" s="9">
        <v>30000</v>
      </c>
      <c r="I42" s="10">
        <f t="shared" si="0"/>
        <v>1.6666666666666666E-2</v>
      </c>
    </row>
    <row r="43" spans="1:9">
      <c r="B43" s="15" t="s">
        <v>103</v>
      </c>
      <c r="D43" s="16">
        <f>((D37*D38*D39)/D40)*D41</f>
        <v>525.52684799999997</v>
      </c>
      <c r="F43" s="14" t="s">
        <v>115</v>
      </c>
      <c r="G43" s="12">
        <v>20</v>
      </c>
      <c r="H43" s="9">
        <v>3000</v>
      </c>
      <c r="I43" s="10">
        <f t="shared" si="0"/>
        <v>6.6666666666666671E-3</v>
      </c>
    </row>
    <row r="44" spans="1:9">
      <c r="F44" s="14" t="s">
        <v>116</v>
      </c>
      <c r="G44" s="12">
        <v>500</v>
      </c>
      <c r="H44" s="9">
        <v>36000</v>
      </c>
      <c r="I44" s="10">
        <f t="shared" si="0"/>
        <v>1.3888888888888888E-2</v>
      </c>
    </row>
    <row r="45" spans="1:9">
      <c r="F45" s="17" t="s">
        <v>117</v>
      </c>
      <c r="G45" s="12">
        <v>50</v>
      </c>
      <c r="H45" s="18">
        <v>30000</v>
      </c>
      <c r="I45" s="19">
        <f t="shared" si="0"/>
        <v>1.6666666666666668E-3</v>
      </c>
    </row>
    <row r="46" spans="1:9">
      <c r="F46" s="7" t="s">
        <v>118</v>
      </c>
      <c r="G46" s="13">
        <v>500</v>
      </c>
      <c r="H46" s="7">
        <v>36000</v>
      </c>
      <c r="I46" s="20">
        <f>G46/H46</f>
        <v>1.3888888888888888E-2</v>
      </c>
    </row>
    <row r="47" spans="1:9">
      <c r="I47" s="8"/>
    </row>
    <row r="48" spans="1:9">
      <c r="I48" s="8"/>
    </row>
    <row r="49" spans="7:9">
      <c r="G49" t="s">
        <v>119</v>
      </c>
      <c r="I49" s="21">
        <f>SUM(I36:I48)</f>
        <v>0.57077777777777783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abSelected="1" workbookViewId="0">
      <selection activeCell="F13" sqref="F13"/>
    </sheetView>
  </sheetViews>
  <sheetFormatPr defaultColWidth="9.109375" defaultRowHeight="14.4"/>
  <cols>
    <col min="1" max="1" width="7.33203125" style="22" customWidth="1"/>
    <col min="2" max="2" width="7.88671875" style="22" customWidth="1"/>
    <col min="3" max="3" width="9.109375" style="22"/>
    <col min="4" max="4" width="57.33203125" style="22" customWidth="1"/>
    <col min="5" max="5" width="12.44140625" style="22" customWidth="1"/>
    <col min="6" max="6" width="14.33203125" style="22" bestFit="1" customWidth="1"/>
    <col min="7" max="7" width="15.44140625" style="22" bestFit="1" customWidth="1"/>
    <col min="8" max="8" width="14.6640625" style="22" customWidth="1"/>
    <col min="9" max="9" width="17.6640625" style="22" bestFit="1" customWidth="1"/>
    <col min="10" max="16384" width="9.109375" style="22"/>
  </cols>
  <sheetData>
    <row r="1" spans="1:9" ht="18">
      <c r="A1" s="170" t="s">
        <v>143</v>
      </c>
      <c r="B1" s="170"/>
      <c r="C1" s="170"/>
      <c r="D1" s="170"/>
      <c r="E1" s="170"/>
      <c r="F1" s="170"/>
      <c r="G1" s="23"/>
      <c r="H1" s="24"/>
      <c r="I1" s="25" t="s">
        <v>1</v>
      </c>
    </row>
    <row r="2" spans="1:9" ht="21.6" customHeight="1">
      <c r="I2" s="26">
        <v>45121</v>
      </c>
    </row>
    <row r="3" spans="1:9">
      <c r="A3" s="154" t="s">
        <v>0</v>
      </c>
      <c r="B3" s="154"/>
      <c r="C3" s="154"/>
      <c r="D3" s="27"/>
      <c r="I3" s="28" t="s">
        <v>3</v>
      </c>
    </row>
    <row r="4" spans="1:9" ht="38.25" customHeight="1">
      <c r="A4" s="154" t="s">
        <v>2</v>
      </c>
      <c r="B4" s="154"/>
      <c r="C4" s="154"/>
      <c r="D4" s="178" t="s">
        <v>164</v>
      </c>
      <c r="E4" s="179"/>
      <c r="F4" s="179"/>
      <c r="G4" s="179"/>
      <c r="H4" s="179"/>
      <c r="I4" s="29">
        <v>33</v>
      </c>
    </row>
    <row r="5" spans="1:9">
      <c r="A5" s="154" t="s">
        <v>4</v>
      </c>
      <c r="B5" s="154"/>
      <c r="C5" s="154"/>
      <c r="D5" s="30" t="s">
        <v>160</v>
      </c>
      <c r="I5" s="31"/>
    </row>
    <row r="6" spans="1:9">
      <c r="A6" s="154" t="s">
        <v>5</v>
      </c>
      <c r="B6" s="154"/>
      <c r="C6" s="154"/>
      <c r="D6" s="32" t="s">
        <v>161</v>
      </c>
      <c r="E6" s="186" t="s">
        <v>6</v>
      </c>
      <c r="F6" s="186"/>
      <c r="G6" s="31" t="s">
        <v>162</v>
      </c>
      <c r="H6" s="182"/>
      <c r="I6" s="183"/>
    </row>
    <row r="7" spans="1:9">
      <c r="D7" s="33"/>
    </row>
    <row r="8" spans="1:9">
      <c r="A8" s="184" t="s">
        <v>148</v>
      </c>
      <c r="B8" s="184"/>
      <c r="C8" s="184"/>
      <c r="D8" s="184"/>
      <c r="E8" s="184" t="s">
        <v>149</v>
      </c>
      <c r="F8" s="184"/>
      <c r="G8" s="184"/>
      <c r="H8" s="184"/>
      <c r="I8" s="184"/>
    </row>
    <row r="9" spans="1:9">
      <c r="A9" s="185" t="s">
        <v>7</v>
      </c>
      <c r="B9" s="185"/>
      <c r="C9" s="185"/>
      <c r="D9" s="185"/>
      <c r="E9" s="185"/>
      <c r="F9" s="185"/>
      <c r="G9" s="185"/>
      <c r="H9" s="185"/>
      <c r="I9" s="185"/>
    </row>
    <row r="10" spans="1:9">
      <c r="A10" s="152" t="s">
        <v>8</v>
      </c>
      <c r="B10" s="152" t="s">
        <v>3</v>
      </c>
      <c r="C10" s="152" t="s">
        <v>9</v>
      </c>
      <c r="D10" s="152" t="s">
        <v>10</v>
      </c>
      <c r="E10" s="152" t="s">
        <v>153</v>
      </c>
      <c r="F10" s="152" t="s">
        <v>12</v>
      </c>
      <c r="G10" s="152"/>
      <c r="H10" s="34" t="s">
        <v>150</v>
      </c>
      <c r="I10" s="152" t="s">
        <v>13</v>
      </c>
    </row>
    <row r="11" spans="1:9" ht="27.9" customHeight="1">
      <c r="A11" s="153"/>
      <c r="B11" s="153"/>
      <c r="C11" s="153"/>
      <c r="D11" s="153"/>
      <c r="E11" s="153"/>
      <c r="F11" s="153"/>
      <c r="G11" s="153"/>
      <c r="H11" s="35">
        <v>0.15</v>
      </c>
      <c r="I11" s="153"/>
    </row>
    <row r="12" spans="1:9">
      <c r="A12" s="36">
        <v>1</v>
      </c>
      <c r="B12" s="37">
        <f>90.25*5.1</f>
        <v>460.27499999999998</v>
      </c>
      <c r="C12" s="38" t="s">
        <v>28</v>
      </c>
      <c r="D12" s="39" t="s">
        <v>163</v>
      </c>
      <c r="E12" s="40">
        <v>18</v>
      </c>
      <c r="F12" s="41">
        <f>B12*E12</f>
        <v>8284.9499999999989</v>
      </c>
      <c r="G12" s="41"/>
      <c r="H12" s="42">
        <f>F12*$H$11</f>
        <v>1242.7424999999998</v>
      </c>
      <c r="I12" s="43">
        <f t="shared" ref="I12:I16" si="0">F12+H12</f>
        <v>9527.6924999999992</v>
      </c>
    </row>
    <row r="13" spans="1:9">
      <c r="A13" s="44">
        <v>2</v>
      </c>
      <c r="B13" s="45"/>
      <c r="C13" s="46"/>
      <c r="D13" s="47"/>
      <c r="E13" s="48"/>
      <c r="F13" s="41"/>
      <c r="G13" s="41"/>
      <c r="H13" s="42">
        <f t="shared" ref="H13:H16" si="1">F13*$H$11</f>
        <v>0</v>
      </c>
      <c r="I13" s="43">
        <f t="shared" si="0"/>
        <v>0</v>
      </c>
    </row>
    <row r="14" spans="1:9">
      <c r="A14" s="49">
        <v>3</v>
      </c>
      <c r="B14" s="50"/>
      <c r="C14" s="46"/>
      <c r="D14" s="51"/>
      <c r="E14" s="52"/>
      <c r="F14" s="41"/>
      <c r="G14" s="41"/>
      <c r="H14" s="42">
        <f t="shared" si="1"/>
        <v>0</v>
      </c>
      <c r="I14" s="43">
        <f t="shared" si="0"/>
        <v>0</v>
      </c>
    </row>
    <row r="15" spans="1:9">
      <c r="A15" s="49">
        <v>4</v>
      </c>
      <c r="B15" s="50"/>
      <c r="C15" s="46"/>
      <c r="D15" s="51"/>
      <c r="E15" s="52"/>
      <c r="F15" s="41"/>
      <c r="G15" s="41"/>
      <c r="H15" s="42">
        <f t="shared" si="1"/>
        <v>0</v>
      </c>
      <c r="I15" s="43">
        <f t="shared" si="0"/>
        <v>0</v>
      </c>
    </row>
    <row r="16" spans="1:9">
      <c r="A16" s="49">
        <v>5</v>
      </c>
      <c r="B16" s="50"/>
      <c r="C16" s="46"/>
      <c r="D16" s="51"/>
      <c r="E16" s="52"/>
      <c r="F16" s="41"/>
      <c r="G16" s="41"/>
      <c r="H16" s="42">
        <f t="shared" si="1"/>
        <v>0</v>
      </c>
      <c r="I16" s="43">
        <f t="shared" si="0"/>
        <v>0</v>
      </c>
    </row>
    <row r="18" spans="1:9">
      <c r="D18" s="22" t="s">
        <v>14</v>
      </c>
      <c r="I18" s="53">
        <f>SUM(I12:I16)</f>
        <v>9527.6924999999992</v>
      </c>
    </row>
    <row r="20" spans="1:9">
      <c r="A20" s="181" t="s">
        <v>15</v>
      </c>
      <c r="B20" s="181"/>
      <c r="C20" s="181"/>
      <c r="D20" s="181"/>
      <c r="E20" s="181"/>
      <c r="F20" s="181"/>
      <c r="G20" s="181"/>
      <c r="H20" s="181"/>
      <c r="I20" s="181"/>
    </row>
    <row r="21" spans="1:9" ht="28.8">
      <c r="A21" s="54" t="s">
        <v>8</v>
      </c>
      <c r="B21" s="55" t="s">
        <v>3</v>
      </c>
      <c r="C21" s="55" t="s">
        <v>9</v>
      </c>
      <c r="D21" s="55" t="s">
        <v>10</v>
      </c>
      <c r="E21" s="55" t="s">
        <v>11</v>
      </c>
      <c r="F21" s="55"/>
      <c r="G21" s="55"/>
      <c r="H21" s="55"/>
      <c r="I21" s="56" t="s">
        <v>13</v>
      </c>
    </row>
    <row r="22" spans="1:9">
      <c r="A22" s="36"/>
      <c r="B22" s="46">
        <f>15/60*I4</f>
        <v>8.25</v>
      </c>
      <c r="C22" s="57" t="s">
        <v>16</v>
      </c>
      <c r="D22" s="58" t="s">
        <v>17</v>
      </c>
      <c r="E22" s="41">
        <v>50</v>
      </c>
      <c r="F22" s="59"/>
      <c r="G22" s="58"/>
      <c r="H22" s="58"/>
      <c r="I22" s="60">
        <f t="shared" ref="I22:I42" si="2">(B22*E22)+H22</f>
        <v>412.5</v>
      </c>
    </row>
    <row r="23" spans="1:9">
      <c r="A23" s="49"/>
      <c r="B23" s="45"/>
      <c r="C23" s="45" t="s">
        <v>18</v>
      </c>
      <c r="D23" s="7" t="s">
        <v>120</v>
      </c>
      <c r="E23" s="42">
        <v>90</v>
      </c>
      <c r="F23" s="59"/>
      <c r="G23" s="59"/>
      <c r="H23" s="59"/>
      <c r="I23" s="60">
        <f t="shared" si="2"/>
        <v>0</v>
      </c>
    </row>
    <row r="24" spans="1:9">
      <c r="A24" s="49"/>
      <c r="B24" s="50"/>
      <c r="C24" s="45" t="s">
        <v>18</v>
      </c>
      <c r="D24" s="7" t="s">
        <v>121</v>
      </c>
      <c r="E24" s="42">
        <v>90</v>
      </c>
      <c r="F24" s="59"/>
      <c r="G24" s="59"/>
      <c r="H24" s="59"/>
      <c r="I24" s="60">
        <f t="shared" si="2"/>
        <v>0</v>
      </c>
    </row>
    <row r="25" spans="1:9">
      <c r="A25" s="49"/>
      <c r="B25" s="45"/>
      <c r="C25" s="50" t="s">
        <v>18</v>
      </c>
      <c r="D25" s="7" t="s">
        <v>19</v>
      </c>
      <c r="E25" s="42">
        <v>200</v>
      </c>
      <c r="F25" s="59"/>
      <c r="G25" s="59"/>
      <c r="H25" s="59"/>
      <c r="I25" s="60">
        <f t="shared" si="2"/>
        <v>0</v>
      </c>
    </row>
    <row r="26" spans="1:9">
      <c r="A26" s="49"/>
      <c r="B26" s="50"/>
      <c r="C26" s="45" t="s">
        <v>16</v>
      </c>
      <c r="D26" s="7" t="s">
        <v>122</v>
      </c>
      <c r="E26" s="42">
        <v>180</v>
      </c>
      <c r="F26" s="59"/>
      <c r="G26" s="59"/>
      <c r="H26" s="59"/>
      <c r="I26" s="60">
        <f t="shared" si="2"/>
        <v>0</v>
      </c>
    </row>
    <row r="27" spans="1:9">
      <c r="A27" s="49"/>
      <c r="B27" s="45">
        <f>1.25*I4</f>
        <v>41.25</v>
      </c>
      <c r="C27" s="50" t="s">
        <v>16</v>
      </c>
      <c r="D27" s="7" t="s">
        <v>123</v>
      </c>
      <c r="E27" s="42">
        <v>200</v>
      </c>
      <c r="F27" s="59"/>
      <c r="G27" s="59"/>
      <c r="H27" s="59"/>
      <c r="I27" s="60">
        <f t="shared" si="2"/>
        <v>8250</v>
      </c>
    </row>
    <row r="28" spans="1:9">
      <c r="A28" s="49"/>
      <c r="B28" s="45"/>
      <c r="C28" s="45" t="s">
        <v>16</v>
      </c>
      <c r="D28" s="7" t="s">
        <v>45</v>
      </c>
      <c r="E28" s="42">
        <v>200</v>
      </c>
      <c r="F28" s="59"/>
      <c r="G28" s="59"/>
      <c r="H28" s="59"/>
      <c r="I28" s="60">
        <f t="shared" si="2"/>
        <v>0</v>
      </c>
    </row>
    <row r="29" spans="1:9">
      <c r="A29" s="49"/>
      <c r="B29" s="45">
        <v>1.5</v>
      </c>
      <c r="C29" s="45" t="s">
        <v>16</v>
      </c>
      <c r="D29" s="7" t="s">
        <v>20</v>
      </c>
      <c r="E29" s="42">
        <v>150</v>
      </c>
      <c r="F29" s="59"/>
      <c r="G29" s="59"/>
      <c r="H29" s="59"/>
      <c r="I29" s="60">
        <f t="shared" si="2"/>
        <v>225</v>
      </c>
    </row>
    <row r="30" spans="1:9">
      <c r="A30" s="49"/>
      <c r="B30" s="45"/>
      <c r="C30" s="45" t="s">
        <v>16</v>
      </c>
      <c r="D30" s="7" t="s">
        <v>21</v>
      </c>
      <c r="E30" s="42">
        <v>90</v>
      </c>
      <c r="F30" s="59"/>
      <c r="G30" s="59"/>
      <c r="H30" s="59"/>
      <c r="I30" s="60">
        <f t="shared" si="2"/>
        <v>0</v>
      </c>
    </row>
    <row r="31" spans="1:9">
      <c r="A31" s="49"/>
      <c r="B31" s="45"/>
      <c r="C31" s="45" t="s">
        <v>16</v>
      </c>
      <c r="D31" s="59" t="s">
        <v>22</v>
      </c>
      <c r="E31" s="42">
        <v>60</v>
      </c>
      <c r="F31" s="59"/>
      <c r="G31" s="59"/>
      <c r="H31" s="59"/>
      <c r="I31" s="60">
        <f t="shared" si="2"/>
        <v>0</v>
      </c>
    </row>
    <row r="32" spans="1:9">
      <c r="A32" s="49"/>
      <c r="B32" s="45"/>
      <c r="C32" s="45" t="s">
        <v>16</v>
      </c>
      <c r="D32" s="59" t="s">
        <v>23</v>
      </c>
      <c r="E32" s="42">
        <v>60</v>
      </c>
      <c r="F32" s="59"/>
      <c r="G32" s="59"/>
      <c r="H32" s="59"/>
      <c r="I32" s="60">
        <f t="shared" si="2"/>
        <v>0</v>
      </c>
    </row>
    <row r="33" spans="1:9">
      <c r="A33" s="49"/>
      <c r="B33" s="45"/>
      <c r="C33" s="50" t="s">
        <v>18</v>
      </c>
      <c r="D33" s="61" t="s">
        <v>24</v>
      </c>
      <c r="E33" s="62">
        <v>150</v>
      </c>
      <c r="F33" s="59"/>
      <c r="G33" s="59"/>
      <c r="H33" s="59"/>
      <c r="I33" s="60">
        <f t="shared" si="2"/>
        <v>0</v>
      </c>
    </row>
    <row r="34" spans="1:9">
      <c r="A34" s="49"/>
      <c r="B34" s="45"/>
      <c r="C34" s="50" t="s">
        <v>18</v>
      </c>
      <c r="D34" s="7" t="s">
        <v>46</v>
      </c>
      <c r="E34" s="63">
        <v>200</v>
      </c>
      <c r="F34" s="59"/>
      <c r="G34" s="59"/>
      <c r="H34" s="59"/>
      <c r="I34" s="60">
        <f t="shared" si="2"/>
        <v>0</v>
      </c>
    </row>
    <row r="35" spans="1:9">
      <c r="A35" s="49"/>
      <c r="B35" s="45">
        <v>20</v>
      </c>
      <c r="C35" s="45">
        <v>1</v>
      </c>
      <c r="D35" s="59" t="s">
        <v>25</v>
      </c>
      <c r="E35" s="63">
        <v>30</v>
      </c>
      <c r="F35" s="59"/>
      <c r="G35" s="59"/>
      <c r="H35" s="59"/>
      <c r="I35" s="60">
        <f t="shared" si="2"/>
        <v>600</v>
      </c>
    </row>
    <row r="36" spans="1:9">
      <c r="A36" s="49"/>
      <c r="B36" s="45"/>
      <c r="C36" s="50" t="s">
        <v>49</v>
      </c>
      <c r="D36" s="7" t="s">
        <v>47</v>
      </c>
      <c r="E36" s="63"/>
      <c r="F36" s="59"/>
      <c r="G36" s="59"/>
      <c r="H36" s="59"/>
      <c r="I36" s="60">
        <f t="shared" si="2"/>
        <v>0</v>
      </c>
    </row>
    <row r="37" spans="1:9">
      <c r="A37" s="49"/>
      <c r="B37" s="45">
        <v>20</v>
      </c>
      <c r="C37" s="50" t="s">
        <v>48</v>
      </c>
      <c r="D37" s="59" t="s">
        <v>26</v>
      </c>
      <c r="E37" s="63">
        <v>15</v>
      </c>
      <c r="F37" s="59"/>
      <c r="G37" s="59"/>
      <c r="H37" s="59"/>
      <c r="I37" s="60">
        <f t="shared" si="2"/>
        <v>300</v>
      </c>
    </row>
    <row r="38" spans="1:9">
      <c r="A38" s="49"/>
      <c r="B38" s="45"/>
      <c r="C38" s="50" t="s">
        <v>48</v>
      </c>
      <c r="D38" s="59" t="s">
        <v>27</v>
      </c>
      <c r="E38" s="63"/>
      <c r="F38" s="59"/>
      <c r="G38" s="59"/>
      <c r="H38" s="59"/>
      <c r="I38" s="60">
        <f t="shared" si="2"/>
        <v>0</v>
      </c>
    </row>
    <row r="39" spans="1:9">
      <c r="A39" s="49"/>
      <c r="B39" s="64"/>
      <c r="C39" s="64" t="s">
        <v>28</v>
      </c>
      <c r="D39" s="65" t="s">
        <v>29</v>
      </c>
      <c r="E39" s="63"/>
      <c r="F39" s="65"/>
      <c r="G39" s="65"/>
      <c r="H39" s="65"/>
      <c r="I39" s="60">
        <f t="shared" si="2"/>
        <v>0</v>
      </c>
    </row>
    <row r="40" spans="1:9">
      <c r="A40" s="49"/>
      <c r="B40" s="45"/>
      <c r="C40" s="45"/>
      <c r="D40" s="66"/>
      <c r="E40" s="63"/>
      <c r="F40" s="59"/>
      <c r="G40" s="59"/>
      <c r="H40" s="59"/>
      <c r="I40" s="60">
        <f t="shared" si="2"/>
        <v>0</v>
      </c>
    </row>
    <row r="41" spans="1:9">
      <c r="A41" s="49"/>
      <c r="B41" s="45"/>
      <c r="C41" s="50"/>
      <c r="D41" s="7"/>
      <c r="E41" s="42"/>
      <c r="F41" s="59"/>
      <c r="G41" s="59"/>
      <c r="H41" s="59"/>
      <c r="I41" s="60">
        <f t="shared" si="2"/>
        <v>0</v>
      </c>
    </row>
    <row r="42" spans="1:9">
      <c r="A42" s="49"/>
      <c r="B42" s="45"/>
      <c r="C42" s="45"/>
      <c r="D42" s="59"/>
      <c r="E42" s="62"/>
      <c r="F42" s="59"/>
      <c r="G42" s="59"/>
      <c r="H42" s="59"/>
      <c r="I42" s="60">
        <f t="shared" si="2"/>
        <v>0</v>
      </c>
    </row>
    <row r="44" spans="1:9">
      <c r="D44" s="22" t="s">
        <v>30</v>
      </c>
      <c r="I44" s="53">
        <f>SUM(I22:I42)</f>
        <v>9787.5</v>
      </c>
    </row>
    <row r="46" spans="1:9">
      <c r="A46" s="180" t="s">
        <v>31</v>
      </c>
      <c r="B46" s="180"/>
      <c r="C46" s="180"/>
      <c r="D46" s="180"/>
      <c r="E46" s="180"/>
      <c r="F46" s="180"/>
      <c r="G46" s="180"/>
      <c r="H46" s="180"/>
      <c r="I46" s="180"/>
    </row>
    <row r="47" spans="1:9" ht="28.8">
      <c r="A47" s="67" t="s">
        <v>8</v>
      </c>
      <c r="B47" s="68" t="s">
        <v>3</v>
      </c>
      <c r="C47" s="68" t="s">
        <v>9</v>
      </c>
      <c r="D47" s="68" t="s">
        <v>10</v>
      </c>
      <c r="E47" s="68" t="s">
        <v>11</v>
      </c>
      <c r="F47" s="68"/>
      <c r="G47" s="68"/>
      <c r="H47" s="68"/>
      <c r="I47" s="56" t="s">
        <v>13</v>
      </c>
    </row>
    <row r="48" spans="1:9">
      <c r="A48" s="69"/>
      <c r="B48" s="70"/>
      <c r="C48" s="71" t="s">
        <v>18</v>
      </c>
      <c r="D48" s="72" t="s">
        <v>124</v>
      </c>
      <c r="E48" s="73">
        <v>40</v>
      </c>
      <c r="F48" s="74"/>
      <c r="G48" s="74"/>
      <c r="H48" s="75"/>
      <c r="I48" s="60">
        <f t="shared" ref="I48:I70" si="3">(B48*E48)+H48</f>
        <v>0</v>
      </c>
    </row>
    <row r="49" spans="1:9">
      <c r="A49" s="49"/>
      <c r="B49" s="50"/>
      <c r="C49" s="50" t="s">
        <v>18</v>
      </c>
      <c r="D49" s="72" t="s">
        <v>125</v>
      </c>
      <c r="E49" s="42">
        <v>50</v>
      </c>
      <c r="F49" s="59"/>
      <c r="G49" s="59"/>
      <c r="H49" s="42"/>
      <c r="I49" s="60">
        <f t="shared" si="3"/>
        <v>0</v>
      </c>
    </row>
    <row r="50" spans="1:9">
      <c r="A50" s="49"/>
      <c r="B50" s="45"/>
      <c r="C50" s="50" t="s">
        <v>18</v>
      </c>
      <c r="D50" s="7" t="s">
        <v>126</v>
      </c>
      <c r="E50" s="42">
        <v>70</v>
      </c>
      <c r="F50" s="59"/>
      <c r="G50" s="59"/>
      <c r="H50" s="42"/>
      <c r="I50" s="60">
        <f t="shared" si="3"/>
        <v>0</v>
      </c>
    </row>
    <row r="51" spans="1:9">
      <c r="A51" s="49"/>
      <c r="B51" s="45"/>
      <c r="C51" s="45" t="s">
        <v>16</v>
      </c>
      <c r="D51" s="7" t="s">
        <v>127</v>
      </c>
      <c r="E51" s="42">
        <v>20</v>
      </c>
      <c r="F51" s="59"/>
      <c r="G51" s="59"/>
      <c r="H51" s="42"/>
      <c r="I51" s="60">
        <f t="shared" si="3"/>
        <v>0</v>
      </c>
    </row>
    <row r="52" spans="1:9">
      <c r="A52" s="49"/>
      <c r="B52" s="45"/>
      <c r="C52" s="76" t="s">
        <v>18</v>
      </c>
      <c r="D52" s="77" t="s">
        <v>128</v>
      </c>
      <c r="E52" s="42">
        <v>25</v>
      </c>
      <c r="F52" s="59"/>
      <c r="G52" s="59"/>
      <c r="H52" s="42"/>
      <c r="I52" s="60">
        <f t="shared" si="3"/>
        <v>0</v>
      </c>
    </row>
    <row r="53" spans="1:9">
      <c r="A53" s="49"/>
      <c r="B53" s="45"/>
      <c r="C53" s="76" t="s">
        <v>18</v>
      </c>
      <c r="D53" s="61" t="s">
        <v>129</v>
      </c>
      <c r="E53" s="78">
        <v>35</v>
      </c>
      <c r="F53" s="59"/>
      <c r="G53" s="59"/>
      <c r="H53" s="42"/>
      <c r="I53" s="60">
        <f t="shared" si="3"/>
        <v>0</v>
      </c>
    </row>
    <row r="54" spans="1:9">
      <c r="A54" s="49"/>
      <c r="B54" s="45"/>
      <c r="C54" s="76" t="s">
        <v>18</v>
      </c>
      <c r="D54" s="79" t="s">
        <v>132</v>
      </c>
      <c r="E54" s="80">
        <v>25</v>
      </c>
      <c r="F54" s="59"/>
      <c r="G54" s="59"/>
      <c r="H54" s="42"/>
      <c r="I54" s="60">
        <f t="shared" si="3"/>
        <v>0</v>
      </c>
    </row>
    <row r="55" spans="1:9">
      <c r="A55" s="49"/>
      <c r="B55" s="45"/>
      <c r="C55" s="76" t="s">
        <v>18</v>
      </c>
      <c r="D55" s="81" t="s">
        <v>130</v>
      </c>
      <c r="E55" s="80">
        <v>35</v>
      </c>
      <c r="F55" s="59"/>
      <c r="G55" s="59"/>
      <c r="H55" s="42"/>
      <c r="I55" s="60">
        <f t="shared" si="3"/>
        <v>0</v>
      </c>
    </row>
    <row r="56" spans="1:9">
      <c r="A56" s="49"/>
      <c r="B56" s="45"/>
      <c r="C56" s="76" t="s">
        <v>18</v>
      </c>
      <c r="D56" s="81" t="s">
        <v>131</v>
      </c>
      <c r="E56" s="80">
        <v>45</v>
      </c>
      <c r="F56" s="59"/>
      <c r="G56" s="59"/>
      <c r="H56" s="42"/>
      <c r="I56" s="60">
        <f t="shared" si="3"/>
        <v>0</v>
      </c>
    </row>
    <row r="57" spans="1:9">
      <c r="A57" s="49"/>
      <c r="B57" s="45"/>
      <c r="C57" s="76" t="s">
        <v>18</v>
      </c>
      <c r="D57" s="81" t="s">
        <v>133</v>
      </c>
      <c r="E57" s="80">
        <v>15</v>
      </c>
      <c r="F57" s="59"/>
      <c r="G57" s="59"/>
      <c r="H57" s="42"/>
      <c r="I57" s="60">
        <f t="shared" si="3"/>
        <v>0</v>
      </c>
    </row>
    <row r="58" spans="1:9">
      <c r="A58" s="49"/>
      <c r="B58" s="45"/>
      <c r="C58" s="76" t="s">
        <v>18</v>
      </c>
      <c r="D58" s="81" t="s">
        <v>134</v>
      </c>
      <c r="E58" s="80">
        <v>20</v>
      </c>
      <c r="F58" s="59"/>
      <c r="G58" s="59"/>
      <c r="H58" s="42"/>
      <c r="I58" s="60">
        <f t="shared" si="3"/>
        <v>0</v>
      </c>
    </row>
    <row r="59" spans="1:9">
      <c r="A59" s="49"/>
      <c r="B59" s="45"/>
      <c r="C59" s="76" t="s">
        <v>18</v>
      </c>
      <c r="D59" s="81" t="s">
        <v>135</v>
      </c>
      <c r="E59" s="80">
        <v>30</v>
      </c>
      <c r="F59" s="59"/>
      <c r="G59" s="59"/>
      <c r="H59" s="42"/>
      <c r="I59" s="60">
        <f t="shared" si="3"/>
        <v>0</v>
      </c>
    </row>
    <row r="60" spans="1:9">
      <c r="A60" s="49"/>
      <c r="B60" s="45">
        <f>20/60*I4</f>
        <v>11</v>
      </c>
      <c r="C60" s="76" t="s">
        <v>18</v>
      </c>
      <c r="D60" s="81" t="s">
        <v>136</v>
      </c>
      <c r="E60" s="80">
        <v>15</v>
      </c>
      <c r="F60" s="59"/>
      <c r="G60" s="59"/>
      <c r="H60" s="42"/>
      <c r="I60" s="60">
        <f t="shared" si="3"/>
        <v>165</v>
      </c>
    </row>
    <row r="61" spans="1:9">
      <c r="A61" s="49"/>
      <c r="B61" s="45"/>
      <c r="C61" s="76" t="s">
        <v>18</v>
      </c>
      <c r="D61" s="81" t="s">
        <v>137</v>
      </c>
      <c r="E61" s="80">
        <v>20</v>
      </c>
      <c r="F61" s="59"/>
      <c r="G61" s="59"/>
      <c r="H61" s="42"/>
      <c r="I61" s="60">
        <f t="shared" si="3"/>
        <v>0</v>
      </c>
    </row>
    <row r="62" spans="1:9">
      <c r="A62" s="49"/>
      <c r="B62" s="45"/>
      <c r="C62" s="76" t="s">
        <v>18</v>
      </c>
      <c r="D62" s="81" t="s">
        <v>138</v>
      </c>
      <c r="E62" s="80">
        <v>25</v>
      </c>
      <c r="F62" s="59"/>
      <c r="G62" s="59"/>
      <c r="H62" s="42"/>
      <c r="I62" s="60">
        <f t="shared" si="3"/>
        <v>0</v>
      </c>
    </row>
    <row r="63" spans="1:9">
      <c r="A63" s="49"/>
      <c r="B63" s="45">
        <v>0.5</v>
      </c>
      <c r="C63" s="76" t="s">
        <v>18</v>
      </c>
      <c r="D63" s="81" t="s">
        <v>139</v>
      </c>
      <c r="E63" s="80">
        <v>30</v>
      </c>
      <c r="F63" s="59"/>
      <c r="G63" s="59"/>
      <c r="H63" s="42"/>
      <c r="I63" s="60">
        <f t="shared" si="3"/>
        <v>15</v>
      </c>
    </row>
    <row r="64" spans="1:9">
      <c r="A64" s="49"/>
      <c r="B64" s="45"/>
      <c r="C64" s="76" t="s">
        <v>18</v>
      </c>
      <c r="D64" s="81" t="s">
        <v>50</v>
      </c>
      <c r="E64" s="80">
        <v>35</v>
      </c>
      <c r="F64" s="59"/>
      <c r="G64" s="59"/>
      <c r="H64" s="42"/>
      <c r="I64" s="60">
        <f t="shared" si="3"/>
        <v>0</v>
      </c>
    </row>
    <row r="65" spans="1:9">
      <c r="A65" s="49"/>
      <c r="B65" s="45"/>
      <c r="C65" s="76" t="s">
        <v>18</v>
      </c>
      <c r="D65" s="81" t="s">
        <v>140</v>
      </c>
      <c r="E65" s="80">
        <v>35</v>
      </c>
      <c r="F65" s="59"/>
      <c r="G65" s="59"/>
      <c r="H65" s="42"/>
      <c r="I65" s="60">
        <f t="shared" si="3"/>
        <v>0</v>
      </c>
    </row>
    <row r="66" spans="1:9">
      <c r="A66" s="49"/>
      <c r="B66" s="45"/>
      <c r="C66" s="76" t="s">
        <v>9</v>
      </c>
      <c r="D66" s="81" t="s">
        <v>141</v>
      </c>
      <c r="E66" s="80"/>
      <c r="F66" s="59"/>
      <c r="G66" s="59"/>
      <c r="H66" s="42"/>
      <c r="I66" s="60">
        <f t="shared" si="3"/>
        <v>0</v>
      </c>
    </row>
    <row r="67" spans="1:9">
      <c r="A67" s="49"/>
      <c r="B67" s="45"/>
      <c r="C67" s="76" t="s">
        <v>9</v>
      </c>
      <c r="D67" s="81" t="s">
        <v>142</v>
      </c>
      <c r="E67" s="80"/>
      <c r="F67" s="59"/>
      <c r="G67" s="59"/>
      <c r="H67" s="42"/>
      <c r="I67" s="60">
        <f t="shared" si="3"/>
        <v>0</v>
      </c>
    </row>
    <row r="68" spans="1:9">
      <c r="A68" s="49"/>
      <c r="B68" s="45"/>
      <c r="C68" s="76"/>
      <c r="D68" s="81"/>
      <c r="E68" s="80"/>
      <c r="F68" s="59"/>
      <c r="G68" s="59"/>
      <c r="H68" s="42"/>
      <c r="I68" s="60">
        <f t="shared" si="3"/>
        <v>0</v>
      </c>
    </row>
    <row r="69" spans="1:9">
      <c r="A69" s="49"/>
      <c r="B69" s="76"/>
      <c r="C69" s="50"/>
      <c r="D69" s="77"/>
      <c r="E69" s="82"/>
      <c r="F69" s="59"/>
      <c r="G69" s="59"/>
      <c r="H69" s="42"/>
      <c r="I69" s="60">
        <f t="shared" si="3"/>
        <v>0</v>
      </c>
    </row>
    <row r="70" spans="1:9">
      <c r="A70" s="83"/>
      <c r="B70" s="84"/>
      <c r="C70" s="50"/>
      <c r="D70" s="77"/>
      <c r="E70" s="82"/>
      <c r="F70" s="85"/>
      <c r="G70" s="85"/>
      <c r="H70" s="82"/>
      <c r="I70" s="60">
        <f t="shared" si="3"/>
        <v>0</v>
      </c>
    </row>
    <row r="72" spans="1:9">
      <c r="D72" s="22" t="s">
        <v>32</v>
      </c>
      <c r="I72" s="86">
        <f>SUM(I48:I70)</f>
        <v>180</v>
      </c>
    </row>
    <row r="74" spans="1:9">
      <c r="D74" t="s">
        <v>33</v>
      </c>
      <c r="I74" s="87">
        <f>I18+I44+I72</f>
        <v>19495.192499999997</v>
      </c>
    </row>
    <row r="75" spans="1:9">
      <c r="I75" s="88"/>
    </row>
    <row r="76" spans="1:9" ht="18">
      <c r="D76" s="89" t="s">
        <v>34</v>
      </c>
      <c r="E76" s="90">
        <v>0.4</v>
      </c>
      <c r="I76" s="91">
        <f>I74*E76</f>
        <v>7798.0769999999993</v>
      </c>
    </row>
    <row r="77" spans="1:9">
      <c r="D77" s="92"/>
      <c r="E77" s="93"/>
      <c r="F77" s="92"/>
      <c r="G77" s="92"/>
      <c r="H77" s="92"/>
      <c r="I77" s="94"/>
    </row>
    <row r="78" spans="1:9" ht="18">
      <c r="D78" s="187" t="s">
        <v>13</v>
      </c>
      <c r="E78" s="187"/>
      <c r="H78" s="95" t="s">
        <v>53</v>
      </c>
      <c r="I78" s="96" t="s">
        <v>54</v>
      </c>
    </row>
    <row r="79" spans="1:9" ht="15.6">
      <c r="D79"/>
      <c r="H79" s="97">
        <f>I74</f>
        <v>19495.192499999997</v>
      </c>
      <c r="I79" s="98">
        <f>I74+I76</f>
        <v>27293.269499999995</v>
      </c>
    </row>
    <row r="81" spans="2:9" ht="31.2">
      <c r="B81" s="99"/>
      <c r="C81" s="99"/>
      <c r="D81" s="100" t="s">
        <v>10</v>
      </c>
      <c r="E81" s="101" t="s">
        <v>35</v>
      </c>
      <c r="F81" s="102"/>
      <c r="G81" s="102"/>
      <c r="H81" s="103" t="s">
        <v>51</v>
      </c>
      <c r="I81" s="104" t="s">
        <v>52</v>
      </c>
    </row>
    <row r="82" spans="2:9">
      <c r="D82" s="105" t="s">
        <v>37</v>
      </c>
      <c r="E82" s="106">
        <v>0.3</v>
      </c>
      <c r="F82" s="107"/>
      <c r="G82" s="107"/>
      <c r="H82" s="108">
        <f t="shared" ref="H82:H89" si="4">E82*$H$91</f>
        <v>12714.255978260868</v>
      </c>
      <c r="I82" s="109">
        <f t="shared" ref="I82:I89" si="5">E82*$I$91</f>
        <v>17799.958369565215</v>
      </c>
    </row>
    <row r="83" spans="2:9">
      <c r="D83" s="110" t="s">
        <v>38</v>
      </c>
      <c r="E83" s="111">
        <v>0.17</v>
      </c>
      <c r="F83" s="107"/>
      <c r="G83" s="107"/>
      <c r="H83" s="108">
        <f t="shared" si="4"/>
        <v>7204.7450543478262</v>
      </c>
      <c r="I83" s="112">
        <f t="shared" si="5"/>
        <v>10086.643076086955</v>
      </c>
    </row>
    <row r="84" spans="2:9">
      <c r="D84" s="110" t="s">
        <v>39</v>
      </c>
      <c r="E84" s="111">
        <v>0</v>
      </c>
      <c r="F84" s="107"/>
      <c r="G84" s="107"/>
      <c r="H84" s="108">
        <f t="shared" si="4"/>
        <v>0</v>
      </c>
      <c r="I84" s="112">
        <f t="shared" si="5"/>
        <v>0</v>
      </c>
    </row>
    <row r="85" spans="2:9">
      <c r="D85" s="110" t="s">
        <v>40</v>
      </c>
      <c r="E85" s="111">
        <v>0</v>
      </c>
      <c r="F85" s="107"/>
      <c r="G85" s="107"/>
      <c r="H85" s="108">
        <f t="shared" si="4"/>
        <v>0</v>
      </c>
      <c r="I85" s="112">
        <f t="shared" si="5"/>
        <v>0</v>
      </c>
    </row>
    <row r="86" spans="2:9">
      <c r="D86" s="110" t="s">
        <v>41</v>
      </c>
      <c r="E86" s="111">
        <v>0.05</v>
      </c>
      <c r="F86" s="107"/>
      <c r="G86" s="107"/>
      <c r="H86" s="108">
        <f t="shared" si="4"/>
        <v>2119.0426630434781</v>
      </c>
      <c r="I86" s="112">
        <f t="shared" si="5"/>
        <v>2966.6597282608691</v>
      </c>
    </row>
    <row r="87" spans="2:9">
      <c r="D87" s="110" t="s">
        <v>42</v>
      </c>
      <c r="E87" s="111">
        <v>0.02</v>
      </c>
      <c r="F87" s="107"/>
      <c r="G87" s="107"/>
      <c r="H87" s="108">
        <f t="shared" si="4"/>
        <v>847.6170652173912</v>
      </c>
      <c r="I87" s="112">
        <f t="shared" si="5"/>
        <v>1186.6638913043478</v>
      </c>
    </row>
    <row r="88" spans="2:9">
      <c r="D88" s="113"/>
      <c r="E88" s="114"/>
      <c r="F88" s="107"/>
      <c r="G88" s="107"/>
      <c r="H88" s="108">
        <f t="shared" si="4"/>
        <v>0</v>
      </c>
      <c r="I88" s="115">
        <f t="shared" si="5"/>
        <v>0</v>
      </c>
    </row>
    <row r="89" spans="2:9">
      <c r="E89" s="116">
        <f>SUM(E82:E88)</f>
        <v>0.54</v>
      </c>
      <c r="F89" s="107"/>
      <c r="G89" s="107"/>
      <c r="H89" s="117">
        <f t="shared" si="4"/>
        <v>22885.660760869563</v>
      </c>
      <c r="I89" s="118">
        <f t="shared" si="5"/>
        <v>32039.925065217387</v>
      </c>
    </row>
    <row r="91" spans="2:9" ht="15.6">
      <c r="D91" s="119" t="s">
        <v>145</v>
      </c>
      <c r="E91" s="120"/>
      <c r="F91" s="120"/>
      <c r="G91" s="120"/>
      <c r="H91" s="121">
        <f>$H$79/(1-E89)</f>
        <v>42380.85326086956</v>
      </c>
      <c r="I91" s="122">
        <f>I79/(1-E89)</f>
        <v>59333.194565217382</v>
      </c>
    </row>
    <row r="92" spans="2:9">
      <c r="D92" s="123" t="s">
        <v>43</v>
      </c>
      <c r="E92" s="124"/>
      <c r="F92" s="124"/>
      <c r="G92" s="124"/>
      <c r="H92" s="125">
        <f>I4</f>
        <v>33</v>
      </c>
      <c r="I92" s="126">
        <f>I4</f>
        <v>33</v>
      </c>
    </row>
    <row r="93" spans="2:9" ht="15.6">
      <c r="D93" s="127" t="s">
        <v>44</v>
      </c>
      <c r="E93" s="120"/>
      <c r="F93" s="120"/>
      <c r="G93" s="120"/>
      <c r="H93" s="121">
        <f>H91/H92</f>
        <v>1284.268280632411</v>
      </c>
      <c r="I93" s="128">
        <f>I91/I92</f>
        <v>1797.9755928853751</v>
      </c>
    </row>
    <row r="94" spans="2:9" ht="15.6">
      <c r="D94" s="129"/>
      <c r="E94" s="120"/>
      <c r="F94" s="120"/>
      <c r="G94" s="120"/>
      <c r="H94" s="130"/>
      <c r="I94" s="131"/>
    </row>
    <row r="95" spans="2:9" ht="15.6">
      <c r="D95" s="129"/>
      <c r="E95" s="120"/>
      <c r="F95" s="120"/>
      <c r="G95" s="120"/>
      <c r="H95" s="130"/>
      <c r="I95" s="131"/>
    </row>
    <row r="96" spans="2:9" ht="15.6">
      <c r="D96" s="129"/>
      <c r="E96" s="120"/>
      <c r="F96" s="120"/>
      <c r="G96" s="120"/>
      <c r="H96" s="130"/>
      <c r="I96" s="131"/>
    </row>
    <row r="97" spans="1:9">
      <c r="A97" s="184" t="s">
        <v>148</v>
      </c>
      <c r="B97" s="184"/>
      <c r="C97" s="184"/>
      <c r="D97" s="184"/>
      <c r="E97" s="184" t="s">
        <v>149</v>
      </c>
      <c r="F97" s="184"/>
      <c r="G97" s="184"/>
      <c r="H97" s="184"/>
      <c r="I97" s="184"/>
    </row>
    <row r="98" spans="1:9" ht="18">
      <c r="A98" s="155" t="s">
        <v>157</v>
      </c>
      <c r="B98" s="155"/>
      <c r="C98" s="155"/>
      <c r="D98" s="155"/>
      <c r="E98" s="155"/>
      <c r="F98" s="155"/>
      <c r="G98" s="155"/>
      <c r="H98" s="155"/>
      <c r="I98" s="155"/>
    </row>
    <row r="99" spans="1:9" ht="18.45" customHeight="1">
      <c r="A99" s="168" t="s">
        <v>8</v>
      </c>
      <c r="B99" s="156" t="s">
        <v>3</v>
      </c>
      <c r="C99" s="156" t="s">
        <v>9</v>
      </c>
      <c r="D99" s="156" t="s">
        <v>10</v>
      </c>
      <c r="E99" s="156" t="s">
        <v>11</v>
      </c>
      <c r="F99" s="174" t="s">
        <v>12</v>
      </c>
      <c r="G99" s="132" t="s">
        <v>150</v>
      </c>
      <c r="H99" s="172" t="s">
        <v>13</v>
      </c>
      <c r="I99" s="171"/>
    </row>
    <row r="100" spans="1:9">
      <c r="A100" s="169"/>
      <c r="B100" s="157"/>
      <c r="C100" s="157"/>
      <c r="D100" s="157"/>
      <c r="E100" s="157"/>
      <c r="F100" s="175"/>
      <c r="G100" s="133">
        <v>0.15</v>
      </c>
      <c r="H100" s="173"/>
      <c r="I100" s="171"/>
    </row>
    <row r="101" spans="1:9">
      <c r="A101" s="36"/>
      <c r="B101" s="57">
        <v>1</v>
      </c>
      <c r="C101" s="46" t="s">
        <v>144</v>
      </c>
      <c r="D101" s="134" t="s">
        <v>158</v>
      </c>
      <c r="E101" s="135">
        <v>1110</v>
      </c>
      <c r="F101" s="136">
        <f>B101*E101</f>
        <v>1110</v>
      </c>
      <c r="G101" s="137">
        <f>F101*$G$100</f>
        <v>166.5</v>
      </c>
      <c r="H101" s="60">
        <f>F101+G101</f>
        <v>1276.5</v>
      </c>
      <c r="I101" s="138"/>
    </row>
    <row r="102" spans="1:9">
      <c r="A102" s="49"/>
      <c r="B102" s="50"/>
      <c r="C102" s="50"/>
      <c r="D102" s="72"/>
      <c r="E102" s="42"/>
      <c r="F102" s="139">
        <f t="shared" ref="F102:F106" si="6">B102*E102</f>
        <v>0</v>
      </c>
      <c r="G102" s="137">
        <f t="shared" ref="G102:G106" si="7">F102*$G$100</f>
        <v>0</v>
      </c>
      <c r="H102" s="60">
        <f t="shared" ref="H102:H106" si="8">F102+G102</f>
        <v>0</v>
      </c>
      <c r="I102" s="138"/>
    </row>
    <row r="103" spans="1:9">
      <c r="A103" s="49"/>
      <c r="B103" s="45"/>
      <c r="C103" s="50"/>
      <c r="D103" s="7"/>
      <c r="E103" s="42"/>
      <c r="F103" s="139">
        <f t="shared" si="6"/>
        <v>0</v>
      </c>
      <c r="G103" s="137">
        <f t="shared" si="7"/>
        <v>0</v>
      </c>
      <c r="H103" s="60">
        <f t="shared" si="8"/>
        <v>0</v>
      </c>
      <c r="I103" s="138"/>
    </row>
    <row r="104" spans="1:9">
      <c r="A104" s="49"/>
      <c r="B104" s="45"/>
      <c r="C104" s="45"/>
      <c r="D104" s="7"/>
      <c r="E104" s="42"/>
      <c r="F104" s="139">
        <f t="shared" si="6"/>
        <v>0</v>
      </c>
      <c r="G104" s="137">
        <f t="shared" si="7"/>
        <v>0</v>
      </c>
      <c r="H104" s="60">
        <f t="shared" si="8"/>
        <v>0</v>
      </c>
      <c r="I104" s="138"/>
    </row>
    <row r="105" spans="1:9">
      <c r="A105" s="49"/>
      <c r="B105" s="45"/>
      <c r="C105" s="76"/>
      <c r="D105" s="77"/>
      <c r="E105" s="42"/>
      <c r="F105" s="139">
        <f t="shared" si="6"/>
        <v>0</v>
      </c>
      <c r="G105" s="137">
        <f t="shared" si="7"/>
        <v>0</v>
      </c>
      <c r="H105" s="60">
        <f t="shared" si="8"/>
        <v>0</v>
      </c>
      <c r="I105" s="138"/>
    </row>
    <row r="106" spans="1:9">
      <c r="A106" s="49"/>
      <c r="B106" s="45"/>
      <c r="C106" s="76"/>
      <c r="D106" s="61"/>
      <c r="E106" s="78"/>
      <c r="F106" s="139">
        <f t="shared" si="6"/>
        <v>0</v>
      </c>
      <c r="G106" s="137">
        <f t="shared" si="7"/>
        <v>0</v>
      </c>
      <c r="H106" s="60">
        <f t="shared" si="8"/>
        <v>0</v>
      </c>
      <c r="I106" s="138"/>
    </row>
    <row r="107" spans="1:9" ht="15.6">
      <c r="A107" s="27"/>
      <c r="B107" s="27"/>
      <c r="C107" s="140"/>
      <c r="D107" s="92"/>
      <c r="E107" s="141"/>
      <c r="F107" s="107"/>
      <c r="G107" s="107"/>
      <c r="H107" s="142">
        <f>SUM(H101:H106)</f>
        <v>1276.5</v>
      </c>
      <c r="I107" s="138"/>
    </row>
    <row r="108" spans="1:9">
      <c r="A108" s="27"/>
      <c r="B108" s="27"/>
      <c r="C108" s="140"/>
      <c r="D108" s="92"/>
      <c r="E108" s="141"/>
      <c r="F108" s="107"/>
      <c r="G108" s="107"/>
      <c r="H108" s="138"/>
      <c r="I108" s="138"/>
    </row>
    <row r="109" spans="1:9" ht="18">
      <c r="A109" s="155" t="s">
        <v>154</v>
      </c>
      <c r="B109" s="155"/>
      <c r="C109" s="155"/>
      <c r="D109" s="155"/>
      <c r="E109" s="155"/>
      <c r="F109" s="155"/>
      <c r="G109" s="155"/>
      <c r="H109" s="155"/>
      <c r="I109" s="155"/>
    </row>
    <row r="110" spans="1:9">
      <c r="A110" s="168" t="s">
        <v>8</v>
      </c>
      <c r="B110" s="156" t="s">
        <v>3</v>
      </c>
      <c r="C110" s="156" t="s">
        <v>9</v>
      </c>
      <c r="D110" s="156" t="s">
        <v>10</v>
      </c>
      <c r="E110" s="156" t="s">
        <v>11</v>
      </c>
      <c r="F110" s="174" t="s">
        <v>12</v>
      </c>
      <c r="G110" s="174"/>
      <c r="H110" s="172" t="s">
        <v>13</v>
      </c>
      <c r="I110" s="171"/>
    </row>
    <row r="111" spans="1:9">
      <c r="A111" s="169"/>
      <c r="B111" s="157"/>
      <c r="C111" s="157"/>
      <c r="D111" s="157"/>
      <c r="E111" s="157"/>
      <c r="F111" s="175"/>
      <c r="G111" s="175"/>
      <c r="H111" s="173"/>
      <c r="I111" s="171"/>
    </row>
    <row r="112" spans="1:9">
      <c r="A112" s="36"/>
      <c r="B112" s="57"/>
      <c r="C112" s="46"/>
      <c r="D112" s="134"/>
      <c r="E112" s="135"/>
      <c r="F112" s="136">
        <f>B112*E112</f>
        <v>0</v>
      </c>
      <c r="G112" s="137"/>
      <c r="H112" s="60">
        <f>F112+G112</f>
        <v>0</v>
      </c>
      <c r="I112" s="138"/>
    </row>
    <row r="113" spans="1:9">
      <c r="A113" s="49"/>
      <c r="B113" s="50"/>
      <c r="C113" s="50"/>
      <c r="D113" s="72"/>
      <c r="E113" s="42"/>
      <c r="F113" s="139">
        <f t="shared" ref="F113:F117" si="9">B113*E113</f>
        <v>0</v>
      </c>
      <c r="G113" s="137"/>
      <c r="H113" s="60">
        <f t="shared" ref="H113:H117" si="10">F113+G113</f>
        <v>0</v>
      </c>
      <c r="I113" s="138"/>
    </row>
    <row r="114" spans="1:9">
      <c r="A114" s="49"/>
      <c r="B114" s="45"/>
      <c r="C114" s="50"/>
      <c r="D114" s="7"/>
      <c r="E114" s="42"/>
      <c r="F114" s="139">
        <f t="shared" si="9"/>
        <v>0</v>
      </c>
      <c r="G114" s="137"/>
      <c r="H114" s="60">
        <f t="shared" si="10"/>
        <v>0</v>
      </c>
      <c r="I114" s="138"/>
    </row>
    <row r="115" spans="1:9">
      <c r="A115" s="49"/>
      <c r="B115" s="45"/>
      <c r="C115" s="45"/>
      <c r="D115" s="7"/>
      <c r="E115" s="42"/>
      <c r="F115" s="139">
        <f t="shared" si="9"/>
        <v>0</v>
      </c>
      <c r="G115" s="137"/>
      <c r="H115" s="60">
        <f t="shared" si="10"/>
        <v>0</v>
      </c>
      <c r="I115" s="138"/>
    </row>
    <row r="116" spans="1:9">
      <c r="A116" s="49"/>
      <c r="B116" s="45"/>
      <c r="C116" s="76"/>
      <c r="D116" s="77"/>
      <c r="E116" s="42"/>
      <c r="F116" s="139">
        <f t="shared" si="9"/>
        <v>0</v>
      </c>
      <c r="G116" s="137"/>
      <c r="H116" s="60">
        <f t="shared" si="10"/>
        <v>0</v>
      </c>
      <c r="I116" s="138"/>
    </row>
    <row r="117" spans="1:9">
      <c r="A117" s="49"/>
      <c r="B117" s="45"/>
      <c r="C117" s="76"/>
      <c r="D117" s="61"/>
      <c r="E117" s="78"/>
      <c r="F117" s="139">
        <f t="shared" si="9"/>
        <v>0</v>
      </c>
      <c r="G117" s="137"/>
      <c r="H117" s="60">
        <f t="shared" si="10"/>
        <v>0</v>
      </c>
      <c r="I117" s="138"/>
    </row>
    <row r="118" spans="1:9" ht="15.6">
      <c r="A118" s="27"/>
      <c r="B118" s="27"/>
      <c r="C118" s="140"/>
      <c r="D118" s="92"/>
      <c r="E118" s="141"/>
      <c r="F118" s="107"/>
      <c r="G118" s="107"/>
      <c r="H118" s="142">
        <f>SUM(H112:H117)</f>
        <v>0</v>
      </c>
      <c r="I118" s="138"/>
    </row>
    <row r="119" spans="1:9" ht="15.6">
      <c r="A119" s="27"/>
      <c r="B119" s="27"/>
      <c r="C119" s="140"/>
      <c r="D119" s="92"/>
      <c r="E119" s="141"/>
      <c r="F119" s="107"/>
      <c r="G119" s="107"/>
      <c r="H119" s="143"/>
      <c r="I119" s="138"/>
    </row>
    <row r="120" spans="1:9" ht="21">
      <c r="A120" s="27"/>
      <c r="B120" s="27"/>
      <c r="C120" s="140"/>
      <c r="D120" s="158" t="s">
        <v>159</v>
      </c>
      <c r="E120" s="158"/>
      <c r="F120" s="158"/>
      <c r="G120" s="158"/>
      <c r="H120" s="144">
        <f>H107+H118</f>
        <v>1276.5</v>
      </c>
      <c r="I120" s="138"/>
    </row>
    <row r="122" spans="1:9" ht="46.8">
      <c r="D122" s="100" t="s">
        <v>10</v>
      </c>
      <c r="E122" s="101" t="s">
        <v>35</v>
      </c>
      <c r="F122" s="102"/>
      <c r="G122" s="102"/>
      <c r="H122" s="145" t="s">
        <v>151</v>
      </c>
    </row>
    <row r="123" spans="1:9">
      <c r="D123" s="105" t="s">
        <v>37</v>
      </c>
      <c r="E123" s="106">
        <v>0.1</v>
      </c>
      <c r="F123" s="107"/>
      <c r="G123" s="107"/>
      <c r="H123" s="109">
        <f t="shared" ref="H123:H129" si="11">E123*$I$91</f>
        <v>5933.3194565217382</v>
      </c>
    </row>
    <row r="124" spans="1:9">
      <c r="D124" s="110" t="s">
        <v>38</v>
      </c>
      <c r="E124" s="111">
        <v>0.12</v>
      </c>
      <c r="F124" s="107"/>
      <c r="G124" s="107"/>
      <c r="H124" s="112">
        <f t="shared" si="11"/>
        <v>7119.9833478260853</v>
      </c>
    </row>
    <row r="125" spans="1:9">
      <c r="D125" s="110" t="s">
        <v>39</v>
      </c>
      <c r="E125" s="111">
        <v>0</v>
      </c>
      <c r="F125" s="107"/>
      <c r="G125" s="107"/>
      <c r="H125" s="112">
        <f t="shared" si="11"/>
        <v>0</v>
      </c>
    </row>
    <row r="126" spans="1:9">
      <c r="D126" s="110" t="s">
        <v>40</v>
      </c>
      <c r="E126" s="111">
        <v>0</v>
      </c>
      <c r="F126" s="107"/>
      <c r="G126" s="107"/>
      <c r="H126" s="112">
        <f t="shared" si="11"/>
        <v>0</v>
      </c>
    </row>
    <row r="127" spans="1:9">
      <c r="D127" s="110" t="s">
        <v>41</v>
      </c>
      <c r="E127" s="111">
        <v>0.03</v>
      </c>
      <c r="F127" s="107"/>
      <c r="G127" s="107"/>
      <c r="H127" s="112">
        <f t="shared" si="11"/>
        <v>1779.9958369565213</v>
      </c>
    </row>
    <row r="128" spans="1:9">
      <c r="D128" s="110" t="s">
        <v>42</v>
      </c>
      <c r="E128" s="111">
        <v>0.02</v>
      </c>
      <c r="F128" s="107"/>
      <c r="G128" s="107"/>
      <c r="H128" s="112">
        <f t="shared" si="11"/>
        <v>1186.6638913043478</v>
      </c>
    </row>
    <row r="129" spans="4:9">
      <c r="D129" s="113"/>
      <c r="E129" s="114"/>
      <c r="F129" s="107"/>
      <c r="G129" s="107"/>
      <c r="H129" s="115">
        <f t="shared" si="11"/>
        <v>0</v>
      </c>
    </row>
    <row r="130" spans="4:9">
      <c r="E130" s="116">
        <f>SUM(E123:E129)</f>
        <v>0.27</v>
      </c>
      <c r="F130" s="107"/>
      <c r="G130" s="107"/>
      <c r="H130" s="146">
        <f>E130*$H$132</f>
        <v>472.13013698630147</v>
      </c>
    </row>
    <row r="132" spans="4:9" ht="15.6">
      <c r="D132" s="127" t="s">
        <v>152</v>
      </c>
      <c r="E132" s="120"/>
      <c r="F132" s="120"/>
      <c r="G132" s="120"/>
      <c r="H132" s="147">
        <f>$H$120/(1-E130)</f>
        <v>1748.6301369863015</v>
      </c>
    </row>
    <row r="134" spans="4:9">
      <c r="G134" s="159" t="s">
        <v>53</v>
      </c>
      <c r="H134" s="160"/>
      <c r="I134" s="148" t="s">
        <v>146</v>
      </c>
    </row>
    <row r="135" spans="4:9">
      <c r="D135" s="161" t="s">
        <v>155</v>
      </c>
      <c r="E135" s="161"/>
      <c r="F135" s="161"/>
      <c r="G135" s="162">
        <f>H91+H132</f>
        <v>44129.48339785586</v>
      </c>
      <c r="H135" s="163"/>
      <c r="I135" s="166">
        <f>I91+H132</f>
        <v>61081.824702203681</v>
      </c>
    </row>
    <row r="136" spans="4:9">
      <c r="D136" s="161"/>
      <c r="E136" s="161"/>
      <c r="F136" s="161"/>
      <c r="G136" s="164"/>
      <c r="H136" s="165"/>
      <c r="I136" s="167"/>
    </row>
    <row r="137" spans="4:9" ht="15.6">
      <c r="F137" s="149" t="s">
        <v>156</v>
      </c>
      <c r="G137" s="188">
        <f>I4</f>
        <v>33</v>
      </c>
      <c r="H137" s="188"/>
      <c r="I137" s="129">
        <f>I4</f>
        <v>33</v>
      </c>
    </row>
    <row r="138" spans="4:9" ht="18">
      <c r="F138" s="150" t="s">
        <v>147</v>
      </c>
      <c r="G138" s="176">
        <f>G135/G137</f>
        <v>1337.2570726622987</v>
      </c>
      <c r="H138" s="177"/>
      <c r="I138" s="151">
        <f>I135/I137</f>
        <v>1850.9643849152631</v>
      </c>
    </row>
  </sheetData>
  <mergeCells count="50">
    <mergeCell ref="G137:H137"/>
    <mergeCell ref="A99:A100"/>
    <mergeCell ref="I99:I100"/>
    <mergeCell ref="G138:H138"/>
    <mergeCell ref="I10:I11"/>
    <mergeCell ref="A6:C6"/>
    <mergeCell ref="D4:H4"/>
    <mergeCell ref="A5:C5"/>
    <mergeCell ref="A46:I46"/>
    <mergeCell ref="A20:I20"/>
    <mergeCell ref="H6:I6"/>
    <mergeCell ref="E8:I8"/>
    <mergeCell ref="A9:I9"/>
    <mergeCell ref="E97:I97"/>
    <mergeCell ref="A8:D8"/>
    <mergeCell ref="E6:F6"/>
    <mergeCell ref="A98:I98"/>
    <mergeCell ref="B10:B11"/>
    <mergeCell ref="F99:F100"/>
    <mergeCell ref="A1:F1"/>
    <mergeCell ref="B99:B100"/>
    <mergeCell ref="I110:I111"/>
    <mergeCell ref="H99:H100"/>
    <mergeCell ref="C110:C111"/>
    <mergeCell ref="F110:F111"/>
    <mergeCell ref="A97:D97"/>
    <mergeCell ref="C99:C100"/>
    <mergeCell ref="H110:H111"/>
    <mergeCell ref="G110:G111"/>
    <mergeCell ref="D110:D111"/>
    <mergeCell ref="B110:B111"/>
    <mergeCell ref="D78:E78"/>
    <mergeCell ref="G134:H134"/>
    <mergeCell ref="D135:F136"/>
    <mergeCell ref="G135:H136"/>
    <mergeCell ref="I135:I136"/>
    <mergeCell ref="D99:D100"/>
    <mergeCell ref="G10:G11"/>
    <mergeCell ref="A109:I109"/>
    <mergeCell ref="E99:E100"/>
    <mergeCell ref="E110:E111"/>
    <mergeCell ref="D120:G120"/>
    <mergeCell ref="A110:A111"/>
    <mergeCell ref="A10:A11"/>
    <mergeCell ref="A3:C3"/>
    <mergeCell ref="F10:F11"/>
    <mergeCell ref="E10:E11"/>
    <mergeCell ref="D10:D11"/>
    <mergeCell ref="C10:C11"/>
    <mergeCell ref="A4:C4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CALCULOS AUXILIARES</vt:lpstr>
      <vt:lpstr>LUVA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Sigmarhoh</dc:creator>
  <cp:lastModifiedBy>tassioleno@gmail.com</cp:lastModifiedBy>
  <dcterms:created xsi:type="dcterms:W3CDTF">2021-06-10T15:31:30Z</dcterms:created>
  <dcterms:modified xsi:type="dcterms:W3CDTF">2023-12-12T16:35:32Z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989f5a2534824fdda00aa6eb7e4f2433</vt:lpwstr>
  </property>
</Properties>
</file>