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7365"/>
  </bookViews>
  <sheets>
    <sheet name="Monthly Deposits-LCY" sheetId="1" r:id="rId1"/>
    <sheet name="Mothly Deposits-FCY" sheetId="2" r:id="rId2"/>
    <sheet name="Monthly Deposits Consolidated" sheetId="3" r:id="rId3"/>
    <sheet name="Monthly Deposits by Currency" sheetId="4" r:id="rId4"/>
    <sheet name="MONTHLY PRODUCT TYPE" sheetId="5" r:id="rId5"/>
    <sheet name="Quarterly Report " sheetId="6" r:id="rId6"/>
    <sheet name="Register of Depositor&amp; Deposit" sheetId="7" r:id="rId7"/>
    <sheet name="CHA" sheetId="8" r:id="rId8"/>
  </sheets>
  <definedNames>
    <definedName name="_xlnm._FilterDatabase" localSheetId="7" hidden="1">CHA!$AK$2:$AO$10</definedName>
    <definedName name="_xlnm.Print_Area" localSheetId="3">'Monthly Deposits by Currency'!$A$1:$F$27</definedName>
    <definedName name="_xlnm.Print_Area" localSheetId="2">'Monthly Deposits Consolidated'!$A$1:$E$28</definedName>
    <definedName name="_xlnm.Print_Area" localSheetId="0">'Monthly Deposits-LCY'!$A$1:$E$31</definedName>
    <definedName name="_xlnm.Print_Area" localSheetId="4">'MONTHLY PRODUCT TYPE'!$A$1:$I$30</definedName>
    <definedName name="_xlnm.Print_Area" localSheetId="1">'Mothly Deposits-FCY'!$A$1:$E$30</definedName>
  </definedNames>
  <calcPr calcId="145621"/>
</workbook>
</file>

<file path=xl/calcChain.xml><?xml version="1.0" encoding="utf-8"?>
<calcChain xmlns="http://schemas.openxmlformats.org/spreadsheetml/2006/main">
  <c r="E11" i="2" l="1"/>
  <c r="E10" i="2"/>
  <c r="E10" i="1"/>
  <c r="E11" i="1"/>
  <c r="H28" i="7"/>
  <c r="G28" i="7"/>
  <c r="K27" i="7"/>
  <c r="I27" i="7"/>
  <c r="I26" i="7"/>
  <c r="K26" i="7" s="1"/>
  <c r="K25" i="7"/>
  <c r="I25" i="7"/>
  <c r="I24" i="7"/>
  <c r="K24" i="7" s="1"/>
  <c r="K23" i="7"/>
  <c r="I23" i="7"/>
  <c r="I22" i="7"/>
  <c r="K22" i="7" s="1"/>
  <c r="K21" i="7"/>
  <c r="I21" i="7"/>
  <c r="I20" i="7"/>
  <c r="I28" i="7" s="1"/>
  <c r="A4" i="7"/>
  <c r="B24" i="6"/>
  <c r="B23" i="6"/>
  <c r="C20" i="6"/>
  <c r="E20" i="6" s="1"/>
  <c r="D19" i="6"/>
  <c r="C19" i="6"/>
  <c r="E19" i="6" s="1"/>
  <c r="D18" i="6"/>
  <c r="C18" i="6"/>
  <c r="E18" i="6" s="1"/>
  <c r="D17" i="6"/>
  <c r="C17" i="6"/>
  <c r="E13" i="6"/>
  <c r="D13" i="6"/>
  <c r="C13" i="6"/>
  <c r="D12" i="6"/>
  <c r="C12" i="6"/>
  <c r="E12" i="6" s="1"/>
  <c r="D11" i="6"/>
  <c r="C11" i="6"/>
  <c r="E11" i="6" s="1"/>
  <c r="D10" i="6"/>
  <c r="D14" i="6" s="1"/>
  <c r="C10" i="6"/>
  <c r="A4" i="6"/>
  <c r="A2" i="6"/>
  <c r="A1" i="6"/>
  <c r="A30" i="5"/>
  <c r="A26" i="5"/>
  <c r="J19" i="5"/>
  <c r="J18" i="5"/>
  <c r="J17" i="5"/>
  <c r="J16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I20" i="5" s="1"/>
  <c r="I23" i="5" s="1"/>
  <c r="H12" i="5"/>
  <c r="H20" i="5" s="1"/>
  <c r="G12" i="5"/>
  <c r="G20" i="5" s="1"/>
  <c r="G23" i="5" s="1"/>
  <c r="F12" i="5"/>
  <c r="F20" i="5" s="1"/>
  <c r="E12" i="5"/>
  <c r="E20" i="5" s="1"/>
  <c r="E23" i="5" s="1"/>
  <c r="D12" i="5"/>
  <c r="D20" i="5" s="1"/>
  <c r="C12" i="5"/>
  <c r="B12" i="5"/>
  <c r="B20" i="5" s="1"/>
  <c r="A5" i="5"/>
  <c r="A4" i="5"/>
  <c r="A3" i="5"/>
  <c r="A2" i="5"/>
  <c r="A1" i="5"/>
  <c r="A26" i="4"/>
  <c r="A22" i="4"/>
  <c r="A21" i="4"/>
  <c r="F15" i="4"/>
  <c r="E15" i="4"/>
  <c r="E14" i="4"/>
  <c r="F14" i="4" s="1"/>
  <c r="F13" i="4"/>
  <c r="E13" i="4"/>
  <c r="E12" i="4"/>
  <c r="F12" i="4" s="1"/>
  <c r="D11" i="4"/>
  <c r="C11" i="4"/>
  <c r="E11" i="4" s="1"/>
  <c r="F11" i="4" s="1"/>
  <c r="D10" i="4"/>
  <c r="C10" i="4"/>
  <c r="D9" i="4"/>
  <c r="C9" i="4"/>
  <c r="C16" i="4" s="1"/>
  <c r="D8" i="4"/>
  <c r="D16" i="4" s="1"/>
  <c r="B8" i="4"/>
  <c r="B16" i="4" s="1"/>
  <c r="A4" i="4"/>
  <c r="A3" i="4"/>
  <c r="A2" i="4"/>
  <c r="A1" i="4"/>
  <c r="B26" i="3"/>
  <c r="B4" i="3"/>
  <c r="B3" i="3"/>
  <c r="B2" i="3"/>
  <c r="B1" i="3"/>
  <c r="B26" i="2"/>
  <c r="D16" i="2"/>
  <c r="E16" i="2" s="1"/>
  <c r="C16" i="2"/>
  <c r="D15" i="2"/>
  <c r="E15" i="2" s="1"/>
  <c r="C15" i="2"/>
  <c r="D14" i="2"/>
  <c r="E14" i="2" s="1"/>
  <c r="C14" i="2"/>
  <c r="D13" i="2"/>
  <c r="E13" i="2" s="1"/>
  <c r="C13" i="2"/>
  <c r="D11" i="2"/>
  <c r="C11" i="2"/>
  <c r="D10" i="2"/>
  <c r="C10" i="2"/>
  <c r="C9" i="2" s="1"/>
  <c r="B4" i="2"/>
  <c r="B3" i="2"/>
  <c r="B2" i="2"/>
  <c r="B1" i="2"/>
  <c r="D16" i="1"/>
  <c r="E16" i="1" s="1"/>
  <c r="C16" i="1"/>
  <c r="C16" i="3" s="1"/>
  <c r="D15" i="1"/>
  <c r="E15" i="1" s="1"/>
  <c r="E15" i="3" s="1"/>
  <c r="C15" i="1"/>
  <c r="C15" i="3" s="1"/>
  <c r="D14" i="1"/>
  <c r="C14" i="1"/>
  <c r="D13" i="1"/>
  <c r="D13" i="3" s="1"/>
  <c r="C13" i="1"/>
  <c r="D11" i="1"/>
  <c r="C11" i="1"/>
  <c r="C11" i="3" s="1"/>
  <c r="D10" i="1"/>
  <c r="D10" i="3" s="1"/>
  <c r="C10" i="1"/>
  <c r="C10" i="3" s="1"/>
  <c r="C9" i="3" s="1"/>
  <c r="C17" i="1" l="1"/>
  <c r="C17" i="2"/>
  <c r="C19" i="2" s="1"/>
  <c r="C22" i="2" s="1"/>
  <c r="C14" i="3"/>
  <c r="D14" i="3"/>
  <c r="E13" i="1"/>
  <c r="E13" i="3" s="1"/>
  <c r="J12" i="5"/>
  <c r="L12" i="5" s="1"/>
  <c r="J13" i="5"/>
  <c r="L13" i="5" s="1"/>
  <c r="J14" i="5"/>
  <c r="L14" i="5" s="1"/>
  <c r="J15" i="5"/>
  <c r="E10" i="6"/>
  <c r="E14" i="6" s="1"/>
  <c r="C21" i="6"/>
  <c r="D11" i="3"/>
  <c r="E10" i="4"/>
  <c r="F10" i="4" s="1"/>
  <c r="D21" i="6"/>
  <c r="C14" i="6"/>
  <c r="E16" i="3"/>
  <c r="E11" i="3"/>
  <c r="E10" i="3"/>
  <c r="E17" i="2"/>
  <c r="E9" i="2" s="1"/>
  <c r="E19" i="2" s="1"/>
  <c r="C9" i="1"/>
  <c r="C19" i="1" s="1"/>
  <c r="C22" i="1" s="1"/>
  <c r="E14" i="1"/>
  <c r="E14" i="3" s="1"/>
  <c r="D17" i="1"/>
  <c r="D9" i="1" s="1"/>
  <c r="D19" i="1" s="1"/>
  <c r="D16" i="3"/>
  <c r="E8" i="4"/>
  <c r="E16" i="4" s="1"/>
  <c r="E9" i="4"/>
  <c r="F9" i="4" s="1"/>
  <c r="D15" i="3"/>
  <c r="D17" i="3" s="1"/>
  <c r="D9" i="3" s="1"/>
  <c r="D19" i="3" s="1"/>
  <c r="F8" i="4"/>
  <c r="C20" i="5"/>
  <c r="E17" i="6"/>
  <c r="E21" i="6" s="1"/>
  <c r="K20" i="7"/>
  <c r="K28" i="7" s="1"/>
  <c r="D17" i="2"/>
  <c r="D9" i="2" s="1"/>
  <c r="D19" i="2" s="1"/>
  <c r="C13" i="3"/>
  <c r="C17" i="3" s="1"/>
  <c r="C19" i="3" s="1"/>
  <c r="C22" i="3" s="1"/>
  <c r="F16" i="4" l="1"/>
  <c r="E17" i="3"/>
  <c r="E9" i="3" s="1"/>
  <c r="E19" i="3" s="1"/>
  <c r="E25" i="5"/>
  <c r="E27" i="5" s="1"/>
  <c r="C23" i="5"/>
  <c r="J20" i="5"/>
  <c r="E17" i="1"/>
  <c r="E9" i="1" s="1"/>
  <c r="E19" i="1" s="1"/>
</calcChain>
</file>

<file path=xl/sharedStrings.xml><?xml version="1.0" encoding="utf-8"?>
<sst xmlns="http://schemas.openxmlformats.org/spreadsheetml/2006/main" count="245" uniqueCount="122">
  <si>
    <t>BANK NAME:  COGEBANQUE</t>
  </si>
  <si>
    <t xml:space="preserve">ADDRESS OF THE BANK: KN 4 AV 72 ST, CENTENARY HOUSE/CAR PARK ,NYARUGENGE, B.P. 5230 Kigali - Rwanda </t>
  </si>
  <si>
    <t>PERIOD: MONTHLY</t>
  </si>
  <si>
    <t>FORM A/1</t>
  </si>
  <si>
    <t>No</t>
  </si>
  <si>
    <t>Description</t>
  </si>
  <si>
    <t>Amount in 000 RWF</t>
  </si>
  <si>
    <t>No of deposits</t>
  </si>
  <si>
    <t>No of depositors</t>
  </si>
  <si>
    <t>I</t>
  </si>
  <si>
    <t>TOTAL DEPOSITS</t>
  </si>
  <si>
    <t>Total deposits of natural persons+Accrued interest</t>
  </si>
  <si>
    <t>Total legal entities' deposits+ Accrued interest</t>
  </si>
  <si>
    <t>II</t>
  </si>
  <si>
    <t xml:space="preserve">EXCLUDED DEPOSITS </t>
  </si>
  <si>
    <t>deposits of Government and its agencies+ Accrued interest</t>
  </si>
  <si>
    <t>deposits of banks and micro  financial institutions+ Accrued interest</t>
  </si>
  <si>
    <t>insurance companies, pension funds, and collective investment schemes+ Accrued interest</t>
  </si>
  <si>
    <t>deposits ofpersons holding shares of more than five percent (5%) of voting rights  in a bank or MFI+ Accrued interest</t>
  </si>
  <si>
    <t>TOTAL EXCLUDED DEPOSITS (sum 1:4))</t>
  </si>
  <si>
    <t>III</t>
  </si>
  <si>
    <t>TOTAL ELIGIBLE (INSURABLE) DEPOSITS  (I - II)</t>
  </si>
  <si>
    <t>IV</t>
  </si>
  <si>
    <t>QUARTERLY PREMIUM RATE</t>
  </si>
  <si>
    <t>V</t>
  </si>
  <si>
    <t>QUARTERLY PREMIUM AMOUNT</t>
  </si>
  <si>
    <t>Place: Kigali</t>
  </si>
  <si>
    <t>Stamp and Signature of Responsible Person</t>
  </si>
  <si>
    <t>FORM A/2</t>
  </si>
  <si>
    <t>TOTAL EXCLUDED DEPOSITS (sum 1:4)</t>
  </si>
  <si>
    <t>currency exchg. 1USD=827.2130RWF</t>
  </si>
  <si>
    <t>FORM A/3</t>
  </si>
  <si>
    <t>BANK:</t>
  </si>
  <si>
    <t>FORM A/4</t>
  </si>
  <si>
    <t>Currency</t>
  </si>
  <si>
    <t>Amount in 000 FCY</t>
  </si>
  <si>
    <t>Exchange Rate</t>
  </si>
  <si>
    <t>Equivalent In 000 RWF</t>
  </si>
  <si>
    <t>Total in 000 RWF</t>
  </si>
  <si>
    <t>RWF</t>
  </si>
  <si>
    <t>USD</t>
  </si>
  <si>
    <t>N/A</t>
  </si>
  <si>
    <t>EUROs</t>
  </si>
  <si>
    <t>GBP</t>
  </si>
  <si>
    <t>KES</t>
  </si>
  <si>
    <t>UGS</t>
  </si>
  <si>
    <t>TZS</t>
  </si>
  <si>
    <t>Etc</t>
  </si>
  <si>
    <t>TOTAL</t>
  </si>
  <si>
    <t>DATA PER PRODUCT TYPE FOR INDIVIDUALS/ ENTITIES ACCORDING TO CATEGORIES IN AMOUNT AND NUMBER</t>
  </si>
  <si>
    <t>FORM A/5</t>
  </si>
  <si>
    <t xml:space="preserve">Currency </t>
  </si>
  <si>
    <t>Current Accounts</t>
  </si>
  <si>
    <t>Saving Accounts</t>
  </si>
  <si>
    <t xml:space="preserve">Term   deposit  </t>
  </si>
  <si>
    <t xml:space="preserve">Any other type of account </t>
  </si>
  <si>
    <t>Type</t>
  </si>
  <si>
    <t>N°</t>
  </si>
  <si>
    <t>PERIOD: QUARTERLY</t>
  </si>
  <si>
    <t>ALL CURRENCIES GUARANTEED DEPOSITS</t>
  </si>
  <si>
    <t>FORM B</t>
  </si>
  <si>
    <t>Deposits in 000 RWF</t>
  </si>
  <si>
    <t>INSURED DEPOSITS</t>
  </si>
  <si>
    <t>TOTAL DEPOSITS  OF NATURAL PERSONS</t>
  </si>
  <si>
    <t xml:space="preserve">deposits that are ≤ 500.000  </t>
  </si>
  <si>
    <t xml:space="preserve">deposits that are 500.001-600.000  </t>
  </si>
  <si>
    <t xml:space="preserve">deposits that are  600.001-700.000  </t>
  </si>
  <si>
    <t>deposits that are &gt;700 001</t>
  </si>
  <si>
    <t xml:space="preserve">TOTAL INSURED DEPOSITS OF INDIVIDUALS </t>
  </si>
  <si>
    <t>TOTAL DEPOSITS  OF LEGAL ENTITIES</t>
  </si>
  <si>
    <t xml:space="preserve">TOTAL INSURED DEPOSITS LEGAL ENTITIES </t>
  </si>
  <si>
    <t>BANK NAME:</t>
  </si>
  <si>
    <t>ADDRESS OF THE BANK:</t>
  </si>
  <si>
    <t>PERIOD: SEMI-ANNUALLY</t>
  </si>
  <si>
    <t>1. REGISTER OF ELIGIBLE DEPOSITORS</t>
  </si>
  <si>
    <t>Unique Depositor’s Identification Deposit/Account’s N°(customer code)</t>
  </si>
  <si>
    <t>Account N°</t>
  </si>
  <si>
    <t>Names</t>
  </si>
  <si>
    <t>Gender</t>
  </si>
  <si>
    <t>Passport / ID</t>
  </si>
  <si>
    <t>Date of Birth</t>
  </si>
  <si>
    <t>(Address) Sector</t>
  </si>
  <si>
    <t>(Address) District</t>
  </si>
  <si>
    <t>Telephone</t>
  </si>
  <si>
    <t>e-mail</t>
  </si>
  <si>
    <t>Bank Branch</t>
  </si>
  <si>
    <t>Names of the Mandatory on the Account</t>
  </si>
  <si>
    <t>Passport / ID of the Mandatory on the Account</t>
  </si>
  <si>
    <t>2. REGISTER OF ELIGIBLE DEPOSITS</t>
  </si>
  <si>
    <t>LIST OF N° of deposit(s)s per Depositor(s)</t>
  </si>
  <si>
    <t>Name(s)of deposit holder(s) for joint deposit</t>
  </si>
  <si>
    <t xml:space="preserve">Percentage(%) of share in  joint deposit(s) </t>
  </si>
  <si>
    <t xml:space="preserve">Deposit  balance amount  </t>
  </si>
  <si>
    <t xml:space="preserve">Accrued     interest </t>
  </si>
  <si>
    <t>Total balance amount(per currencies)</t>
  </si>
  <si>
    <t>Exchange rate</t>
  </si>
  <si>
    <t>Total balance amount in RWF</t>
  </si>
  <si>
    <t>KSH</t>
  </si>
  <si>
    <t>ETC</t>
  </si>
  <si>
    <t>CHA- Table</t>
  </si>
  <si>
    <t>CURRENCY -Table</t>
  </si>
  <si>
    <t>PUBLIC INST - Table</t>
  </si>
  <si>
    <t>INSURANCE - Table</t>
  </si>
  <si>
    <t>FINANCIAL - Table</t>
  </si>
  <si>
    <t>SHAREHOLDERS - Table</t>
  </si>
  <si>
    <t>CHA</t>
  </si>
  <si>
    <t>DEV</t>
  </si>
  <si>
    <t>NUMBERS</t>
  </si>
  <si>
    <t>SUMS</t>
  </si>
  <si>
    <t>TCLI</t>
  </si>
  <si>
    <t>TIND</t>
  </si>
  <si>
    <t>NUM</t>
  </si>
  <si>
    <t>SDE</t>
  </si>
  <si>
    <t>SDECV</t>
  </si>
  <si>
    <t>CLI</t>
  </si>
  <si>
    <t>NOMREST</t>
  </si>
  <si>
    <t>NCP</t>
  </si>
  <si>
    <t>TYP_CLIENT</t>
  </si>
  <si>
    <t>CAT_CLIENT</t>
  </si>
  <si>
    <t>CHA2</t>
  </si>
  <si>
    <t>REPORT AS AT …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</si>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</sst>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0.000%"/>
    <numFmt numFmtId="166" formatCode="_(* #,##0.000_);_(* \(#,##0.000\);_(* &quot;-&quot;??_);_(@_)"/>
  </numFmts>
  <fonts count="11" x14ac:knownFonts="1">
    <font>
      <sz val="11"/>
      <color rgb="FF000000"/>
      <name val="Calibri"/>
    </font>
    <font>
      <b/>
      <i/>
      <sz val="12"/>
      <color rgb="FF000000"/>
      <name val="Bookman Old Style"/>
    </font>
    <font>
      <b/>
      <sz val="12"/>
      <color rgb="FF000000"/>
      <name val="Bookman Old Style"/>
    </font>
    <font>
      <b/>
      <sz val="11"/>
      <color rgb="FF000000"/>
      <name val="Bookman Old Style"/>
    </font>
    <font>
      <sz val="11"/>
      <color rgb="FF000000"/>
      <name val="Bookman Old Style"/>
    </font>
    <font>
      <sz val="12"/>
      <color rgb="FF000000"/>
      <name val="Bookman Old Style"/>
    </font>
    <font>
      <b/>
      <sz val="12"/>
      <color rgb="FFFFFFFF"/>
      <name val="Bookman Old Style"/>
    </font>
    <font>
      <b/>
      <sz val="11"/>
      <color rgb="FFFFFFFF"/>
      <name val="Bookman Old Style"/>
    </font>
    <font>
      <sz val="11"/>
      <color rgb="FFFF0000"/>
      <name val="Bookman Old Style"/>
    </font>
    <font>
      <b/>
      <sz val="11"/>
      <color rgb="FFFFFFFF"/>
      <name val="Calibri"/>
    </font>
    <font>
      <b/>
      <u/>
      <sz val="12"/>
      <color rgb="FF000000"/>
      <name val="Bookman Old Style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A379BB"/>
        <bgColor rgb="FFFFFFFF"/>
      </patternFill>
    </fill>
    <fill>
      <patternFill patternType="solid">
        <fgColor rgb="FFA379BB"/>
        <bgColor rgb="FFA379BB"/>
      </patternFill>
    </fill>
    <fill>
      <patternFill patternType="solid">
        <fgColor rgb="FF26262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1" fillId="2" borderId="1" xfId="0" applyFont="1" applyFill="1" applyBorder="1" applyAlignment="1">
      <alignment horizontal="justify" vertical="center" wrapText="1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0" fontId="4" fillId="2" borderId="1" xfId="0" applyFont="1" applyFill="1" applyBorder="1"/>
    <xf numFmtId="164" fontId="3" fillId="2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5" fillId="2" borderId="1" xfId="0" applyFont="1" applyFill="1" applyBorder="1"/>
    <xf numFmtId="0" fontId="6" fillId="3" borderId="1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justify" vertical="center"/>
    </xf>
    <xf numFmtId="164" fontId="2" fillId="2" borderId="1" xfId="0" applyNumberFormat="1" applyFont="1" applyFill="1" applyBorder="1" applyAlignment="1">
      <alignment horizontal="justify" vertical="center"/>
    </xf>
    <xf numFmtId="0" fontId="4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4" fillId="2" borderId="1" xfId="0" applyFont="1" applyFill="1" applyBorder="1" applyProtection="1">
      <protection locked="0"/>
    </xf>
    <xf numFmtId="164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justify"/>
    </xf>
    <xf numFmtId="0" fontId="4" fillId="2" borderId="0" xfId="0" applyFont="1" applyFill="1"/>
    <xf numFmtId="0" fontId="3" fillId="2" borderId="0" xfId="0" applyFont="1" applyFill="1"/>
    <xf numFmtId="164" fontId="4" fillId="2" borderId="0" xfId="0" applyNumberFormat="1" applyFont="1" applyFill="1"/>
    <xf numFmtId="164" fontId="3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wrapText="1"/>
    </xf>
    <xf numFmtId="164" fontId="3" fillId="2" borderId="3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 applyProtection="1">
      <alignment horizontal="center" wrapText="1"/>
      <protection locked="0"/>
    </xf>
    <xf numFmtId="164" fontId="4" fillId="2" borderId="0" xfId="0" applyNumberFormat="1" applyFont="1" applyFill="1" applyProtection="1">
      <protection locked="0"/>
    </xf>
    <xf numFmtId="164" fontId="4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/>
    <xf numFmtId="0" fontId="3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horizontal="center" wrapText="1"/>
      <protection locked="0"/>
    </xf>
    <xf numFmtId="0" fontId="4" fillId="2" borderId="0" xfId="0" applyFont="1" applyFill="1" applyProtection="1">
      <protection locked="0"/>
    </xf>
    <xf numFmtId="164" fontId="4" fillId="2" borderId="0" xfId="0" applyNumberFormat="1" applyFont="1" applyFill="1"/>
    <xf numFmtId="164" fontId="5" fillId="2" borderId="1" xfId="0" applyNumberFormat="1" applyFont="1" applyFill="1" applyBorder="1" applyAlignment="1">
      <alignment horizontal="justify" vertical="center"/>
    </xf>
    <xf numFmtId="1" fontId="4" fillId="2" borderId="0" xfId="0" applyNumberFormat="1" applyFont="1" applyFill="1"/>
    <xf numFmtId="0" fontId="8" fillId="2" borderId="0" xfId="0" applyFont="1" applyFill="1"/>
    <xf numFmtId="164" fontId="5" fillId="2" borderId="1" xfId="0" applyNumberFormat="1" applyFont="1" applyFill="1" applyBorder="1" applyAlignment="1">
      <alignment horizontal="justify" vertical="center"/>
    </xf>
    <xf numFmtId="164" fontId="2" fillId="2" borderId="1" xfId="0" applyNumberFormat="1" applyFont="1" applyFill="1" applyBorder="1" applyAlignment="1">
      <alignment horizontal="justify" vertical="center"/>
    </xf>
    <xf numFmtId="166" fontId="4" fillId="2" borderId="0" xfId="0" applyNumberFormat="1" applyFont="1" applyFill="1"/>
    <xf numFmtId="164" fontId="4" fillId="2" borderId="0" xfId="0" applyNumberFormat="1" applyFont="1" applyFill="1" applyAlignment="1">
      <alignment vertical="center" wrapText="1"/>
    </xf>
    <xf numFmtId="0" fontId="0" fillId="2" borderId="0" xfId="0" applyFill="1"/>
    <xf numFmtId="0" fontId="9" fillId="5" borderId="0" xfId="0" applyFont="1" applyFill="1"/>
    <xf numFmtId="164" fontId="5" fillId="2" borderId="4" xfId="0" applyNumberFormat="1" applyFont="1" applyFill="1" applyBorder="1" applyAlignment="1">
      <alignment horizontal="justify" vertical="center"/>
    </xf>
    <xf numFmtId="164" fontId="5" fillId="2" borderId="1" xfId="0" applyNumberFormat="1" applyFont="1" applyFill="1" applyBorder="1" applyAlignment="1">
      <alignment horizontal="justify" vertical="center"/>
    </xf>
    <xf numFmtId="164" fontId="5" fillId="2" borderId="1" xfId="0" applyNumberFormat="1" applyFont="1" applyFill="1" applyBorder="1" applyAlignment="1">
      <alignment horizontal="justify" vertic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164" fontId="4" fillId="2" borderId="0" xfId="0" applyNumberFormat="1" applyFont="1" applyFill="1" applyProtection="1">
      <protection locked="0"/>
    </xf>
    <xf numFmtId="0" fontId="4" fillId="2" borderId="0" xfId="0" applyFont="1" applyFill="1"/>
    <xf numFmtId="0" fontId="3" fillId="2" borderId="0" xfId="0" applyFont="1" applyFill="1"/>
    <xf numFmtId="164" fontId="4" fillId="2" borderId="0" xfId="0" applyNumberFormat="1" applyFont="1" applyFill="1"/>
    <xf numFmtId="0" fontId="4" fillId="2" borderId="1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164" fontId="3" fillId="6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justify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164" fontId="4" fillId="2" borderId="0" xfId="0" applyNumberFormat="1" applyFont="1" applyFill="1"/>
    <xf numFmtId="0" fontId="4" fillId="2" borderId="0" xfId="0" applyFont="1" applyFill="1"/>
    <xf numFmtId="0" fontId="10" fillId="2" borderId="0" xfId="0" applyFont="1" applyFill="1" applyAlignment="1">
      <alignment horizontal="justify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0" xfId="0" applyFont="1" applyFill="1" applyAlignment="1">
      <alignment horizontal="justify" vertical="center" wrapText="1"/>
    </xf>
    <xf numFmtId="0" fontId="5" fillId="2" borderId="0" xfId="0" applyFont="1" applyFill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2" fillId="2" borderId="5" xfId="0" applyFont="1" applyFill="1" applyBorder="1" applyAlignment="1">
      <alignment horizontal="justify" vertical="center" wrapText="1"/>
    </xf>
    <xf numFmtId="0" fontId="2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/>
    </xf>
    <xf numFmtId="0" fontId="4" fillId="2" borderId="1" xfId="0" applyFont="1" applyFill="1" applyBorder="1"/>
    <xf numFmtId="164" fontId="4" fillId="2" borderId="1" xfId="0" applyNumberFormat="1" applyFont="1" applyFill="1" applyBorder="1"/>
    <xf numFmtId="164" fontId="4" fillId="2" borderId="1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3" fillId="2" borderId="1" xfId="0" applyNumberFormat="1" applyFont="1" applyFill="1" applyBorder="1"/>
    <xf numFmtId="0" fontId="6" fillId="3" borderId="6" xfId="0" applyFont="1" applyFill="1" applyBorder="1" applyAlignment="1">
      <alignment horizontal="justify" vertical="center" wrapText="1"/>
    </xf>
    <xf numFmtId="0" fontId="6" fillId="3" borderId="7" xfId="0" applyFont="1" applyFill="1" applyBorder="1" applyAlignment="1">
      <alignment horizontal="justify" vertical="center" wrapText="1"/>
    </xf>
    <xf numFmtId="0" fontId="6" fillId="3" borderId="8" xfId="0" applyFont="1" applyFill="1" applyBorder="1" applyAlignment="1">
      <alignment horizontal="justify" vertical="center" wrapText="1"/>
    </xf>
    <xf numFmtId="0" fontId="6" fillId="3" borderId="9" xfId="0" applyFont="1" applyFill="1" applyBorder="1" applyAlignment="1">
      <alignment horizontal="justify" vertical="center" wrapText="1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27" sqref="B27"/>
    </sheetView>
  </sheetViews>
  <sheetFormatPr defaultRowHeight="15" x14ac:dyDescent="0.25"/>
  <cols>
    <col min="1" max="1" width="8.28515625" style="28" customWidth="1"/>
    <col min="2" max="2" width="65.140625" style="28" customWidth="1"/>
    <col min="3" max="3" width="30.85546875" style="30" customWidth="1"/>
    <col min="4" max="4" width="19.42578125" style="28" customWidth="1"/>
    <col min="5" max="5" width="19.28515625" style="28" customWidth="1"/>
    <col min="6" max="6" width="20.42578125" style="28" customWidth="1"/>
    <col min="7" max="7" width="9.140625" style="28" customWidth="1"/>
  </cols>
  <sheetData>
    <row r="1" spans="1:5" x14ac:dyDescent="0.25">
      <c r="A1" s="76"/>
      <c r="B1" s="77" t="s">
        <v>0</v>
      </c>
      <c r="C1" s="78"/>
      <c r="D1" s="79"/>
      <c r="E1" s="79"/>
    </row>
    <row r="2" spans="1:5" x14ac:dyDescent="0.25">
      <c r="A2" s="76"/>
      <c r="B2" s="77" t="s">
        <v>1</v>
      </c>
      <c r="C2" s="78"/>
      <c r="D2" s="79"/>
      <c r="E2" s="79"/>
    </row>
    <row r="3" spans="1:5" x14ac:dyDescent="0.25">
      <c r="A3" s="76"/>
      <c r="B3" s="77" t="s">
        <v>2</v>
      </c>
      <c r="C3" s="78"/>
      <c r="D3" s="79"/>
      <c r="E3" s="79"/>
    </row>
    <row r="4" spans="1:5" x14ac:dyDescent="0.25">
      <c r="A4" s="76"/>
      <c r="B4" s="77" t="s">
        <v>120</v>
      </c>
      <c r="C4" s="78"/>
      <c r="D4" s="79"/>
      <c r="E4" s="79"/>
    </row>
    <row r="5" spans="1:5" x14ac:dyDescent="0.25">
      <c r="A5" s="79"/>
      <c r="B5" s="80"/>
      <c r="C5" s="81"/>
      <c r="D5" s="79"/>
      <c r="E5" s="79"/>
    </row>
    <row r="6" spans="1:5" x14ac:dyDescent="0.25">
      <c r="A6" s="82"/>
      <c r="B6" s="83"/>
      <c r="C6" s="84" t="s">
        <v>3</v>
      </c>
      <c r="D6" s="82"/>
      <c r="E6" s="83"/>
    </row>
    <row r="7" spans="1:5" x14ac:dyDescent="0.25">
      <c r="A7" s="85" t="s">
        <v>4</v>
      </c>
      <c r="B7" s="85" t="s">
        <v>5</v>
      </c>
      <c r="C7" s="86" t="s">
        <v>6</v>
      </c>
      <c r="D7" s="87" t="s">
        <v>7</v>
      </c>
      <c r="E7" s="87" t="s">
        <v>8</v>
      </c>
    </row>
    <row r="8" spans="1:5" x14ac:dyDescent="0.25">
      <c r="A8" s="88"/>
      <c r="B8" s="89"/>
      <c r="C8" s="90"/>
      <c r="D8" s="85"/>
      <c r="E8" s="85"/>
    </row>
    <row r="9" spans="1:5" x14ac:dyDescent="0.25">
      <c r="A9" s="83" t="s">
        <v>9</v>
      </c>
      <c r="B9" s="91" t="s">
        <v>10</v>
      </c>
      <c r="C9" s="92">
        <f>SUM(C10+C11)</f>
        <v>0</v>
      </c>
      <c r="D9" s="92">
        <f>SUM(D10+D11+D17)</f>
        <v>0</v>
      </c>
      <c r="E9" s="92">
        <f>SUM(E10+E11+E17)</f>
        <v>0</v>
      </c>
    </row>
    <row r="10" spans="1:5" x14ac:dyDescent="0.25">
      <c r="A10" s="93">
        <v>1</v>
      </c>
      <c r="B10" s="94" t="s">
        <v>11</v>
      </c>
      <c r="C10" s="95">
        <f>SUMIFS(CHA!K:K,CHA!G:G,646,CHA!F:F,1)+SUMIFS(CHA!K:K,CHA!G:G,646,CHA!F:F,3)</f>
        <v>0</v>
      </c>
      <c r="D10" s="95">
        <f>SUMIFS(CHA!I:I,CHA!G:G,646,CHA!F:F,1)+SUMIFS(CHA!I:I,CHA!G:G,646,CHA!F:F,3)</f>
        <v>0</v>
      </c>
      <c r="E10" s="95">
        <f>COUNTIFS(CHA!AQ:AQ,1,CHA!AS:AS,646)+COUNTIFS(CHA!AQ:AQ,3,CHA!AS:AS,646)</f>
        <v>0</v>
      </c>
    </row>
    <row r="11" spans="1:5" x14ac:dyDescent="0.25">
      <c r="A11" s="93">
        <v>2</v>
      </c>
      <c r="B11" s="94" t="s">
        <v>12</v>
      </c>
      <c r="C11" s="95">
        <f>SUMIFS(CHA!K:K,CHA!G:G,646,CHA!F:F,2)+SUMIFS(CHA!K:K,CHA!G:G,646,CHA!F:F,"")</f>
        <v>0</v>
      </c>
      <c r="D11" s="95">
        <f>SUMIFS(CHA!I:I,CHA!G:G,646,CHA!F:F,2)+SUMIFS(CHA!I:I,CHA!G:G,646,CHA!F:F,"")</f>
        <v>0</v>
      </c>
      <c r="E11" s="95">
        <f>COUNTIFS(CHA!AQ:AQ,2,CHA!AS:AS,646)+COUNTIFS(CHA!AQ:AQ,"",CHA!AS:AS,646)</f>
        <v>0</v>
      </c>
    </row>
    <row r="12" spans="1:5" x14ac:dyDescent="0.25">
      <c r="A12" s="83" t="s">
        <v>13</v>
      </c>
      <c r="B12" s="91" t="s">
        <v>14</v>
      </c>
      <c r="C12" s="90"/>
      <c r="D12" s="90"/>
      <c r="E12" s="90"/>
    </row>
    <row r="13" spans="1:5" x14ac:dyDescent="0.25">
      <c r="A13" s="82">
        <v>1</v>
      </c>
      <c r="B13" s="82" t="s">
        <v>15</v>
      </c>
      <c r="C13" s="95">
        <f>SUMIFS(CHA!P:P,CHA!N:N,646)</f>
        <v>0</v>
      </c>
      <c r="D13" s="95">
        <f>COUNTIFS(CHA!O:O,"*", CHA!N:N,646)</f>
        <v>0</v>
      </c>
      <c r="E13" s="95">
        <f>D13-COUNTIFS(CHA!O:O,CHA!O:O,CHA!N:N,646)</f>
        <v>0</v>
      </c>
    </row>
    <row r="14" spans="1:5" ht="30" customHeight="1" x14ac:dyDescent="0.25">
      <c r="A14" s="82">
        <v>2</v>
      </c>
      <c r="B14" s="96" t="s">
        <v>16</v>
      </c>
      <c r="C14" s="95">
        <f>SUMIFS(CHA!AC:AC,CHA!Z:Z,646)</f>
        <v>0</v>
      </c>
      <c r="D14" s="95">
        <f>COUNTIFS(CHA!AA:AA,"*", CHA!Z:Z,646)</f>
        <v>0</v>
      </c>
      <c r="E14" s="95">
        <f>D14-COUNTIFS(CHA!AA:AA,CHA!AA:AA,CHA!Z:Z,646)</f>
        <v>0</v>
      </c>
    </row>
    <row r="15" spans="1:5" ht="30" customHeight="1" x14ac:dyDescent="0.25">
      <c r="A15" s="82">
        <v>3</v>
      </c>
      <c r="B15" s="96" t="s">
        <v>17</v>
      </c>
      <c r="C15" s="95">
        <f>SUMIFS(CHA!V:V,CHA!T:T,646)</f>
        <v>0</v>
      </c>
      <c r="D15" s="95">
        <f>COUNTIFS(CHA!U:U,"*", CHA!T:T,646)</f>
        <v>0</v>
      </c>
      <c r="E15" s="95">
        <f>D15-COUNTIFS(CHA!U:U,CHA!U:U,CHA!T:T,646)</f>
        <v>0</v>
      </c>
    </row>
    <row r="16" spans="1:5" ht="45" customHeight="1" x14ac:dyDescent="0.25">
      <c r="A16" s="94">
        <v>4</v>
      </c>
      <c r="B16" s="96" t="s">
        <v>18</v>
      </c>
      <c r="C16" s="95">
        <f>SUMIFS(CHA!AI:AI,CHA!AF:AF,646)</f>
        <v>0</v>
      </c>
      <c r="D16" s="95">
        <f>COUNTIFS(CHA!AG:AG,"*", CHA!AF:AF,646)</f>
        <v>0</v>
      </c>
      <c r="E16" s="95">
        <f>D16-COUNTIFS(CHA!AG:AG,CHA!AG:AG,CHA!AF:AF,646)</f>
        <v>0</v>
      </c>
    </row>
    <row r="17" spans="1:5" x14ac:dyDescent="0.25">
      <c r="A17" s="83">
        <v>5</v>
      </c>
      <c r="B17" s="91" t="s">
        <v>19</v>
      </c>
      <c r="C17" s="97">
        <f>SUM(C13:C16)</f>
        <v>0</v>
      </c>
      <c r="D17" s="97">
        <f>SUM(D13:D16)</f>
        <v>0</v>
      </c>
      <c r="E17" s="97">
        <f>SUM(E13:E16)</f>
        <v>0</v>
      </c>
    </row>
    <row r="18" spans="1:5" x14ac:dyDescent="0.25">
      <c r="A18" s="83"/>
      <c r="B18" s="91"/>
      <c r="C18" s="97"/>
      <c r="D18" s="97"/>
      <c r="E18" s="97"/>
    </row>
    <row r="19" spans="1:5" x14ac:dyDescent="0.25">
      <c r="A19" s="83" t="s">
        <v>20</v>
      </c>
      <c r="B19" s="91" t="s">
        <v>21</v>
      </c>
      <c r="C19" s="97">
        <f>C9-C17</f>
        <v>0</v>
      </c>
      <c r="D19" s="97">
        <f>D9-D17</f>
        <v>0</v>
      </c>
      <c r="E19" s="97">
        <f>E9-E17</f>
        <v>0</v>
      </c>
    </row>
    <row r="20" spans="1:5" x14ac:dyDescent="0.25">
      <c r="A20" s="83"/>
      <c r="B20" s="91"/>
      <c r="C20" s="97"/>
      <c r="D20" s="88"/>
      <c r="E20" s="88"/>
    </row>
    <row r="21" spans="1:5" x14ac:dyDescent="0.25">
      <c r="A21" s="83" t="s">
        <v>22</v>
      </c>
      <c r="B21" s="91" t="s">
        <v>23</v>
      </c>
      <c r="C21" s="98">
        <v>2.5000000000000001E-4</v>
      </c>
      <c r="D21" s="88"/>
      <c r="E21" s="88"/>
    </row>
    <row r="22" spans="1:5" x14ac:dyDescent="0.25">
      <c r="A22" s="83" t="s">
        <v>24</v>
      </c>
      <c r="B22" s="91" t="s">
        <v>25</v>
      </c>
      <c r="C22" s="97">
        <f>C19*C21</f>
        <v>0</v>
      </c>
      <c r="D22" s="88"/>
      <c r="E22" s="88"/>
    </row>
    <row r="23" spans="1:5" x14ac:dyDescent="0.25">
      <c r="A23" s="80"/>
      <c r="B23" s="99"/>
      <c r="C23" s="100"/>
      <c r="D23" s="101"/>
      <c r="E23" s="101"/>
    </row>
    <row r="24" spans="1:5" x14ac:dyDescent="0.25">
      <c r="A24" s="80"/>
      <c r="B24" s="99"/>
      <c r="C24" s="100"/>
      <c r="D24" s="101"/>
      <c r="E24" s="101"/>
    </row>
    <row r="25" spans="1:5" x14ac:dyDescent="0.25">
      <c r="A25" s="76"/>
      <c r="B25" s="76" t="s">
        <v>26</v>
      </c>
      <c r="C25" s="78"/>
      <c r="D25" s="79"/>
      <c r="E25" s="79"/>
    </row>
    <row r="26" spans="1:5" x14ac:dyDescent="0.25">
      <c r="A26" s="76"/>
      <c r="B26" s="76" t="s">
        <v>121</v>
      </c>
      <c r="C26" s="78"/>
      <c r="D26" s="79"/>
      <c r="E26" s="79"/>
    </row>
    <row r="27" spans="1:5" x14ac:dyDescent="0.25">
      <c r="A27" s="76"/>
      <c r="B27" s="76"/>
      <c r="C27" s="78"/>
      <c r="D27" s="79"/>
      <c r="E27" s="79"/>
    </row>
    <row r="28" spans="1:5" x14ac:dyDescent="0.25">
      <c r="A28" s="76"/>
      <c r="B28" s="76" t="s">
        <v>27</v>
      </c>
      <c r="C28" s="78"/>
      <c r="D28" s="79"/>
      <c r="E28" s="79"/>
    </row>
    <row r="29" spans="1:5" x14ac:dyDescent="0.25">
      <c r="A29" s="79"/>
      <c r="B29" s="79"/>
      <c r="C29" s="81"/>
      <c r="D29" s="79"/>
      <c r="E29" s="79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2" workbookViewId="0">
      <selection activeCell="G13" sqref="G13"/>
    </sheetView>
  </sheetViews>
  <sheetFormatPr defaultRowHeight="15" x14ac:dyDescent="0.25"/>
  <cols>
    <col min="1" max="1" width="7" style="4" customWidth="1"/>
    <col min="2" max="2" width="80.42578125" style="4" customWidth="1"/>
    <col min="3" max="3" width="25.140625" style="5" customWidth="1"/>
    <col min="4" max="4" width="18.5703125" style="4" customWidth="1"/>
    <col min="5" max="5" width="20.28515625" style="4" customWidth="1"/>
    <col min="6" max="6" width="20.42578125" style="4" customWidth="1"/>
    <col min="7" max="7" width="9.140625" style="4" customWidth="1"/>
  </cols>
  <sheetData>
    <row r="1" spans="1:5" x14ac:dyDescent="0.25">
      <c r="A1" s="28"/>
      <c r="B1" s="16" t="str">
        <f>'Monthly Deposits-LCY'!B1</f>
        <v>BANK NAME:  COGEBANQUE</v>
      </c>
      <c r="C1" s="53"/>
      <c r="D1" s="28"/>
      <c r="E1" s="28"/>
    </row>
    <row r="2" spans="1:5" x14ac:dyDescent="0.25">
      <c r="A2" s="28"/>
      <c r="B2" s="16" t="str">
        <f>'Monthly Deposits-LCY'!B2</f>
        <v xml:space="preserve">ADDRESS OF THE BANK: KN 4 AV 72 ST, CENTENARY HOUSE/CAR PARK ,NYARUGENGE, B.P. 5230 Kigali - Rwanda </v>
      </c>
      <c r="C2" s="53"/>
      <c r="D2" s="28"/>
      <c r="E2" s="28"/>
    </row>
    <row r="3" spans="1:5" x14ac:dyDescent="0.25">
      <c r="A3" s="28"/>
      <c r="B3" s="16" t="str">
        <f>'Monthly Deposits-LCY'!B3</f>
        <v>PERIOD: MONTHLY</v>
      </c>
      <c r="C3" s="53"/>
      <c r="D3" s="28"/>
      <c r="E3" s="28"/>
    </row>
    <row r="4" spans="1:5" x14ac:dyDescent="0.25">
      <c r="A4" s="28"/>
      <c r="B4" s="16" t="str">
        <f>'Monthly Deposits-LCY'!B4</f>
        <v>REPORT AS AT …</v>
      </c>
      <c r="C4" s="53"/>
      <c r="D4" s="28"/>
      <c r="E4" s="28"/>
    </row>
    <row r="5" spans="1:5" x14ac:dyDescent="0.25">
      <c r="A5" s="28"/>
      <c r="B5" s="29"/>
      <c r="C5" s="30"/>
      <c r="D5" s="28"/>
      <c r="E5" s="28"/>
    </row>
    <row r="6" spans="1:5" x14ac:dyDescent="0.25">
      <c r="A6" s="26"/>
      <c r="B6" s="22"/>
      <c r="C6" s="31" t="s">
        <v>28</v>
      </c>
      <c r="D6" s="26"/>
      <c r="E6" s="22"/>
    </row>
    <row r="7" spans="1:5" x14ac:dyDescent="0.25">
      <c r="A7" s="19" t="s">
        <v>4</v>
      </c>
      <c r="B7" s="19" t="s">
        <v>5</v>
      </c>
      <c r="C7" s="32" t="s">
        <v>6</v>
      </c>
      <c r="D7" s="33" t="s">
        <v>7</v>
      </c>
      <c r="E7" s="33" t="s">
        <v>8</v>
      </c>
    </row>
    <row r="8" spans="1:5" x14ac:dyDescent="0.25">
      <c r="A8" s="20"/>
      <c r="B8" s="21"/>
      <c r="C8" s="34"/>
      <c r="D8" s="19"/>
      <c r="E8" s="19"/>
    </row>
    <row r="9" spans="1:5" x14ac:dyDescent="0.25">
      <c r="A9" s="22" t="s">
        <v>9</v>
      </c>
      <c r="B9" s="23" t="s">
        <v>10</v>
      </c>
      <c r="C9" s="35">
        <f>SUM(C10+C11)</f>
        <v>0</v>
      </c>
      <c r="D9" s="35">
        <f>SUM(D10+D11+D17)</f>
        <v>0</v>
      </c>
      <c r="E9" s="35">
        <f>SUM(E10+E11+E17)</f>
        <v>0</v>
      </c>
    </row>
    <row r="10" spans="1:5" x14ac:dyDescent="0.25">
      <c r="A10" s="24">
        <v>1</v>
      </c>
      <c r="B10" s="25" t="s">
        <v>11</v>
      </c>
      <c r="C10" s="18">
        <f>SUMIFS(CHA!K:K,CHA!G:G,840,CHA!F:F,1)+SUMIFS(CHA!K:K,CHA!G:G,840,CHA!F:F,3)+SUMIFS(CHA!K:K,CHA!G:G,826,CHA!F:F,1)+SUMIFS(CHA!K:K,CHA!G:G,826,CHA!F:F,3)+SUMIFS(CHA!K:K,CHA!G:G,978,CHA!F:F,1)+SUMIFS(CHA!K:K,CHA!G:G,978,CHA!F:F,3)</f>
        <v>0</v>
      </c>
      <c r="D10" s="18">
        <f>SUMIFS(CHA!I:I,CHA!G:G,840,CHA!F:F,1)+SUMIFS(CHA!I:I,CHA!G:G,840,CHA!F:F,3)+SUMIFS(CHA!I:I,CHA!G:G,826,CHA!F:F,1)+SUMIFS(CHA!I:I,CHA!G:G,826,CHA!F:F,3)+SUMIFS(CHA!I:I,CHA!G:G,978,CHA!F:F,1)+SUMIFS(CHA!I:I,CHA!G:G,978,CHA!F:F,3)</f>
        <v>0</v>
      </c>
      <c r="E10" s="18">
        <f>COUNTIFS(CHA!AQ:AQ,1,CHA!AS:AS,840)+COUNTIFS(CHA!AQ:AQ,3,CHA!AS:AS,840)+COUNTIFS(CHA!AQ:AQ,1,CHA!AS:AS,826)+COUNTIFS(CHA!AQ:AQ,3,CHA!AS:AS,826)+COUNTIFS(CHA!AQ:AQ,1,CHA!AS:AS,978)+COUNTIFS(CHA!AQ:AQ,3,CHA!AS:AS,978)</f>
        <v>0</v>
      </c>
    </row>
    <row r="11" spans="1:5" x14ac:dyDescent="0.25">
      <c r="A11" s="24">
        <v>2</v>
      </c>
      <c r="B11" s="25" t="s">
        <v>12</v>
      </c>
      <c r="C11" s="18">
        <f>SUMIFS(CHA!K:K,CHA!G:G,840,CHA!F:F,2)+SUMIFS(CHA!K:K,CHA!G:G,840,CHA!F:F,"")+SUMIFS(CHA!K:K,CHA!G:G,826,CHA!F:F,2)+SUMIFS(CHA!K:K,CHA!G:G,826,CHA!F:F,"")+SUMIFS(CHA!K:K,CHA!G:G,978,CHA!F:F,2)+SUMIFS(CHA!K:K,CHA!G:G,978,CHA!F:F,"")</f>
        <v>0</v>
      </c>
      <c r="D11" s="18">
        <f>SUMIFS(CHA!I:I,CHA!G:G,840,CHA!F:F,2)+SUMIFS(CHA!I:I,CHA!G:G,840,CHA!F:F,"")+SUMIFS(CHA!I:I,CHA!G:G,826,CHA!F:F,2)+SUMIFS(CHA!I:I,CHA!G:G,826,CHA!F:F,"")+SUMIFS(CHA!I:I,CHA!G:G,978,CHA!F:F,2)+SUMIFS(CHA!I:I,CHA!G:G,978,CHA!F:F,"")</f>
        <v>0</v>
      </c>
      <c r="E11" s="18">
        <f>COUNTIFS(CHA!AQ:AQ,2,CHA!AS:AS,840)+COUNTIFS(CHA!AQ:AQ,"",CHA!AS:AS,840)+COUNTIFS(CHA!AQ:AQ,2,CHA!AS:AS,826)+COUNTIFS(CHA!AQ:AQ,"",CHA!AS:AS,826)+COUNTIFS(CHA!AQ:AQ,2,CHA!AS:AS,978)+COUNTIFS(CHA!AQ:AQ,"",CHA!AS:AS,978)</f>
        <v>0</v>
      </c>
    </row>
    <row r="12" spans="1:5" x14ac:dyDescent="0.25">
      <c r="A12" s="22" t="s">
        <v>13</v>
      </c>
      <c r="B12" s="23" t="s">
        <v>14</v>
      </c>
      <c r="C12" s="34"/>
      <c r="D12" s="34"/>
      <c r="E12" s="34"/>
    </row>
    <row r="13" spans="1:5" x14ac:dyDescent="0.25">
      <c r="A13" s="26">
        <v>1</v>
      </c>
      <c r="B13" s="26" t="s">
        <v>15</v>
      </c>
      <c r="C13" s="18">
        <f>SUMIFS(CHA!P:P,CHA!N:N,840)+SUMIFS(CHA!P:P,CHA!N:N,826)+SUMIFS(CHA!P:P,CHA!N:N,978)</f>
        <v>0</v>
      </c>
      <c r="D13" s="18">
        <f>COUNTIFS(CHA!O:O,"*", CHA!N:N,840)+COUNTIFS(CHA!O:O,"*", CHA!N:N,826)+COUNTIFS(CHA!O:O,"*", CHA!N:N,978)</f>
        <v>0</v>
      </c>
      <c r="E13" s="18">
        <f>D13-(COUNTIFS(CHA!O:O,CHA!O:O,CHA!N:N,840)+COUNTIFS(CHA!O:O,CHA!O:O,CHA!N:N,826)+COUNTIFS(CHA!O:O,CHA!O:O,CHA!N:N,978))</f>
        <v>0</v>
      </c>
    </row>
    <row r="14" spans="1:5" x14ac:dyDescent="0.25">
      <c r="A14" s="26">
        <v>2</v>
      </c>
      <c r="B14" s="27" t="s">
        <v>16</v>
      </c>
      <c r="C14" s="18">
        <f>SUMIFS(CHA!AC:AC,CHA!Z:Z,840)+SUMIFS(CHA!AC:AC,CHA!Z:Z,826)+SUMIFS(CHA!AC:AC,CHA!Z:Z,978)</f>
        <v>0</v>
      </c>
      <c r="D14" s="18">
        <f>COUNTIFS(CHA!AA:AA,"*", CHA!Z:Z,840)+COUNTIFS(CHA!AA:AA,"*", CHA!Z:Z,826)+COUNTIFS(CHA!AA:AA,"*", CHA!Z:Z,978)</f>
        <v>0</v>
      </c>
      <c r="E14" s="18">
        <f>D14-(COUNTIFS(CHA!AA:AA,CHA!AA:AA,CHA!Z:Z,840)+COUNTIFS(CHA!AA:AA,CHA!AA:AA,CHA!Z:Z,826)+COUNTIFS(CHA!AA:AA,CHA!AA:AA,CHA!Z:Z,978))</f>
        <v>0</v>
      </c>
    </row>
    <row r="15" spans="1:5" ht="30" customHeight="1" x14ac:dyDescent="0.25">
      <c r="A15" s="26">
        <v>3</v>
      </c>
      <c r="B15" s="27" t="s">
        <v>17</v>
      </c>
      <c r="C15" s="18">
        <f>SUMIFS(CHA!V:V,CHA!T:T,840)+SUMIFS(CHA!V:V,CHA!T:T,826)+SUMIFS(CHA!V:V,CHA!T:T,978)</f>
        <v>0</v>
      </c>
      <c r="D15" s="18">
        <f>COUNTIFS(CHA!U:U,"*", CHA!T:T,840)+COUNTIFS(CHA!U:U,"*", CHA!T:T,826)+COUNTIFS(CHA!U:U,"*", CHA!T:T,978)</f>
        <v>0</v>
      </c>
      <c r="E15" s="18">
        <f>D15-(COUNTIFS(CHA!U:U,CHA!U:U,CHA!T:T,840)+COUNTIFS(CHA!U:U,CHA!U:U,CHA!T:T,826)+COUNTIFS(CHA!U:U,CHA!U:U,CHA!T:T,978))</f>
        <v>0</v>
      </c>
    </row>
    <row r="16" spans="1:5" ht="30" customHeight="1" x14ac:dyDescent="0.25">
      <c r="A16" s="25">
        <v>4</v>
      </c>
      <c r="B16" s="27" t="s">
        <v>18</v>
      </c>
      <c r="C16" s="18">
        <f>SUMIFS(CHA!AI:AI,CHA!AF:AF,840)+SUMIFS(CHA!AI:AI,CHA!AF:AF,826)+SUMIFS(CHA!AI:AI,CHA!AF:AF,978)</f>
        <v>0</v>
      </c>
      <c r="D16" s="18">
        <f>COUNTIFS(CHA!AG:AG,"*", CHA!AF:AF,840)+COUNTIFS(CHA!AG:AG,"*", CHA!AF:AF,826)+COUNTIFS(CHA!AG:AG,"*", CHA!AF:AF,978)</f>
        <v>0</v>
      </c>
      <c r="E16" s="18">
        <f>D16-(COUNTIFS(CHA!AG:AG,CHA!AG:AG,CHA!AF:AF,840)+COUNTIFS(CHA!AG:AG,CHA!AG:AG,CHA!AF:AF,826)+COUNTIFS(CHA!AG:AG,CHA!AG:AG,CHA!AF:AF,978))</f>
        <v>0</v>
      </c>
    </row>
    <row r="17" spans="1:5" x14ac:dyDescent="0.25">
      <c r="A17" s="22">
        <v>5</v>
      </c>
      <c r="B17" s="23" t="s">
        <v>29</v>
      </c>
      <c r="C17" s="35">
        <f>SUM(C13:C16)</f>
        <v>0</v>
      </c>
      <c r="D17" s="35">
        <f>SUM(D13:D16)</f>
        <v>0</v>
      </c>
      <c r="E17" s="35">
        <f>SUM(E13:E16)</f>
        <v>0</v>
      </c>
    </row>
    <row r="18" spans="1:5" x14ac:dyDescent="0.25">
      <c r="A18" s="22"/>
      <c r="B18" s="23"/>
      <c r="C18" s="35"/>
      <c r="D18" s="35"/>
      <c r="E18" s="35"/>
    </row>
    <row r="19" spans="1:5" ht="18.75" customHeight="1" x14ac:dyDescent="0.25">
      <c r="A19" s="22" t="s">
        <v>20</v>
      </c>
      <c r="B19" s="23" t="s">
        <v>21</v>
      </c>
      <c r="C19" s="35">
        <f>C9-C17</f>
        <v>0</v>
      </c>
      <c r="D19" s="35">
        <f>D9-D17</f>
        <v>0</v>
      </c>
      <c r="E19" s="35">
        <f>E9-E17</f>
        <v>0</v>
      </c>
    </row>
    <row r="20" spans="1:5" x14ac:dyDescent="0.25">
      <c r="A20" s="22"/>
      <c r="B20" s="23"/>
      <c r="C20" s="35"/>
      <c r="D20" s="20"/>
      <c r="E20" s="20"/>
    </row>
    <row r="21" spans="1:5" x14ac:dyDescent="0.25">
      <c r="A21" s="22" t="s">
        <v>22</v>
      </c>
      <c r="B21" s="23" t="s">
        <v>23</v>
      </c>
      <c r="C21" s="36">
        <v>2.5000000000000001E-4</v>
      </c>
      <c r="D21" s="20"/>
      <c r="E21" s="20"/>
    </row>
    <row r="22" spans="1:5" x14ac:dyDescent="0.25">
      <c r="A22" s="22" t="s">
        <v>24</v>
      </c>
      <c r="B22" s="23" t="s">
        <v>25</v>
      </c>
      <c r="C22" s="35">
        <f>C19*C21</f>
        <v>0</v>
      </c>
      <c r="D22" s="20"/>
      <c r="E22" s="20"/>
    </row>
    <row r="23" spans="1:5" x14ac:dyDescent="0.25">
      <c r="A23" s="37"/>
      <c r="B23" s="38"/>
      <c r="C23" s="39"/>
      <c r="D23" s="40"/>
      <c r="E23" s="40"/>
    </row>
    <row r="24" spans="1:5" x14ac:dyDescent="0.25">
      <c r="A24" s="28"/>
      <c r="B24" s="29"/>
      <c r="C24" s="54"/>
      <c r="D24" s="28"/>
      <c r="E24" s="28"/>
    </row>
    <row r="25" spans="1:5" x14ac:dyDescent="0.25">
      <c r="A25" s="15"/>
      <c r="B25" s="15" t="s">
        <v>26</v>
      </c>
      <c r="C25" s="53"/>
      <c r="D25" s="28"/>
      <c r="E25" s="28"/>
    </row>
    <row r="26" spans="1:5" x14ac:dyDescent="0.25">
      <c r="A26" s="15"/>
      <c r="B26" s="15" t="str">
        <f>'Monthly Deposits-LCY'!B26</f>
        <v xml:space="preserve">Date: </v>
      </c>
      <c r="C26" s="53"/>
      <c r="D26" s="28"/>
      <c r="E26" s="28"/>
    </row>
    <row r="27" spans="1:5" x14ac:dyDescent="0.25">
      <c r="A27" s="15"/>
      <c r="B27" s="15"/>
      <c r="C27" s="53"/>
      <c r="D27" s="28"/>
      <c r="E27" s="28"/>
    </row>
    <row r="28" spans="1:5" x14ac:dyDescent="0.25">
      <c r="A28" s="15"/>
      <c r="B28" s="15" t="s">
        <v>27</v>
      </c>
      <c r="C28" s="53"/>
      <c r="D28" s="28"/>
      <c r="E28" s="28"/>
    </row>
    <row r="29" spans="1:5" x14ac:dyDescent="0.25">
      <c r="A29" s="15"/>
      <c r="B29" s="15"/>
      <c r="C29" s="53"/>
      <c r="D29" s="28"/>
      <c r="E29" s="28"/>
    </row>
    <row r="30" spans="1:5" x14ac:dyDescent="0.25">
      <c r="A30" s="15"/>
      <c r="B30" s="15" t="s">
        <v>30</v>
      </c>
      <c r="C30" s="53"/>
      <c r="D30" s="28"/>
      <c r="E30" s="28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E11" sqref="E11"/>
    </sheetView>
  </sheetViews>
  <sheetFormatPr defaultRowHeight="15" x14ac:dyDescent="0.25"/>
  <cols>
    <col min="1" max="1" width="7" style="28" customWidth="1"/>
    <col min="2" max="2" width="83.28515625" style="28" customWidth="1"/>
    <col min="3" max="3" width="28.85546875" style="30" customWidth="1"/>
    <col min="4" max="4" width="22.42578125" style="28" customWidth="1"/>
    <col min="5" max="5" width="24.5703125" style="28" customWidth="1"/>
    <col min="6" max="6" width="20.42578125" style="28" customWidth="1"/>
    <col min="7" max="7" width="9.140625" style="28" customWidth="1"/>
  </cols>
  <sheetData>
    <row r="1" spans="1:5" x14ac:dyDescent="0.25">
      <c r="A1" s="15"/>
      <c r="B1" s="16" t="str">
        <f>'Monthly Deposits-LCY'!B1</f>
        <v>BANK NAME:  COGEBANQUE</v>
      </c>
      <c r="C1" s="53"/>
    </row>
    <row r="2" spans="1:5" x14ac:dyDescent="0.25">
      <c r="A2" s="15"/>
      <c r="B2" s="16" t="str">
        <f>'Monthly Deposits-LCY'!B2</f>
        <v xml:space="preserve">ADDRESS OF THE BANK: KN 4 AV 72 ST, CENTENARY HOUSE/CAR PARK ,NYARUGENGE, B.P. 5230 Kigali - Rwanda </v>
      </c>
      <c r="C2" s="53"/>
    </row>
    <row r="3" spans="1:5" x14ac:dyDescent="0.25">
      <c r="A3" s="15"/>
      <c r="B3" s="16" t="str">
        <f>'Monthly Deposits-LCY'!B3</f>
        <v>PERIOD: MONTHLY</v>
      </c>
      <c r="C3" s="53"/>
    </row>
    <row r="4" spans="1:5" x14ac:dyDescent="0.25">
      <c r="A4" s="15"/>
      <c r="B4" s="16" t="str">
        <f>'Monthly Deposits-LCY'!B4</f>
        <v>REPORT AS AT …</v>
      </c>
      <c r="C4" s="53"/>
    </row>
    <row r="6" spans="1:5" x14ac:dyDescent="0.25">
      <c r="A6" s="26"/>
      <c r="B6" s="22"/>
      <c r="C6" s="31" t="s">
        <v>31</v>
      </c>
      <c r="D6" s="26"/>
      <c r="E6" s="22"/>
    </row>
    <row r="7" spans="1:5" x14ac:dyDescent="0.25">
      <c r="A7" s="19" t="s">
        <v>4</v>
      </c>
      <c r="B7" s="19" t="s">
        <v>5</v>
      </c>
      <c r="C7" s="32" t="s">
        <v>6</v>
      </c>
      <c r="D7" s="33" t="s">
        <v>7</v>
      </c>
      <c r="E7" s="33" t="s">
        <v>8</v>
      </c>
    </row>
    <row r="8" spans="1:5" x14ac:dyDescent="0.25">
      <c r="A8" s="20"/>
      <c r="B8" s="21"/>
      <c r="C8" s="34"/>
      <c r="D8" s="19"/>
      <c r="E8" s="19"/>
    </row>
    <row r="9" spans="1:5" x14ac:dyDescent="0.25">
      <c r="A9" s="22" t="s">
        <v>9</v>
      </c>
      <c r="B9" s="23" t="s">
        <v>10</v>
      </c>
      <c r="C9" s="35">
        <f>SUM(C10+C11)</f>
        <v>0</v>
      </c>
      <c r="D9" s="35">
        <f>SUM(D10+D11+D17)</f>
        <v>0</v>
      </c>
      <c r="E9" s="35">
        <f>SUM(E10+E11+E17)</f>
        <v>0</v>
      </c>
    </row>
    <row r="10" spans="1:5" x14ac:dyDescent="0.25">
      <c r="A10" s="24">
        <v>1</v>
      </c>
      <c r="B10" s="25" t="s">
        <v>11</v>
      </c>
      <c r="C10" s="34">
        <f>'Monthly Deposits-LCY'!C10+'Mothly Deposits-FCY'!C10</f>
        <v>0</v>
      </c>
      <c r="D10" s="34">
        <f>'Monthly Deposits-LCY'!D10+'Mothly Deposits-FCY'!D10</f>
        <v>0</v>
      </c>
      <c r="E10" s="34">
        <f>'Monthly Deposits-LCY'!E10+'Mothly Deposits-FCY'!E10</f>
        <v>0</v>
      </c>
    </row>
    <row r="11" spans="1:5" x14ac:dyDescent="0.25">
      <c r="A11" s="24">
        <v>2</v>
      </c>
      <c r="B11" s="25" t="s">
        <v>12</v>
      </c>
      <c r="C11" s="34">
        <f>'Monthly Deposits-LCY'!C11+'Mothly Deposits-FCY'!C11</f>
        <v>0</v>
      </c>
      <c r="D11" s="34">
        <f>'Monthly Deposits-LCY'!D11+'Mothly Deposits-FCY'!D11</f>
        <v>0</v>
      </c>
      <c r="E11" s="34">
        <f>'Monthly Deposits-LCY'!E11+'Mothly Deposits-FCY'!E11</f>
        <v>0</v>
      </c>
    </row>
    <row r="12" spans="1:5" x14ac:dyDescent="0.25">
      <c r="A12" s="22" t="s">
        <v>13</v>
      </c>
      <c r="B12" s="23" t="s">
        <v>14</v>
      </c>
      <c r="C12" s="34"/>
      <c r="D12" s="34"/>
      <c r="E12" s="34"/>
    </row>
    <row r="13" spans="1:5" x14ac:dyDescent="0.25">
      <c r="A13" s="26">
        <v>1</v>
      </c>
      <c r="B13" s="26" t="s">
        <v>15</v>
      </c>
      <c r="C13" s="34">
        <f>'Monthly Deposits-LCY'!C13+'Mothly Deposits-FCY'!C13</f>
        <v>0</v>
      </c>
      <c r="D13" s="34">
        <f>'Monthly Deposits-LCY'!D13+'Mothly Deposits-FCY'!D13</f>
        <v>0</v>
      </c>
      <c r="E13" s="34">
        <f>'Monthly Deposits-LCY'!E13+'Mothly Deposits-FCY'!E13</f>
        <v>0</v>
      </c>
    </row>
    <row r="14" spans="1:5" x14ac:dyDescent="0.25">
      <c r="A14" s="26">
        <v>2</v>
      </c>
      <c r="B14" s="27" t="s">
        <v>16</v>
      </c>
      <c r="C14" s="34">
        <f>'Monthly Deposits-LCY'!C14+'Mothly Deposits-FCY'!C14</f>
        <v>0</v>
      </c>
      <c r="D14" s="34">
        <f>'Monthly Deposits-LCY'!D14+'Mothly Deposits-FCY'!D14</f>
        <v>0</v>
      </c>
      <c r="E14" s="34">
        <f>'Monthly Deposits-LCY'!E14+'Mothly Deposits-FCY'!E14</f>
        <v>0</v>
      </c>
    </row>
    <row r="15" spans="1:5" ht="30" customHeight="1" x14ac:dyDescent="0.25">
      <c r="A15" s="26">
        <v>3</v>
      </c>
      <c r="B15" s="27" t="s">
        <v>17</v>
      </c>
      <c r="C15" s="34">
        <f>'Monthly Deposits-LCY'!C15+'Mothly Deposits-FCY'!C15</f>
        <v>0</v>
      </c>
      <c r="D15" s="34">
        <f>'Monthly Deposits-LCY'!D15+'Mothly Deposits-FCY'!D15</f>
        <v>0</v>
      </c>
      <c r="E15" s="34">
        <f>'Monthly Deposits-LCY'!E15+'Mothly Deposits-FCY'!E15</f>
        <v>0</v>
      </c>
    </row>
    <row r="16" spans="1:5" ht="30" customHeight="1" x14ac:dyDescent="0.25">
      <c r="A16" s="25">
        <v>4</v>
      </c>
      <c r="B16" s="27" t="s">
        <v>18</v>
      </c>
      <c r="C16" s="34">
        <f>'Monthly Deposits-LCY'!C16+'Mothly Deposits-FCY'!C16</f>
        <v>0</v>
      </c>
      <c r="D16" s="34">
        <f>'Monthly Deposits-LCY'!D16+'Mothly Deposits-FCY'!D16</f>
        <v>0</v>
      </c>
      <c r="E16" s="34">
        <f>'Monthly Deposits-LCY'!E16+'Mothly Deposits-FCY'!E16</f>
        <v>0</v>
      </c>
    </row>
    <row r="17" spans="1:5" x14ac:dyDescent="0.25">
      <c r="A17" s="22">
        <v>5</v>
      </c>
      <c r="B17" s="23" t="s">
        <v>29</v>
      </c>
      <c r="C17" s="35">
        <f>SUM(C13:C16)</f>
        <v>0</v>
      </c>
      <c r="D17" s="35">
        <f>SUM(D13:D16)</f>
        <v>0</v>
      </c>
      <c r="E17" s="35">
        <f>SUM(E13:E16)</f>
        <v>0</v>
      </c>
    </row>
    <row r="18" spans="1:5" x14ac:dyDescent="0.25">
      <c r="A18" s="22"/>
      <c r="B18" s="23"/>
      <c r="C18" s="35"/>
      <c r="D18" s="35"/>
      <c r="E18" s="35"/>
    </row>
    <row r="19" spans="1:5" x14ac:dyDescent="0.25">
      <c r="A19" s="22" t="s">
        <v>20</v>
      </c>
      <c r="B19" s="23" t="s">
        <v>21</v>
      </c>
      <c r="C19" s="35">
        <f>C9-C17</f>
        <v>0</v>
      </c>
      <c r="D19" s="35">
        <f>D9-D17</f>
        <v>0</v>
      </c>
      <c r="E19" s="35">
        <f>E9-E17</f>
        <v>0</v>
      </c>
    </row>
    <row r="20" spans="1:5" x14ac:dyDescent="0.25">
      <c r="A20" s="22"/>
      <c r="B20" s="23"/>
      <c r="C20" s="35"/>
      <c r="D20" s="20"/>
      <c r="E20" s="20"/>
    </row>
    <row r="21" spans="1:5" x14ac:dyDescent="0.25">
      <c r="A21" s="22" t="s">
        <v>22</v>
      </c>
      <c r="B21" s="23" t="s">
        <v>23</v>
      </c>
      <c r="C21" s="41">
        <v>2.5000000000000001E-4</v>
      </c>
      <c r="D21" s="20"/>
      <c r="E21" s="20"/>
    </row>
    <row r="22" spans="1:5" x14ac:dyDescent="0.25">
      <c r="A22" s="22" t="s">
        <v>24</v>
      </c>
      <c r="B22" s="23" t="s">
        <v>25</v>
      </c>
      <c r="C22" s="35">
        <f>C19*C21</f>
        <v>0</v>
      </c>
      <c r="D22" s="20"/>
      <c r="E22" s="20"/>
    </row>
    <row r="23" spans="1:5" x14ac:dyDescent="0.25">
      <c r="A23" s="37"/>
      <c r="B23" s="38"/>
      <c r="C23" s="39"/>
      <c r="D23" s="40"/>
      <c r="E23" s="40"/>
    </row>
    <row r="24" spans="1:5" x14ac:dyDescent="0.25">
      <c r="A24" s="37"/>
      <c r="B24" s="38"/>
      <c r="C24" s="39"/>
      <c r="D24" s="40"/>
      <c r="E24" s="40"/>
    </row>
    <row r="25" spans="1:5" x14ac:dyDescent="0.25">
      <c r="A25" s="15"/>
      <c r="B25" s="15" t="s">
        <v>26</v>
      </c>
      <c r="C25" s="53"/>
    </row>
    <row r="26" spans="1:5" x14ac:dyDescent="0.25">
      <c r="A26" s="15"/>
      <c r="B26" s="15" t="str">
        <f>'Monthly Deposits-LCY'!B26</f>
        <v xml:space="preserve">Date: </v>
      </c>
      <c r="C26" s="53"/>
    </row>
    <row r="27" spans="1:5" x14ac:dyDescent="0.25">
      <c r="A27" s="15"/>
      <c r="B27" s="15"/>
      <c r="C27" s="53"/>
    </row>
    <row r="28" spans="1:5" x14ac:dyDescent="0.25">
      <c r="A28" s="15"/>
      <c r="B28" s="15" t="s">
        <v>27</v>
      </c>
      <c r="C28" s="53"/>
    </row>
    <row r="29" spans="1:5" x14ac:dyDescent="0.25">
      <c r="A29" s="15"/>
      <c r="B29" s="15"/>
      <c r="C29" s="53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0866141732282995" right="0.70866141732282995" top="0.74803149606299002" bottom="0.74803149606299002" header="0.31496062992126" footer="0.31496062992126"/>
  <pageSetup paperSize="9" scale="7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2" zoomScaleNormal="112" workbookViewId="0">
      <selection activeCell="C9" sqref="C9"/>
    </sheetView>
  </sheetViews>
  <sheetFormatPr defaultColWidth="43.140625" defaultRowHeight="15" x14ac:dyDescent="0.25"/>
  <cols>
    <col min="1" max="1" width="27.28515625" style="4" customWidth="1"/>
    <col min="2" max="3" width="20.7109375" style="4" customWidth="1"/>
    <col min="4" max="4" width="21" style="4" customWidth="1"/>
    <col min="5" max="5" width="21.7109375" style="4" customWidth="1"/>
    <col min="6" max="6" width="21.5703125" style="4" customWidth="1"/>
    <col min="7" max="7" width="0" style="4" hidden="1" customWidth="1"/>
  </cols>
  <sheetData>
    <row r="1" spans="1:7" x14ac:dyDescent="0.25">
      <c r="A1" s="16" t="str">
        <f>'Monthly Deposits-LCY'!B1</f>
        <v>BANK NAME:  COGEBANQUE</v>
      </c>
      <c r="B1" s="28"/>
      <c r="C1" s="28"/>
      <c r="D1" s="28"/>
      <c r="E1" s="28"/>
      <c r="F1" s="28"/>
    </row>
    <row r="2" spans="1:7" x14ac:dyDescent="0.25">
      <c r="A2" s="16" t="str">
        <f>'Monthly Deposits-LCY'!B2</f>
        <v xml:space="preserve">ADDRESS OF THE BANK: KN 4 AV 72 ST, CENTENARY HOUSE/CAR PARK ,NYARUGENGE, B.P. 5230 Kigali - Rwanda </v>
      </c>
      <c r="B2" s="28"/>
      <c r="C2" s="28"/>
      <c r="D2" s="28"/>
      <c r="E2" s="28"/>
      <c r="F2" s="28"/>
    </row>
    <row r="3" spans="1:7" x14ac:dyDescent="0.25">
      <c r="A3" s="16" t="str">
        <f>'Monthly Deposits-LCY'!B3</f>
        <v>PERIOD: MONTHLY</v>
      </c>
      <c r="B3" s="28"/>
      <c r="C3" s="28"/>
      <c r="D3" s="28"/>
      <c r="E3" s="28"/>
      <c r="F3" s="28"/>
    </row>
    <row r="4" spans="1:7" x14ac:dyDescent="0.25">
      <c r="A4" s="16" t="str">
        <f>'Monthly Deposits-LCY'!B4</f>
        <v>REPORT AS AT …</v>
      </c>
      <c r="B4" s="28"/>
      <c r="C4" s="28"/>
      <c r="D4" s="28"/>
      <c r="E4" s="28"/>
      <c r="F4" s="28"/>
    </row>
    <row r="5" spans="1:7" x14ac:dyDescent="0.25">
      <c r="A5" s="28"/>
      <c r="B5" s="28"/>
      <c r="C5" s="30"/>
      <c r="D5" s="28"/>
      <c r="E5" s="28"/>
      <c r="F5" s="28"/>
    </row>
    <row r="6" spans="1:7" x14ac:dyDescent="0.25">
      <c r="A6" s="26"/>
      <c r="B6" s="22" t="s">
        <v>32</v>
      </c>
      <c r="C6" s="31" t="s">
        <v>33</v>
      </c>
      <c r="D6" s="26"/>
      <c r="E6" s="22"/>
      <c r="F6" s="26"/>
    </row>
    <row r="7" spans="1:7" ht="30" customHeight="1" x14ac:dyDescent="0.25">
      <c r="A7" s="42" t="s">
        <v>34</v>
      </c>
      <c r="B7" s="42" t="s">
        <v>6</v>
      </c>
      <c r="C7" s="42" t="s">
        <v>35</v>
      </c>
      <c r="D7" s="42" t="s">
        <v>36</v>
      </c>
      <c r="E7" s="42" t="s">
        <v>37</v>
      </c>
      <c r="F7" s="42" t="s">
        <v>38</v>
      </c>
    </row>
    <row r="8" spans="1:7" s="15" customFormat="1" x14ac:dyDescent="0.25">
      <c r="A8" s="17" t="s">
        <v>39</v>
      </c>
      <c r="B8" s="75">
        <f>SUMIFS(CHA!J:J,CHA!G:G,646)</f>
        <v>0</v>
      </c>
      <c r="C8" s="18"/>
      <c r="D8" s="74" t="e">
        <f>VLOOKUP(G8,CHA!G:H,2,0)</f>
        <v>#N/A</v>
      </c>
      <c r="E8" s="34" t="e">
        <f>B8*D8</f>
        <v>#N/A</v>
      </c>
      <c r="F8" s="43">
        <f>B8</f>
        <v>0</v>
      </c>
      <c r="G8" s="15">
        <v>646</v>
      </c>
    </row>
    <row r="9" spans="1:7" s="15" customFormat="1" x14ac:dyDescent="0.25">
      <c r="A9" s="17" t="s">
        <v>40</v>
      </c>
      <c r="B9" s="18" t="s">
        <v>41</v>
      </c>
      <c r="C9" s="74">
        <f>SUMIFS(CHA!I:I,CHA!G:G,840)</f>
        <v>0</v>
      </c>
      <c r="D9" s="74" t="e">
        <f>VLOOKUP(G9,CHA!G:H,2,0)</f>
        <v>#N/A</v>
      </c>
      <c r="E9" s="34" t="e">
        <f t="shared" ref="E9:E15" si="0">C9*D9</f>
        <v>#N/A</v>
      </c>
      <c r="F9" s="43" t="e">
        <f t="shared" ref="F9:F15" si="1">E9</f>
        <v>#N/A</v>
      </c>
      <c r="G9" s="15">
        <v>840</v>
      </c>
    </row>
    <row r="10" spans="1:7" s="15" customFormat="1" x14ac:dyDescent="0.25">
      <c r="A10" s="17" t="s">
        <v>42</v>
      </c>
      <c r="B10" s="18" t="s">
        <v>41</v>
      </c>
      <c r="C10" s="74">
        <f>SUMIFS(CHA!I:I,CHA!G:G,978)</f>
        <v>0</v>
      </c>
      <c r="D10" s="74" t="e">
        <f>VLOOKUP(G10,CHA!G:H,2,0)</f>
        <v>#N/A</v>
      </c>
      <c r="E10" s="34" t="e">
        <f t="shared" si="0"/>
        <v>#N/A</v>
      </c>
      <c r="F10" s="43" t="e">
        <f t="shared" si="1"/>
        <v>#N/A</v>
      </c>
      <c r="G10" s="15">
        <v>978</v>
      </c>
    </row>
    <row r="11" spans="1:7" s="15" customFormat="1" x14ac:dyDescent="0.25">
      <c r="A11" s="17" t="s">
        <v>43</v>
      </c>
      <c r="B11" s="18" t="s">
        <v>41</v>
      </c>
      <c r="C11" s="74">
        <f>SUMIFS(CHA!I:I,CHA!G:G,826)</f>
        <v>0</v>
      </c>
      <c r="D11" s="74" t="e">
        <f>VLOOKUP(G11,CHA!G:H,2,0)</f>
        <v>#N/A</v>
      </c>
      <c r="E11" s="34" t="e">
        <f t="shared" si="0"/>
        <v>#N/A</v>
      </c>
      <c r="F11" s="43" t="e">
        <f t="shared" si="1"/>
        <v>#N/A</v>
      </c>
      <c r="G11" s="15">
        <v>826</v>
      </c>
    </row>
    <row r="12" spans="1:7" s="15" customFormat="1" x14ac:dyDescent="0.25">
      <c r="A12" s="17" t="s">
        <v>44</v>
      </c>
      <c r="B12" s="18" t="s">
        <v>41</v>
      </c>
      <c r="C12" s="18">
        <v>0</v>
      </c>
      <c r="D12" s="18">
        <v>0</v>
      </c>
      <c r="E12" s="34">
        <f t="shared" si="0"/>
        <v>0</v>
      </c>
      <c r="F12" s="43">
        <f t="shared" si="1"/>
        <v>0</v>
      </c>
    </row>
    <row r="13" spans="1:7" s="15" customFormat="1" x14ac:dyDescent="0.25">
      <c r="A13" s="17" t="s">
        <v>45</v>
      </c>
      <c r="B13" s="18" t="s">
        <v>41</v>
      </c>
      <c r="C13" s="18">
        <v>0</v>
      </c>
      <c r="D13" s="18">
        <v>0</v>
      </c>
      <c r="E13" s="34">
        <f t="shared" si="0"/>
        <v>0</v>
      </c>
      <c r="F13" s="43">
        <f t="shared" si="1"/>
        <v>0</v>
      </c>
    </row>
    <row r="14" spans="1:7" s="15" customFormat="1" x14ac:dyDescent="0.25">
      <c r="A14" s="17" t="s">
        <v>46</v>
      </c>
      <c r="B14" s="18" t="s">
        <v>41</v>
      </c>
      <c r="C14" s="18">
        <v>0</v>
      </c>
      <c r="D14" s="18">
        <v>0</v>
      </c>
      <c r="E14" s="34">
        <f t="shared" si="0"/>
        <v>0</v>
      </c>
      <c r="F14" s="43">
        <f t="shared" si="1"/>
        <v>0</v>
      </c>
    </row>
    <row r="15" spans="1:7" s="15" customFormat="1" x14ac:dyDescent="0.25">
      <c r="A15" s="17" t="s">
        <v>47</v>
      </c>
      <c r="B15" s="18" t="s">
        <v>41</v>
      </c>
      <c r="C15" s="18">
        <v>0</v>
      </c>
      <c r="D15" s="18">
        <v>0</v>
      </c>
      <c r="E15" s="34">
        <f t="shared" si="0"/>
        <v>0</v>
      </c>
      <c r="F15" s="43">
        <f t="shared" si="1"/>
        <v>0</v>
      </c>
    </row>
    <row r="16" spans="1:7" x14ac:dyDescent="0.25">
      <c r="A16" s="22" t="s">
        <v>48</v>
      </c>
      <c r="B16" s="35">
        <f>SUM(B8:B15)</f>
        <v>0</v>
      </c>
      <c r="C16" s="35">
        <f>SUM(C8:C15)</f>
        <v>0</v>
      </c>
      <c r="D16" s="35" t="e">
        <f>SUM(D8:D15)</f>
        <v>#N/A</v>
      </c>
      <c r="E16" s="35" t="e">
        <f>SUM(E8:E15)</f>
        <v>#N/A</v>
      </c>
      <c r="F16" s="35" t="e">
        <f>SUM(F8:F15)</f>
        <v>#N/A</v>
      </c>
    </row>
    <row r="17" spans="1:6" x14ac:dyDescent="0.25">
      <c r="F17" s="61"/>
    </row>
    <row r="18" spans="1:6" x14ac:dyDescent="0.25">
      <c r="E18" s="61"/>
      <c r="F18" s="5"/>
    </row>
    <row r="19" spans="1:6" x14ac:dyDescent="0.25">
      <c r="F19" s="61"/>
    </row>
    <row r="20" spans="1:6" x14ac:dyDescent="0.25">
      <c r="A20" s="3"/>
      <c r="B20" s="3"/>
      <c r="C20" s="8"/>
    </row>
    <row r="21" spans="1:6" x14ac:dyDescent="0.25">
      <c r="A21" s="4" t="str">
        <f>'Monthly Deposits-LCY'!B25</f>
        <v>Place: Kigali</v>
      </c>
    </row>
    <row r="22" spans="1:6" x14ac:dyDescent="0.25">
      <c r="A22" s="4" t="str">
        <f>'Monthly Deposits-LCY'!B26</f>
        <v xml:space="preserve">Date: </v>
      </c>
      <c r="E22" s="61"/>
    </row>
    <row r="24" spans="1:6" x14ac:dyDescent="0.25">
      <c r="A24" s="4" t="s">
        <v>27</v>
      </c>
    </row>
    <row r="26" spans="1:6" x14ac:dyDescent="0.25">
      <c r="A26" s="4" t="str">
        <f>'Mothly Deposits-FCY'!B30</f>
        <v>currency exchg. 1USD=827.2130RWF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7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workbookViewId="0">
      <selection activeCell="D15" sqref="D15"/>
    </sheetView>
  </sheetViews>
  <sheetFormatPr defaultRowHeight="15" x14ac:dyDescent="0.25"/>
  <cols>
    <col min="1" max="1" width="35.7109375" style="4" customWidth="1"/>
    <col min="2" max="2" width="11.28515625" style="4" customWidth="1"/>
    <col min="3" max="3" width="22.5703125" style="4" customWidth="1"/>
    <col min="4" max="4" width="11" style="4" customWidth="1"/>
    <col min="5" max="5" width="22.42578125" style="4" customWidth="1"/>
    <col min="6" max="6" width="7.28515625" style="4" customWidth="1"/>
    <col min="7" max="7" width="22.42578125" style="4" customWidth="1"/>
    <col min="8" max="8" width="20.85546875" style="4" customWidth="1"/>
    <col min="9" max="9" width="24.140625" style="4" customWidth="1"/>
    <col min="10" max="10" width="23.5703125" style="4" customWidth="1"/>
    <col min="11" max="11" width="15.85546875" style="4" customWidth="1"/>
    <col min="12" max="12" width="21.85546875" style="4" customWidth="1"/>
    <col min="13" max="13" width="9.140625" style="4" customWidth="1"/>
  </cols>
  <sheetData>
    <row r="1" spans="1:12" x14ac:dyDescent="0.25">
      <c r="A1" s="3" t="str">
        <f>'Monthly Deposits-LCY'!B1</f>
        <v>BANK NAME:  COGEBANQUE</v>
      </c>
      <c r="B1" s="3"/>
      <c r="C1" s="5"/>
    </row>
    <row r="2" spans="1:12" x14ac:dyDescent="0.25">
      <c r="A2" s="3" t="str">
        <f>'Monthly Deposits-LCY'!B2</f>
        <v xml:space="preserve">ADDRESS OF THE BANK: KN 4 AV 72 ST, CENTENARY HOUSE/CAR PARK ,NYARUGENGE, B.P. 5230 Kigali - Rwanda </v>
      </c>
      <c r="B2" s="3"/>
      <c r="C2" s="5"/>
    </row>
    <row r="3" spans="1:12" x14ac:dyDescent="0.25">
      <c r="A3" s="3" t="str">
        <f>'Monthly Deposits-LCY'!B3</f>
        <v>PERIOD: MONTHLY</v>
      </c>
      <c r="B3" s="3"/>
      <c r="C3" s="5"/>
    </row>
    <row r="4" spans="1:12" x14ac:dyDescent="0.25">
      <c r="A4" s="3" t="str">
        <f>'Monthly Deposits-LCY'!B4</f>
        <v>REPORT AS AT …</v>
      </c>
      <c r="B4" s="3"/>
      <c r="C4" s="5"/>
    </row>
    <row r="5" spans="1:12" x14ac:dyDescent="0.25">
      <c r="A5" s="3">
        <f>'Monthly Deposits-LCY'!B5</f>
        <v>0</v>
      </c>
      <c r="B5" s="3"/>
      <c r="C5" s="5"/>
    </row>
    <row r="6" spans="1:12" s="3" customFormat="1" ht="15.75" customHeight="1" x14ac:dyDescent="0.25">
      <c r="A6" s="2" t="s">
        <v>49</v>
      </c>
      <c r="B6" s="2"/>
      <c r="C6" s="2"/>
      <c r="D6" s="2"/>
      <c r="E6" s="2"/>
      <c r="F6" s="2"/>
      <c r="G6" s="2"/>
      <c r="H6" s="2"/>
      <c r="I6" s="2"/>
    </row>
    <row r="7" spans="1:12" s="3" customFormat="1" ht="15.75" customHeight="1" x14ac:dyDescent="0.25">
      <c r="A7" s="2"/>
      <c r="B7" s="2"/>
      <c r="C7" s="2"/>
      <c r="D7" s="2"/>
      <c r="E7" s="2"/>
      <c r="F7" s="2"/>
      <c r="G7" s="2"/>
      <c r="H7" s="2"/>
      <c r="I7" s="2"/>
    </row>
    <row r="8" spans="1:12" ht="15.75" customHeight="1" x14ac:dyDescent="0.25">
      <c r="A8" s="9"/>
      <c r="B8" s="9"/>
      <c r="C8" s="9"/>
      <c r="D8" s="9"/>
      <c r="E8" s="7" t="s">
        <v>50</v>
      </c>
      <c r="F8" s="9"/>
      <c r="G8" s="9"/>
      <c r="H8" s="9"/>
      <c r="I8" s="9"/>
    </row>
    <row r="9" spans="1:12" ht="52.5" customHeight="1" x14ac:dyDescent="0.25">
      <c r="A9" s="10" t="s">
        <v>51</v>
      </c>
      <c r="B9" s="123" t="s">
        <v>52</v>
      </c>
      <c r="C9" s="124"/>
      <c r="D9" s="123" t="s">
        <v>53</v>
      </c>
      <c r="E9" s="124"/>
      <c r="F9" s="123" t="s">
        <v>54</v>
      </c>
      <c r="G9" s="124"/>
      <c r="H9" s="123" t="s">
        <v>55</v>
      </c>
      <c r="I9" s="124"/>
      <c r="J9" s="11"/>
      <c r="K9" s="57"/>
    </row>
    <row r="10" spans="1:12" ht="30.75" customHeight="1" x14ac:dyDescent="0.25">
      <c r="A10" s="10" t="s">
        <v>56</v>
      </c>
      <c r="B10" s="125"/>
      <c r="C10" s="126"/>
      <c r="D10" s="125"/>
      <c r="E10" s="126"/>
      <c r="F10" s="125"/>
      <c r="G10" s="126"/>
      <c r="H10" s="125"/>
      <c r="I10" s="126"/>
      <c r="J10" s="11"/>
    </row>
    <row r="11" spans="1:12" ht="35.25" customHeight="1" x14ac:dyDescent="0.25">
      <c r="A11" s="12"/>
      <c r="B11" s="1" t="s">
        <v>57</v>
      </c>
      <c r="C11" s="1" t="s">
        <v>6</v>
      </c>
      <c r="D11" s="1" t="s">
        <v>57</v>
      </c>
      <c r="E11" s="1" t="s">
        <v>6</v>
      </c>
      <c r="F11" s="1" t="s">
        <v>57</v>
      </c>
      <c r="G11" s="1" t="s">
        <v>6</v>
      </c>
      <c r="H11" s="1" t="s">
        <v>57</v>
      </c>
      <c r="I11" s="1" t="s">
        <v>6</v>
      </c>
      <c r="J11" s="11"/>
    </row>
    <row r="12" spans="1:12" ht="18" customHeight="1" x14ac:dyDescent="0.25">
      <c r="A12" s="9" t="s">
        <v>39</v>
      </c>
      <c r="B12" s="72">
        <f>SUMIFS(CHA!C:C,CHA!A:A,"201*",CHA!B:B,646)+SUMIFS(CHA!C:C,CHA!A:A,"1220*",CHA!B:B,646)+SUMIFS(CHA!C:C,CHA!A:A,"1230*",CHA!B:B,646)</f>
        <v>0</v>
      </c>
      <c r="C12" s="65">
        <f>SUMIFS(CHA!D:D,CHA!A:A,"201*",CHA!B:B,646)+SUMIFS(CHA!D:D,CHA!A:A,"1220*",CHA!B:B,646)+SUMIFS(CHA!D:D,CHA!A:A,"1230*",CHA!B:B,646)</f>
        <v>0</v>
      </c>
      <c r="D12" s="65">
        <f>SUMIFS(CHA!C:C,CHA!A:A,"204*",CHA!B:B,646)+SUMIFS(CHA!C:C,CHA!A:A,"148635",CHA!B:B,646)+SUMIFS(CHA!C:C,CHA!A:A,"148636",CHA!B:B,646)</f>
        <v>0</v>
      </c>
      <c r="E12" s="65">
        <f>SUMIFS(CHA!D:D,CHA!A:A,"204*",CHA!B:B,646)+SUMIFS(CHA!D:D,CHA!A:A,"148635",CHA!B:B,646)+SUMIFS(CHA!D:D,CHA!A:A,"148636",CHA!B:B,646)</f>
        <v>0</v>
      </c>
      <c r="F12" s="65">
        <f>SUMIFS(CHA!C:C,CHA!A:A,"205*",CHA!B:B,646)</f>
        <v>0</v>
      </c>
      <c r="G12" s="65">
        <f>SUMIFS(CHA!D:D,CHA!A:A,"205*",CHA!B:B,646)</f>
        <v>0</v>
      </c>
      <c r="H12" s="65">
        <f>SUMIFS(CHA!C:C,CHA!A:A,"203*",CHA!B:B,646)+SUMIFS(CHA!C:C,CHA!A:A,"208*",CHA!B:B,646)+SUMIFS(CHA!C:C,CHA!A:A,"148*",CHA!B:B,646)+SUMIFS(CHA!C:C,CHA!A:A,"181*",CHA!B:B,646)+SUMIFS(CHA!C:C,CHA!A:A,"209*",CHA!B:B,646)+SUMIFS(CHA!C:C,CHA!A:A,"227*",CHA!B:B,646)+SUMIFS(CHA!C:C,CHA!A:A,"23*",CHA!B:B,646)+SUMIFS(CHA!C:C,CHA!A:A,"24*",CHA!B:B,646)+SUMIFS(CHA!C:C,CHA!A:A,"28*",CHA!B:B,646)+SUMIFS(CHA!C:C,CHA!A:A,"29*",CHA!B:B,646)</f>
        <v>0</v>
      </c>
      <c r="I12" s="62">
        <f>SUMIFS(CHA!D:D,CHA!A:A,"203*",CHA!B:B,646)+SUMIFS(CHA!D:D,CHA!A:A,"208*",CHA!B:B,646)+SUMIFS(CHA!D:D,CHA!A:A,"148*",CHA!B:B,646)+SUMIFS(CHA!D:D,CHA!A:A,"181*",CHA!B:B,646)+SUMIFS(CHA!D:D,CHA!A:A,"209*",CHA!B:B,646)+SUMIFS(CHA!D:D,CHA!A:A,"227*",CHA!B:B,646)+SUMIFS(CHA!D:D,CHA!A:A,"23*",CHA!B:B,646)+SUMIFS(CHA!D:D,CHA!A:A,"24*",CHA!B:B,646)+SUMIFS(CHA!D:D,CHA!A:A,"28*",CHA!B:B,646)+SUMIFS(CHA!D:D,CHA!A:A,"29*",CHA!B:B,646)</f>
        <v>0</v>
      </c>
      <c r="J12" s="68">
        <f t="shared" ref="J12:J20" si="0">C12+E12+G12+I12</f>
        <v>0</v>
      </c>
      <c r="K12" s="61">
        <v>136674894.39700001</v>
      </c>
      <c r="L12" s="61">
        <f>K12-J12</f>
        <v>136674894.39700001</v>
      </c>
    </row>
    <row r="13" spans="1:12" ht="18" customHeight="1" x14ac:dyDescent="0.25">
      <c r="A13" s="9" t="s">
        <v>40</v>
      </c>
      <c r="B13" s="71">
        <f>SUMIFS(CHA!C:C,CHA!A:A,"201*",CHA!B:B,840)+SUMIFS(CHA!C:C,CHA!A:A,"1220*",CHA!B:B,840)+SUMIFS(CHA!C:C,CHA!A:A,"1230*",CHA!B:B,840)</f>
        <v>0</v>
      </c>
      <c r="C13" s="65">
        <f>SUMIFS(CHA!D:D,CHA!A:A,"201*",CHA!B:B,840)+SUMIFS(CHA!D:D,CHA!A:A,"1220*",CHA!B:B,840)+SUMIFS(CHA!D:D,CHA!A:A,"1230*",CHA!B:B,840)</f>
        <v>0</v>
      </c>
      <c r="D13" s="65">
        <f>SUMIFS(CHA!C:C,CHA!A:A,"204*",CHA!B:B,840)+SUMIFS(CHA!C:C,CHA!A:A,"148635",CHA!B:B,840)+SUMIFS(CHA!C:C,CHA!A:A,"148636",CHA!B:B,840)</f>
        <v>0</v>
      </c>
      <c r="E13" s="72">
        <f>SUMIFS(CHA!D:D,CHA!A:A,"204*",CHA!B:B,840)+SUMIFS(CHA!D:D,CHA!A:A,"148635",CHA!B:B,840)+SUMIFS(CHA!D:D,CHA!A:A,"148636",CHA!B:B,840)</f>
        <v>0</v>
      </c>
      <c r="F13" s="65">
        <f>SUMIFS(CHA!C:C,CHA!A:A,"205*",CHA!B:B,840)</f>
        <v>0</v>
      </c>
      <c r="G13" s="65">
        <f>SUMIFS(CHA!D:D,CHA!A:A,"205*",CHA!B:B,840)</f>
        <v>0</v>
      </c>
      <c r="H13" s="65">
        <f>SUMIFS(CHA!C:C,CHA!A:A,"203*",CHA!B:B,840)+SUMIFS(CHA!C:C,CHA!A:A,"208*",CHA!B:B,840)+SUMIFS(CHA!C:C,CHA!A:A,"148*",CHA!B:B,840)+SUMIFS(CHA!C:C,CHA!A:A,"181*",CHA!B:B,840)+SUMIFS(CHA!C:C,CHA!A:A,"209*",CHA!B:B,840)+SUMIFS(CHA!C:C,CHA!A:A,"227*",CHA!B:B,840)+SUMIFS(CHA!C:C,CHA!A:A,"23*",CHA!B:B,840)+SUMIFS(CHA!C:C,CHA!A:A,"24*",CHA!B:B,840)+SUMIFS(CHA!C:C,CHA!A:A,"28*",CHA!B:B,840)+SUMIFS(CHA!C:C,CHA!A:A,"29*",CHA!B:B,840)</f>
        <v>0</v>
      </c>
      <c r="I13" s="65">
        <f>SUMIFS(CHA!D:D,CHA!A:A,"203*",CHA!B:B,840)+SUMIFS(CHA!D:D,CHA!A:A,"208*",CHA!B:B,840)+SUMIFS(CHA!D:D,CHA!A:A,"148*",CHA!B:B,840)+SUMIFS(CHA!D:D,CHA!A:A,"181*",CHA!B:B,840)+SUMIFS(CHA!D:D,CHA!A:A,"209*",CHA!B:B,840)+SUMIFS(CHA!D:D,CHA!A:A,"227*",CHA!B:B,840)+SUMIFS(CHA!D:D,CHA!A:A,"23*",CHA!B:B,840)+SUMIFS(CHA!D:D,CHA!A:A,"24*",CHA!B:B,840)+SUMIFS(CHA!D:D,CHA!A:A,"28*",CHA!B:B,840)+SUMIFS(CHA!D:D,CHA!A:A,"29*",CHA!B:B,840)</f>
        <v>0</v>
      </c>
      <c r="J13" s="68">
        <f t="shared" si="0"/>
        <v>0</v>
      </c>
      <c r="K13" s="63">
        <v>22239065.179850999</v>
      </c>
      <c r="L13" s="61">
        <f>K13-J13</f>
        <v>22239065.179850999</v>
      </c>
    </row>
    <row r="14" spans="1:12" ht="13.5" customHeight="1" x14ac:dyDescent="0.25">
      <c r="A14" s="6" t="s">
        <v>42</v>
      </c>
      <c r="B14" s="65">
        <f>SUMIFS(CHA!C:C,CHA!A:A,"201*",CHA!B:B,978)+SUMIFS(CHA!C:C,CHA!A:A,"1220*",CHA!B:B,978)+SUMIFS(CHA!C:C,CHA!A:A,"1230*",CHA!B:B,978)</f>
        <v>0</v>
      </c>
      <c r="C14" s="72">
        <f>SUMIFS(CHA!D:D,CHA!A:A,"201*",CHA!B:B,978)+SUMIFS(CHA!D:D,CHA!A:A,"1220*",CHA!B:B,978)+SUMIFS(CHA!D:D,CHA!A:A,"1230*",CHA!B:B,978)</f>
        <v>0</v>
      </c>
      <c r="D14" s="65">
        <f>SUMIFS(CHA!C:C,CHA!A:A,"204*",CHA!B:B,978)+SUMIFS(CHA!C:C,CHA!A:A,"148635",CHA!B:B,978)+SUMIFS(CHA!C:C,CHA!A:A,"148636",CHA!B:B,978)</f>
        <v>0</v>
      </c>
      <c r="E14" s="71">
        <f>SUMIFS(CHA!D:D,CHA!A:A,"204*",CHA!B:B,978)+SUMIFS(CHA!D:D,CHA!A:A,"148635",CHA!B:B,978)+SUMIFS(CHA!D:D,CHA!A:A,"148636",CHA!B:B,978)</f>
        <v>0</v>
      </c>
      <c r="F14" s="65">
        <f>SUMIFS(CHA!C:C,CHA!A:A,"205*",CHA!B:B,978)</f>
        <v>0</v>
      </c>
      <c r="G14" s="65">
        <f>SUMIFS(CHA!D:D,CHA!A:A,"205*",CHA!B:B,978)</f>
        <v>0</v>
      </c>
      <c r="H14" s="65">
        <f>SUMIFS(CHA!C:C,CHA!A:A,"203*",CHA!B:B,978)+SUMIFS(CHA!C:C,CHA!A:A,"208*",CHA!B:B,978)+SUMIFS(CHA!C:C,CHA!A:A,"148*",CHA!B:B,978)+SUMIFS(CHA!C:C,CHA!A:A,"181*",CHA!B:B,978)+SUMIFS(CHA!C:C,CHA!A:A,"209*",CHA!B:B,978)+SUMIFS(CHA!C:C,CHA!A:A,"227*",CHA!B:B,978)+SUMIFS(CHA!C:C,CHA!A:A,"23*",CHA!B:B,978)+SUMIFS(CHA!C:C,CHA!A:A,"24*",CHA!B:B,978)+SUMIFS(CHA!C:C,CHA!A:A,"28*",CHA!B:B,978)+SUMIFS(CHA!C:C,CHA!A:A,"29*",CHA!B:B,978)</f>
        <v>0</v>
      </c>
      <c r="I14" s="65">
        <f>SUMIFS(CHA!D:D,CHA!A:A,"203*",CHA!B:B,978)+SUMIFS(CHA!D:D,CHA!A:A,"208*",CHA!B:B,978)+SUMIFS(CHA!D:D,CHA!A:A,"148*",CHA!B:B,978)+SUMIFS(CHA!D:D,CHA!A:A,"181*",CHA!B:B,978)+SUMIFS(CHA!D:D,CHA!A:A,"209*",CHA!B:B,978)+SUMIFS(CHA!D:D,CHA!A:A,"227*",CHA!B:B,978)+SUMIFS(CHA!D:D,CHA!A:A,"23*",CHA!B:B,978)+SUMIFS(CHA!D:D,CHA!A:A,"24*",CHA!B:B,978)+SUMIFS(CHA!D:D,CHA!A:A,"28*",CHA!B:B,978)+SUMIFS(CHA!D:D,CHA!A:A,"29*",CHA!B:B,978)</f>
        <v>0</v>
      </c>
      <c r="J14" s="68">
        <f t="shared" si="0"/>
        <v>0</v>
      </c>
      <c r="K14" s="61">
        <v>1806347.4275966999</v>
      </c>
      <c r="L14" s="61">
        <f>K14-J14</f>
        <v>1806347.4275966999</v>
      </c>
    </row>
    <row r="15" spans="1:12" ht="13.5" customHeight="1" x14ac:dyDescent="0.25">
      <c r="A15" s="6" t="s">
        <v>43</v>
      </c>
      <c r="B15" s="65">
        <f>SUMIFS(CHA!C:C,CHA!A:A,"201*",CHA!B:B,826)+SUMIFS(CHA!C:C,CHA!A:A,"1220*",CHA!B:B,826)+SUMIFS(CHA!C:C,CHA!A:A,"1230*",CHA!B:B,826)</f>
        <v>0</v>
      </c>
      <c r="C15" s="73">
        <f>SUMIFS(CHA!D:D,CHA!A:A,"201*",CHA!B:B,826)+SUMIFS(CHA!D:D,CHA!A:A,"1220*",CHA!B:B,826)+SUMIFS(CHA!D:D,CHA!A:A,"1230*",CHA!B:B,826)</f>
        <v>0</v>
      </c>
      <c r="D15" s="65">
        <f>SUMIFS(CHA!C:C,CHA!A:A,"204*",CHA!B:B,826)+SUMIFS(CHA!C:C,CHA!A:A,"148635",CHA!B:B,826)+SUMIFS(CHA!C:C,CHA!A:A,"148636",CHA!B:B,826)</f>
        <v>0</v>
      </c>
      <c r="E15" s="65">
        <f>SUMIFS(CHA!D:D,CHA!A:A,"204*",CHA!B:B,826)+SUMIFS(CHA!D:D,CHA!A:A,"148635",CHA!B:B,826)+SUMIFS(CHA!D:D,CHA!A:A,"148636",CHA!B:B,826)</f>
        <v>0</v>
      </c>
      <c r="F15" s="65">
        <f>SUMIFS(CHA!C:C,CHA!A:A,"205*",CHA!B:B,826)</f>
        <v>0</v>
      </c>
      <c r="G15" s="65">
        <f>SUMIFS(CHA!D:D,CHA!A:A,"205*",CHA!B:B,826)</f>
        <v>0</v>
      </c>
      <c r="H15" s="65"/>
      <c r="I15" s="62"/>
      <c r="J15" s="68">
        <f t="shared" si="0"/>
        <v>0</v>
      </c>
      <c r="K15" s="61"/>
    </row>
    <row r="16" spans="1:12" ht="13.5" customHeight="1" x14ac:dyDescent="0.25">
      <c r="A16" s="6" t="s">
        <v>44</v>
      </c>
      <c r="B16" s="65"/>
      <c r="C16" s="71"/>
      <c r="D16" s="65"/>
      <c r="E16" s="65"/>
      <c r="F16" s="65"/>
      <c r="G16" s="65"/>
      <c r="H16" s="65"/>
      <c r="I16" s="62"/>
      <c r="J16" s="68">
        <f t="shared" si="0"/>
        <v>0</v>
      </c>
      <c r="K16" s="61"/>
    </row>
    <row r="17" spans="1:11" ht="13.5" customHeight="1" x14ac:dyDescent="0.25">
      <c r="A17" s="6" t="s">
        <v>45</v>
      </c>
      <c r="B17" s="65"/>
      <c r="C17" s="65"/>
      <c r="D17" s="65"/>
      <c r="E17" s="65"/>
      <c r="F17" s="65"/>
      <c r="G17" s="65"/>
      <c r="H17" s="65"/>
      <c r="I17" s="62"/>
      <c r="J17" s="68">
        <f t="shared" si="0"/>
        <v>0</v>
      </c>
    </row>
    <row r="18" spans="1:11" ht="13.5" customHeight="1" x14ac:dyDescent="0.25">
      <c r="A18" s="6" t="s">
        <v>46</v>
      </c>
      <c r="B18" s="65"/>
      <c r="C18" s="65"/>
      <c r="D18" s="65"/>
      <c r="E18" s="65"/>
      <c r="F18" s="65"/>
      <c r="G18" s="65"/>
      <c r="H18" s="65"/>
      <c r="I18" s="62"/>
      <c r="J18" s="68">
        <f t="shared" si="0"/>
        <v>0</v>
      </c>
    </row>
    <row r="19" spans="1:11" ht="13.5" customHeight="1" x14ac:dyDescent="0.25">
      <c r="A19" s="6" t="s">
        <v>47</v>
      </c>
      <c r="B19" s="65"/>
      <c r="C19" s="65"/>
      <c r="D19" s="65"/>
      <c r="E19" s="65"/>
      <c r="F19" s="65"/>
      <c r="G19" s="65"/>
      <c r="H19" s="65"/>
      <c r="I19" s="62"/>
      <c r="J19" s="68">
        <f t="shared" si="0"/>
        <v>0</v>
      </c>
    </row>
    <row r="20" spans="1:11" s="3" customFormat="1" ht="27" customHeight="1" x14ac:dyDescent="0.25">
      <c r="A20" s="13" t="s">
        <v>48</v>
      </c>
      <c r="B20" s="66">
        <f t="shared" ref="B20:I20" si="1">SUM(B12:B19)</f>
        <v>0</v>
      </c>
      <c r="C20" s="66">
        <f t="shared" si="1"/>
        <v>0</v>
      </c>
      <c r="D20" s="66">
        <f t="shared" si="1"/>
        <v>0</v>
      </c>
      <c r="E20" s="66">
        <f t="shared" si="1"/>
        <v>0</v>
      </c>
      <c r="F20" s="66">
        <f t="shared" si="1"/>
        <v>0</v>
      </c>
      <c r="G20" s="66">
        <f t="shared" si="1"/>
        <v>0</v>
      </c>
      <c r="H20" s="66">
        <f t="shared" si="1"/>
        <v>0</v>
      </c>
      <c r="I20" s="14">
        <f t="shared" si="1"/>
        <v>0</v>
      </c>
      <c r="J20" s="68">
        <f t="shared" si="0"/>
        <v>0</v>
      </c>
    </row>
    <row r="21" spans="1:11" ht="13.5" customHeight="1" x14ac:dyDescent="0.25">
      <c r="F21" s="64"/>
    </row>
    <row r="22" spans="1:11" x14ac:dyDescent="0.25">
      <c r="C22" s="4">
        <v>55039680.964000002</v>
      </c>
      <c r="E22" s="4">
        <v>39895138.866999999</v>
      </c>
      <c r="G22" s="4">
        <v>62331473.769000001</v>
      </c>
      <c r="I22" s="4">
        <v>3462557.9649999999</v>
      </c>
    </row>
    <row r="23" spans="1:11" x14ac:dyDescent="0.25">
      <c r="C23" s="61">
        <f>C20-C22</f>
        <v>-55039680.964000002</v>
      </c>
      <c r="D23" s="61"/>
      <c r="E23" s="61">
        <f>E20-E22</f>
        <v>-39895138.866999999</v>
      </c>
      <c r="F23" s="61"/>
      <c r="G23" s="61">
        <f>G20-G22</f>
        <v>-62331473.769000001</v>
      </c>
      <c r="I23" s="61">
        <f>I20-I22</f>
        <v>-3462557.9649999999</v>
      </c>
    </row>
    <row r="24" spans="1:11" x14ac:dyDescent="0.25">
      <c r="G24" s="61"/>
      <c r="I24" s="61"/>
    </row>
    <row r="25" spans="1:11" x14ac:dyDescent="0.25">
      <c r="A25" s="4" t="s">
        <v>26</v>
      </c>
      <c r="E25" s="61">
        <f>+C20+E20+G20+I20</f>
        <v>0</v>
      </c>
      <c r="G25" s="61"/>
      <c r="I25" s="67"/>
    </row>
    <row r="26" spans="1:11" x14ac:dyDescent="0.25">
      <c r="A26" s="4" t="str">
        <f>'Monthly Deposits-LCY'!B26</f>
        <v xml:space="preserve">Date: </v>
      </c>
      <c r="G26" s="61"/>
      <c r="I26" s="61"/>
    </row>
    <row r="27" spans="1:11" x14ac:dyDescent="0.25">
      <c r="E27" s="61">
        <f>E25-'Monthly Deposits Consolidated'!C9</f>
        <v>0</v>
      </c>
    </row>
    <row r="28" spans="1:11" x14ac:dyDescent="0.25">
      <c r="A28" s="4" t="s">
        <v>27</v>
      </c>
    </row>
    <row r="30" spans="1:11" x14ac:dyDescent="0.25">
      <c r="A30" s="4" t="str">
        <f>'Mothly Deposits-FCY'!B30</f>
        <v>currency exchg. 1USD=827.2130RWF</v>
      </c>
      <c r="K30" s="61"/>
    </row>
    <row r="32" spans="1:11" x14ac:dyDescent="0.25">
      <c r="I32" s="5"/>
    </row>
  </sheetData>
  <sheetProtection formatCells="0" formatColumns="0" formatRows="0" insertColumns="0" insertRows="0" insertHyperlinks="0" deleteColumns="0" deleteRows="0" sort="0" autoFilter="0" pivotTables="0"/>
  <mergeCells count="4">
    <mergeCell ref="B9:C10"/>
    <mergeCell ref="D9:E10"/>
    <mergeCell ref="F9:G10"/>
    <mergeCell ref="H9:I10"/>
  </mergeCells>
  <pageMargins left="0.7" right="0.7" top="0.75" bottom="0.75" header="0.3" footer="0.3"/>
  <pageSetup scale="7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11" sqref="G11"/>
    </sheetView>
  </sheetViews>
  <sheetFormatPr defaultRowHeight="15" x14ac:dyDescent="0.25"/>
  <cols>
    <col min="1" max="1" width="9.140625" style="4" customWidth="1"/>
    <col min="2" max="2" width="56.85546875" style="4" customWidth="1"/>
    <col min="3" max="3" width="26.85546875" style="4" customWidth="1"/>
    <col min="4" max="4" width="29.7109375" style="4" customWidth="1"/>
    <col min="5" max="5" width="27.5703125" style="4" customWidth="1"/>
    <col min="6" max="6" width="9.140625" style="4" customWidth="1"/>
  </cols>
  <sheetData>
    <row r="1" spans="1:5" x14ac:dyDescent="0.25">
      <c r="A1" s="16" t="str">
        <f>'Monthly Deposits-LCY'!B1</f>
        <v>BANK NAME:  COGEBANQUE</v>
      </c>
      <c r="B1" s="16"/>
      <c r="C1" s="53"/>
      <c r="D1" s="28"/>
      <c r="E1" s="28"/>
    </row>
    <row r="2" spans="1:5" x14ac:dyDescent="0.25">
      <c r="A2" s="16" t="str">
        <f>'Monthly Deposits-LCY'!B2</f>
        <v xml:space="preserve">ADDRESS OF THE BANK: KN 4 AV 72 ST, CENTENARY HOUSE/CAR PARK ,NYARUGENGE, B.P. 5230 Kigali - Rwanda </v>
      </c>
      <c r="B2" s="16"/>
      <c r="C2" s="53"/>
      <c r="D2" s="28"/>
      <c r="E2" s="28"/>
    </row>
    <row r="3" spans="1:5" x14ac:dyDescent="0.25">
      <c r="A3" s="16" t="s">
        <v>58</v>
      </c>
      <c r="B3" s="16"/>
      <c r="C3" s="53"/>
      <c r="D3" s="28"/>
      <c r="E3" s="28"/>
    </row>
    <row r="4" spans="1:5" x14ac:dyDescent="0.25">
      <c r="A4" s="16" t="str">
        <f>'Monthly Deposits-LCY'!B4</f>
        <v>REPORT AS AT …</v>
      </c>
      <c r="B4" s="16"/>
      <c r="C4" s="53"/>
      <c r="D4" s="28"/>
      <c r="E4" s="28"/>
    </row>
    <row r="5" spans="1:5" x14ac:dyDescent="0.25">
      <c r="A5" s="28"/>
      <c r="B5" s="28"/>
      <c r="C5" s="28"/>
      <c r="D5" s="28"/>
      <c r="E5" s="28"/>
    </row>
    <row r="6" spans="1:5" x14ac:dyDescent="0.25">
      <c r="A6" s="28"/>
      <c r="B6" s="29" t="s">
        <v>59</v>
      </c>
      <c r="C6" s="28"/>
      <c r="D6" s="28"/>
      <c r="E6" s="28"/>
    </row>
    <row r="7" spans="1:5" x14ac:dyDescent="0.25">
      <c r="A7" s="25"/>
      <c r="B7" s="23"/>
      <c r="C7" s="23" t="s">
        <v>60</v>
      </c>
      <c r="D7" s="25"/>
      <c r="E7" s="23"/>
    </row>
    <row r="8" spans="1:5" x14ac:dyDescent="0.25">
      <c r="A8" s="33" t="s">
        <v>4</v>
      </c>
      <c r="B8" s="33" t="s">
        <v>5</v>
      </c>
      <c r="C8" s="33" t="s">
        <v>8</v>
      </c>
      <c r="D8" s="33" t="s">
        <v>61</v>
      </c>
      <c r="E8" s="33" t="s">
        <v>62</v>
      </c>
    </row>
    <row r="9" spans="1:5" ht="20.25" customHeight="1" x14ac:dyDescent="0.25">
      <c r="A9" s="23" t="s">
        <v>9</v>
      </c>
      <c r="B9" s="44" t="s">
        <v>63</v>
      </c>
      <c r="C9" s="45"/>
      <c r="D9" s="45"/>
      <c r="E9" s="45"/>
    </row>
    <row r="10" spans="1:5" ht="16.5" customHeight="1" x14ac:dyDescent="0.25">
      <c r="A10" s="25">
        <v>1</v>
      </c>
      <c r="B10" s="46" t="s">
        <v>64</v>
      </c>
      <c r="C10" s="52">
        <f>SUMIFS(CHA!AM:AM,CHA!AK:AK,"P",CHA!AL:AL,"under 500 000")</f>
        <v>0</v>
      </c>
      <c r="D10" s="52">
        <f>SUMIFS(CHA!AO:AO,CHA!AK:AK,"P",CHA!AL:AL,"under 500 000")</f>
        <v>0</v>
      </c>
      <c r="E10" s="47">
        <f>D10</f>
        <v>0</v>
      </c>
    </row>
    <row r="11" spans="1:5" ht="23.25" customHeight="1" x14ac:dyDescent="0.25">
      <c r="A11" s="48">
        <v>2</v>
      </c>
      <c r="B11" s="46" t="s">
        <v>65</v>
      </c>
      <c r="C11" s="52">
        <f>SUMIFS(CHA!AM:AM,CHA!AK:AK,"P",CHA!AL:AL,"between 500 001 and 600 000")</f>
        <v>0</v>
      </c>
      <c r="D11" s="52">
        <f>SUMIFS(CHA!AO:AO,CHA!AK:AK,"P",CHA!AL:AL,"between 500 001 and 600 000")</f>
        <v>0</v>
      </c>
      <c r="E11" s="47">
        <f>C11*500000</f>
        <v>0</v>
      </c>
    </row>
    <row r="12" spans="1:5" ht="20.25" customHeight="1" x14ac:dyDescent="0.25">
      <c r="A12" s="25">
        <v>3</v>
      </c>
      <c r="B12" s="46" t="s">
        <v>66</v>
      </c>
      <c r="C12" s="52">
        <f>SUMIFS(CHA!AM:AM,CHA!AK:AK,"P",CHA!AL:AL,"between 600 001 and 700 000")</f>
        <v>0</v>
      </c>
      <c r="D12" s="52">
        <f>SUMIFS(CHA!AO:AO,CHA!AK:AK,"P",CHA!AL:AL,"between 600 001 and 700 000")</f>
        <v>0</v>
      </c>
      <c r="E12" s="47">
        <f>C12*500000</f>
        <v>0</v>
      </c>
    </row>
    <row r="13" spans="1:5" ht="17.25" customHeight="1" x14ac:dyDescent="0.25">
      <c r="A13" s="48">
        <v>4</v>
      </c>
      <c r="B13" s="46" t="s">
        <v>67</v>
      </c>
      <c r="C13" s="52">
        <f>SUMIFS(CHA!AM:AM,CHA!AK:AK,"P",CHA!AL:AL,"more than 700 000")</f>
        <v>0</v>
      </c>
      <c r="D13" s="52">
        <f>SUMIFS(CHA!AO:AO,CHA!AK:AK,"P",CHA!AL:AL,"more than 700 000")</f>
        <v>0</v>
      </c>
      <c r="E13" s="47">
        <f>C13*500000</f>
        <v>0</v>
      </c>
    </row>
    <row r="14" spans="1:5" ht="24" customHeight="1" x14ac:dyDescent="0.25">
      <c r="A14" s="23" t="s">
        <v>13</v>
      </c>
      <c r="B14" s="44" t="s">
        <v>68</v>
      </c>
      <c r="C14" s="49">
        <f>C10+C11+C12+C13</f>
        <v>0</v>
      </c>
      <c r="D14" s="49">
        <f>D10+D11+D12+D13</f>
        <v>0</v>
      </c>
      <c r="E14" s="49">
        <f>E10+E11+E12+E13</f>
        <v>0</v>
      </c>
    </row>
    <row r="15" spans="1:5" x14ac:dyDescent="0.25">
      <c r="A15" s="50"/>
      <c r="B15" s="44"/>
      <c r="C15" s="49"/>
      <c r="D15" s="49"/>
      <c r="E15" s="51"/>
    </row>
    <row r="16" spans="1:5" ht="20.25" customHeight="1" x14ac:dyDescent="0.25">
      <c r="A16" s="23" t="s">
        <v>20</v>
      </c>
      <c r="B16" s="44" t="s">
        <v>69</v>
      </c>
      <c r="C16" s="49"/>
      <c r="D16" s="49"/>
      <c r="E16" s="49"/>
    </row>
    <row r="17" spans="1:5" ht="16.5" customHeight="1" x14ac:dyDescent="0.25">
      <c r="A17" s="25">
        <v>1</v>
      </c>
      <c r="B17" s="46" t="s">
        <v>64</v>
      </c>
      <c r="C17" s="52">
        <f>SUMIFS(CHA!AM:AM,CHA!AK:AK,"E",CHA!AL:AL,"under 500 000")</f>
        <v>0</v>
      </c>
      <c r="D17" s="52">
        <f>SUMIFS(CHA!AO:AO,CHA!AK:AK,"E",CHA!AL:AL,"under 500 000")</f>
        <v>0</v>
      </c>
      <c r="E17" s="47">
        <f>D17</f>
        <v>0</v>
      </c>
    </row>
    <row r="18" spans="1:5" ht="23.25" customHeight="1" x14ac:dyDescent="0.25">
      <c r="A18" s="48">
        <v>2</v>
      </c>
      <c r="B18" s="46" t="s">
        <v>65</v>
      </c>
      <c r="C18" s="52">
        <f>SUMIFS(CHA!AM:AM,CHA!AK:AK,"E",CHA!AL:AL,"between 500 001 and 600 000")</f>
        <v>0</v>
      </c>
      <c r="D18" s="52">
        <f>SUMIFS(CHA!AO:AO,CHA!AK:AK,"E",CHA!AL:AL,"between 500 001 and 600 000")</f>
        <v>0</v>
      </c>
      <c r="E18" s="47">
        <f>C18*500000</f>
        <v>0</v>
      </c>
    </row>
    <row r="19" spans="1:5" ht="20.25" customHeight="1" x14ac:dyDescent="0.25">
      <c r="A19" s="25">
        <v>3</v>
      </c>
      <c r="B19" s="46" t="s">
        <v>66</v>
      </c>
      <c r="C19" s="52">
        <f>SUMIFS(CHA!AM:AM,CHA!AK:AK,"E",CHA!AL:AL,"between 600 001 and 700 000")</f>
        <v>0</v>
      </c>
      <c r="D19" s="52">
        <f>SUMIFS(CHA!AO:AO,CHA!AK:AK,"E",CHA!AL:AL,"between 600 001 and 700 000")</f>
        <v>0</v>
      </c>
      <c r="E19" s="47">
        <f>C19*500000</f>
        <v>0</v>
      </c>
    </row>
    <row r="20" spans="1:5" ht="17.25" customHeight="1" x14ac:dyDescent="0.25">
      <c r="A20" s="48">
        <v>4</v>
      </c>
      <c r="B20" s="46" t="s">
        <v>67</v>
      </c>
      <c r="C20" s="52">
        <f>SUMIFS(CHA!AM:AM,CHA!AK:AK,"E",CHA!AL:AL,"more than 700 000")</f>
        <v>0</v>
      </c>
      <c r="D20" s="52">
        <v>113045189.84299999</v>
      </c>
      <c r="E20" s="47">
        <f>C20*500000</f>
        <v>0</v>
      </c>
    </row>
    <row r="21" spans="1:5" ht="24" customHeight="1" x14ac:dyDescent="0.25">
      <c r="A21" s="23" t="s">
        <v>22</v>
      </c>
      <c r="B21" s="44" t="s">
        <v>70</v>
      </c>
      <c r="C21" s="49">
        <f>C17+C18+C19+C20</f>
        <v>0</v>
      </c>
      <c r="D21" s="49">
        <f>D17+D18+D19+D20</f>
        <v>113045189.84299999</v>
      </c>
      <c r="E21" s="49">
        <f>E17+E18+E19+E20</f>
        <v>0</v>
      </c>
    </row>
    <row r="22" spans="1:5" x14ac:dyDescent="0.25">
      <c r="A22" s="38"/>
      <c r="B22" s="55"/>
      <c r="C22" s="56"/>
      <c r="D22" s="56"/>
      <c r="E22" s="56"/>
    </row>
    <row r="23" spans="1:5" x14ac:dyDescent="0.25">
      <c r="A23" s="58"/>
      <c r="B23" s="15" t="str">
        <f>'Monthly Deposits-LCY'!B25</f>
        <v>Place: Kigali</v>
      </c>
      <c r="C23" s="59"/>
      <c r="D23" s="56"/>
      <c r="E23" s="56"/>
    </row>
    <row r="24" spans="1:5" x14ac:dyDescent="0.25">
      <c r="A24" s="15"/>
      <c r="B24" s="15" t="str">
        <f>'Monthly Deposits-LCY'!B26</f>
        <v xml:space="preserve">Date: </v>
      </c>
      <c r="C24" s="60"/>
      <c r="D24" s="57"/>
      <c r="E24" s="57"/>
    </row>
    <row r="25" spans="1:5" x14ac:dyDescent="0.25">
      <c r="A25" s="15"/>
      <c r="B25" s="15"/>
      <c r="C25" s="15"/>
      <c r="D25" s="28"/>
      <c r="E25" s="28"/>
    </row>
    <row r="26" spans="1:5" x14ac:dyDescent="0.25">
      <c r="A26" s="15"/>
      <c r="B26" s="15" t="s">
        <v>27</v>
      </c>
      <c r="C26" s="15"/>
      <c r="D26" s="28"/>
      <c r="E26" s="28"/>
    </row>
    <row r="27" spans="1:5" x14ac:dyDescent="0.25">
      <c r="A27" s="15"/>
      <c r="B27" s="15"/>
      <c r="C27" s="15"/>
      <c r="D27" s="28"/>
      <c r="E27" s="28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98" zoomScaleNormal="98" workbookViewId="0">
      <selection activeCell="F7" sqref="F7"/>
    </sheetView>
  </sheetViews>
  <sheetFormatPr defaultRowHeight="18.75" customHeight="1" x14ac:dyDescent="0.25"/>
  <cols>
    <col min="1" max="1" width="27.28515625" style="104" customWidth="1"/>
    <col min="2" max="2" width="18.42578125" style="104" customWidth="1"/>
    <col min="3" max="3" width="19.5703125" style="104" customWidth="1"/>
    <col min="4" max="4" width="22.5703125" style="104" customWidth="1"/>
    <col min="5" max="5" width="18.28515625" style="104" customWidth="1"/>
    <col min="6" max="6" width="16.42578125" style="104" customWidth="1"/>
    <col min="7" max="7" width="14.85546875" style="104" customWidth="1"/>
    <col min="8" max="8" width="14.140625" style="104" customWidth="1"/>
    <col min="9" max="9" width="16.7109375" style="104" customWidth="1"/>
    <col min="10" max="10" width="14.42578125" style="104" customWidth="1"/>
    <col min="11" max="11" width="17.140625" style="104" customWidth="1"/>
    <col min="12" max="12" width="15.28515625" style="104" customWidth="1"/>
    <col min="13" max="13" width="14.42578125" style="104" customWidth="1"/>
    <col min="14" max="14" width="9.140625" style="104" customWidth="1"/>
  </cols>
  <sheetData>
    <row r="1" spans="1:13" ht="15" customHeight="1" x14ac:dyDescent="0.25">
      <c r="A1" s="102" t="s">
        <v>71</v>
      </c>
      <c r="B1" s="102"/>
      <c r="C1" s="103"/>
    </row>
    <row r="2" spans="1:13" ht="15" customHeight="1" x14ac:dyDescent="0.25">
      <c r="A2" s="102" t="s">
        <v>72</v>
      </c>
      <c r="B2" s="102"/>
      <c r="C2" s="103"/>
    </row>
    <row r="3" spans="1:13" ht="15" customHeight="1" x14ac:dyDescent="0.25">
      <c r="A3" s="102" t="s">
        <v>73</v>
      </c>
      <c r="B3" s="102"/>
      <c r="C3" s="103"/>
    </row>
    <row r="4" spans="1:13" ht="15" customHeight="1" x14ac:dyDescent="0.25">
      <c r="A4" s="102" t="str">
        <f>'Monthly Deposits-LCY'!B4</f>
        <v>REPORT AS AT …</v>
      </c>
      <c r="B4" s="102"/>
      <c r="C4" s="103"/>
    </row>
    <row r="5" spans="1:13" ht="18.75" customHeight="1" x14ac:dyDescent="0.25">
      <c r="A5" s="105"/>
    </row>
    <row r="6" spans="1:13" ht="18.75" customHeight="1" x14ac:dyDescent="0.25">
      <c r="A6" s="106"/>
      <c r="D6" s="106" t="s">
        <v>74</v>
      </c>
    </row>
    <row r="7" spans="1:13" ht="94.5" customHeight="1" x14ac:dyDescent="0.25">
      <c r="A7" s="107" t="s">
        <v>75</v>
      </c>
      <c r="B7" s="107" t="s">
        <v>76</v>
      </c>
      <c r="C7" s="107" t="s">
        <v>77</v>
      </c>
      <c r="D7" s="107" t="s">
        <v>78</v>
      </c>
      <c r="E7" s="108" t="s">
        <v>79</v>
      </c>
      <c r="F7" s="108" t="s">
        <v>80</v>
      </c>
      <c r="G7" s="108" t="s">
        <v>81</v>
      </c>
      <c r="H7" s="108" t="s">
        <v>82</v>
      </c>
      <c r="I7" s="107" t="s">
        <v>83</v>
      </c>
      <c r="J7" s="107" t="s">
        <v>84</v>
      </c>
      <c r="K7" s="107" t="s">
        <v>85</v>
      </c>
      <c r="L7" s="108" t="s">
        <v>86</v>
      </c>
      <c r="M7" s="108" t="s">
        <v>87</v>
      </c>
    </row>
    <row r="8" spans="1:13" ht="18.75" customHeight="1" x14ac:dyDescent="0.25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</row>
    <row r="9" spans="1:13" ht="18.75" customHeight="1" x14ac:dyDescent="0.2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</row>
    <row r="10" spans="1:13" ht="18.75" customHeight="1" x14ac:dyDescent="0.2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</row>
    <row r="11" spans="1:13" ht="18.75" customHeight="1" x14ac:dyDescent="0.25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</row>
    <row r="12" spans="1:13" ht="18.75" customHeight="1" x14ac:dyDescent="0.2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</row>
    <row r="13" spans="1:13" ht="18.75" customHeight="1" x14ac:dyDescent="0.25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</row>
    <row r="14" spans="1:13" ht="18.75" customHeight="1" x14ac:dyDescent="0.25">
      <c r="A14" s="110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</row>
    <row r="15" spans="1:13" ht="18.75" customHeight="1" x14ac:dyDescent="0.25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</row>
    <row r="16" spans="1:13" ht="18.75" customHeight="1" x14ac:dyDescent="0.25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</row>
    <row r="17" spans="1:11" ht="18.75" customHeight="1" x14ac:dyDescent="0.25">
      <c r="A17" s="111"/>
      <c r="D17" s="112"/>
    </row>
    <row r="18" spans="1:11" ht="18.75" customHeight="1" x14ac:dyDescent="0.25">
      <c r="A18" s="112"/>
      <c r="D18" s="106" t="s">
        <v>88</v>
      </c>
    </row>
    <row r="19" spans="1:11" s="102" customFormat="1" ht="63" customHeight="1" x14ac:dyDescent="0.25">
      <c r="A19" s="107" t="s">
        <v>75</v>
      </c>
      <c r="B19" s="107" t="s">
        <v>77</v>
      </c>
      <c r="C19" s="113" t="s">
        <v>89</v>
      </c>
      <c r="D19" s="114" t="s">
        <v>90</v>
      </c>
      <c r="E19" s="114" t="s">
        <v>91</v>
      </c>
      <c r="F19" s="114" t="s">
        <v>34</v>
      </c>
      <c r="G19" s="114" t="s">
        <v>92</v>
      </c>
      <c r="H19" s="114" t="s">
        <v>93</v>
      </c>
      <c r="I19" s="115" t="s">
        <v>94</v>
      </c>
      <c r="J19" s="114" t="s">
        <v>95</v>
      </c>
      <c r="K19" s="114" t="s">
        <v>96</v>
      </c>
    </row>
    <row r="20" spans="1:11" ht="18.75" customHeight="1" x14ac:dyDescent="0.25">
      <c r="A20" s="116"/>
      <c r="B20" s="117"/>
      <c r="C20" s="117"/>
      <c r="D20" s="117"/>
      <c r="E20" s="117"/>
      <c r="F20" s="117" t="s">
        <v>39</v>
      </c>
      <c r="G20" s="118">
        <v>0</v>
      </c>
      <c r="H20" s="118">
        <v>0</v>
      </c>
      <c r="I20" s="118">
        <f t="shared" ref="I20:I27" si="0">G20+H20</f>
        <v>0</v>
      </c>
      <c r="J20" s="117" t="s">
        <v>41</v>
      </c>
      <c r="K20" s="119">
        <f t="shared" ref="K20:K27" si="1">I20</f>
        <v>0</v>
      </c>
    </row>
    <row r="21" spans="1:11" ht="18.75" customHeight="1" x14ac:dyDescent="0.25">
      <c r="A21" s="116"/>
      <c r="B21" s="117"/>
      <c r="C21" s="117"/>
      <c r="D21" s="117"/>
      <c r="E21" s="117"/>
      <c r="F21" s="117" t="s">
        <v>40</v>
      </c>
      <c r="G21" s="118">
        <v>0</v>
      </c>
      <c r="H21" s="118">
        <v>0</v>
      </c>
      <c r="I21" s="118">
        <f t="shared" si="0"/>
        <v>0</v>
      </c>
      <c r="J21" s="117"/>
      <c r="K21" s="119">
        <f t="shared" si="1"/>
        <v>0</v>
      </c>
    </row>
    <row r="22" spans="1:11" ht="18.75" customHeight="1" x14ac:dyDescent="0.25">
      <c r="A22" s="116"/>
      <c r="B22" s="117"/>
      <c r="C22" s="117"/>
      <c r="D22" s="117"/>
      <c r="E22" s="117"/>
      <c r="F22" s="117" t="s">
        <v>42</v>
      </c>
      <c r="G22" s="118">
        <v>0</v>
      </c>
      <c r="H22" s="118">
        <v>0</v>
      </c>
      <c r="I22" s="118">
        <f t="shared" si="0"/>
        <v>0</v>
      </c>
      <c r="J22" s="117"/>
      <c r="K22" s="119">
        <f t="shared" si="1"/>
        <v>0</v>
      </c>
    </row>
    <row r="23" spans="1:11" ht="18.75" customHeight="1" x14ac:dyDescent="0.25">
      <c r="A23" s="116"/>
      <c r="B23" s="117"/>
      <c r="C23" s="117"/>
      <c r="D23" s="117"/>
      <c r="E23" s="117"/>
      <c r="F23" s="117" t="s">
        <v>43</v>
      </c>
      <c r="G23" s="118">
        <v>0</v>
      </c>
      <c r="H23" s="118">
        <v>0</v>
      </c>
      <c r="I23" s="118">
        <f t="shared" si="0"/>
        <v>0</v>
      </c>
      <c r="J23" s="117"/>
      <c r="K23" s="119">
        <f t="shared" si="1"/>
        <v>0</v>
      </c>
    </row>
    <row r="24" spans="1:11" ht="18.75" customHeight="1" x14ac:dyDescent="0.25">
      <c r="A24" s="116"/>
      <c r="B24" s="117"/>
      <c r="C24" s="117"/>
      <c r="D24" s="117"/>
      <c r="E24" s="117"/>
      <c r="F24" s="117" t="s">
        <v>97</v>
      </c>
      <c r="G24" s="118">
        <v>0</v>
      </c>
      <c r="H24" s="118">
        <v>0</v>
      </c>
      <c r="I24" s="118">
        <f t="shared" si="0"/>
        <v>0</v>
      </c>
      <c r="J24" s="117"/>
      <c r="K24" s="119">
        <f t="shared" si="1"/>
        <v>0</v>
      </c>
    </row>
    <row r="25" spans="1:11" ht="18.75" customHeight="1" x14ac:dyDescent="0.25">
      <c r="A25" s="116"/>
      <c r="B25" s="117"/>
      <c r="C25" s="117"/>
      <c r="D25" s="117"/>
      <c r="E25" s="117"/>
      <c r="F25" s="117" t="s">
        <v>45</v>
      </c>
      <c r="G25" s="118">
        <v>0</v>
      </c>
      <c r="H25" s="118">
        <v>0</v>
      </c>
      <c r="I25" s="118">
        <f t="shared" si="0"/>
        <v>0</v>
      </c>
      <c r="J25" s="117"/>
      <c r="K25" s="119">
        <f t="shared" si="1"/>
        <v>0</v>
      </c>
    </row>
    <row r="26" spans="1:11" ht="18.75" customHeight="1" x14ac:dyDescent="0.25">
      <c r="A26" s="116"/>
      <c r="B26" s="117"/>
      <c r="C26" s="117"/>
      <c r="D26" s="117"/>
      <c r="E26" s="117"/>
      <c r="F26" s="117" t="s">
        <v>46</v>
      </c>
      <c r="G26" s="118">
        <v>0</v>
      </c>
      <c r="H26" s="118">
        <v>0</v>
      </c>
      <c r="I26" s="118">
        <f t="shared" si="0"/>
        <v>0</v>
      </c>
      <c r="J26" s="117"/>
      <c r="K26" s="119">
        <f t="shared" si="1"/>
        <v>0</v>
      </c>
    </row>
    <row r="27" spans="1:11" ht="18.75" customHeight="1" x14ac:dyDescent="0.25">
      <c r="A27" s="116"/>
      <c r="B27" s="117"/>
      <c r="C27" s="117"/>
      <c r="D27" s="117"/>
      <c r="E27" s="117"/>
      <c r="F27" s="117" t="s">
        <v>98</v>
      </c>
      <c r="G27" s="118">
        <v>0</v>
      </c>
      <c r="H27" s="118">
        <v>0</v>
      </c>
      <c r="I27" s="118">
        <f t="shared" si="0"/>
        <v>0</v>
      </c>
      <c r="J27" s="117"/>
      <c r="K27" s="119">
        <f t="shared" si="1"/>
        <v>0</v>
      </c>
    </row>
    <row r="28" spans="1:11" s="102" customFormat="1" ht="18.75" customHeight="1" x14ac:dyDescent="0.25">
      <c r="A28" s="113" t="s">
        <v>48</v>
      </c>
      <c r="B28" s="120"/>
      <c r="C28" s="120"/>
      <c r="D28" s="120"/>
      <c r="E28" s="120"/>
      <c r="F28" s="120"/>
      <c r="G28" s="121">
        <f>SUM(G20:G27)</f>
        <v>0</v>
      </c>
      <c r="H28" s="121">
        <f>SUM(H20:H27)</f>
        <v>0</v>
      </c>
      <c r="I28" s="121">
        <f>SUM(I20:I27)</f>
        <v>0</v>
      </c>
      <c r="J28" s="120"/>
      <c r="K28" s="122">
        <f>SUM(K20:K27)</f>
        <v>0</v>
      </c>
    </row>
    <row r="29" spans="1:11" ht="18.75" customHeight="1" x14ac:dyDescent="0.25">
      <c r="A29" s="1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opLeftCell="S222" workbookViewId="0">
      <selection activeCell="AA232" sqref="AA232"/>
    </sheetView>
  </sheetViews>
  <sheetFormatPr defaultRowHeight="15" x14ac:dyDescent="0.25"/>
  <cols>
    <col min="1" max="1" width="14.42578125" style="69" customWidth="1"/>
    <col min="2" max="2" width="15.85546875" style="69" customWidth="1"/>
    <col min="3" max="3" width="19.42578125" style="69" customWidth="1"/>
    <col min="4" max="4" width="19.28515625" style="69" customWidth="1"/>
    <col min="5" max="5" width="9.140625" style="69" customWidth="1"/>
    <col min="7" max="7" width="11.42578125" customWidth="1"/>
    <col min="8" max="8" width="12.5703125" customWidth="1"/>
    <col min="9" max="9" width="16.7109375" customWidth="1"/>
    <col min="10" max="10" width="18.140625" customWidth="1"/>
    <col min="11" max="11" width="16.42578125" customWidth="1"/>
    <col min="15" max="15" width="51.5703125" customWidth="1"/>
    <col min="16" max="16" width="18.7109375" customWidth="1"/>
    <col min="17" max="17" width="17.42578125" customWidth="1"/>
    <col min="19" max="19" width="10.140625" customWidth="1"/>
    <col min="20" max="20" width="10.7109375" customWidth="1"/>
    <col min="21" max="21" width="19.28515625" customWidth="1"/>
    <col min="22" max="22" width="20.42578125" customWidth="1"/>
    <col min="23" max="23" width="13.85546875" customWidth="1"/>
    <col min="25" max="25" width="11.85546875" customWidth="1"/>
    <col min="26" max="26" width="12" customWidth="1"/>
    <col min="27" max="27" width="21.85546875" customWidth="1"/>
    <col min="28" max="28" width="17.5703125" customWidth="1"/>
    <col min="29" max="29" width="13.42578125" customWidth="1"/>
    <col min="31" max="31" width="11.85546875" customWidth="1"/>
    <col min="32" max="32" width="13.28515625" customWidth="1"/>
    <col min="33" max="33" width="40.140625" customWidth="1"/>
    <col min="34" max="34" width="17.42578125" customWidth="1"/>
    <col min="35" max="35" width="14.7109375" customWidth="1"/>
    <col min="37" max="37" width="13.5703125" customWidth="1"/>
    <col min="38" max="38" width="28.85546875" customWidth="1"/>
    <col min="40" max="40" width="16" customWidth="1"/>
    <col min="41" max="41" width="17.85546875" customWidth="1"/>
    <col min="44" max="44" width="15" customWidth="1"/>
    <col min="46" max="46" width="11" customWidth="1"/>
    <col min="47" max="47" width="10.42578125" customWidth="1"/>
  </cols>
  <sheetData>
    <row r="1" spans="1:47" s="69" customFormat="1" x14ac:dyDescent="0.25">
      <c r="A1" s="128" t="s">
        <v>99</v>
      </c>
      <c r="B1" s="128"/>
      <c r="C1" s="128"/>
      <c r="D1" s="128"/>
      <c r="F1" s="128" t="s">
        <v>100</v>
      </c>
      <c r="G1" s="128"/>
      <c r="H1" s="128"/>
      <c r="I1" s="128"/>
      <c r="J1" s="128"/>
      <c r="K1" s="128"/>
      <c r="M1" s="128" t="s">
        <v>101</v>
      </c>
      <c r="N1" s="128"/>
      <c r="O1" s="128"/>
      <c r="P1" s="128"/>
      <c r="Q1" s="128"/>
      <c r="S1" s="128" t="s">
        <v>102</v>
      </c>
      <c r="T1" s="128"/>
      <c r="U1" s="128"/>
      <c r="V1" s="128"/>
      <c r="W1" s="128"/>
      <c r="Y1" s="128" t="s">
        <v>103</v>
      </c>
      <c r="Z1" s="128"/>
      <c r="AA1" s="128"/>
      <c r="AB1" s="128"/>
      <c r="AC1" s="128"/>
      <c r="AE1" s="128" t="s">
        <v>104</v>
      </c>
      <c r="AF1" s="128"/>
      <c r="AG1" s="128"/>
      <c r="AH1" s="128"/>
      <c r="AI1" s="128"/>
      <c r="AK1" s="128" t="s">
        <v>104</v>
      </c>
      <c r="AL1" s="128"/>
      <c r="AM1" s="128"/>
      <c r="AN1" s="128"/>
      <c r="AO1" s="128"/>
      <c r="AQ1" s="127" t="s">
        <v>119</v>
      </c>
      <c r="AR1" s="127"/>
      <c r="AS1" s="127"/>
      <c r="AT1" s="127"/>
      <c r="AU1" s="127"/>
    </row>
    <row r="2" spans="1:47" x14ac:dyDescent="0.25">
      <c r="A2" s="70" t="s">
        <v>105</v>
      </c>
      <c r="B2" s="70" t="s">
        <v>106</v>
      </c>
      <c r="C2" s="70" t="s">
        <v>107</v>
      </c>
      <c r="D2" s="70" t="s">
        <v>108</v>
      </c>
      <c r="F2" s="70" t="s">
        <v>109</v>
      </c>
      <c r="G2" s="70" t="s">
        <v>106</v>
      </c>
      <c r="H2" s="70" t="s">
        <v>110</v>
      </c>
      <c r="I2" s="70" t="s">
        <v>111</v>
      </c>
      <c r="J2" s="70" t="s">
        <v>112</v>
      </c>
      <c r="K2" s="70" t="s">
        <v>113</v>
      </c>
      <c r="M2" s="70" t="s">
        <v>114</v>
      </c>
      <c r="N2" s="70" t="s">
        <v>106</v>
      </c>
      <c r="O2" s="70" t="s">
        <v>115</v>
      </c>
      <c r="P2" s="70" t="s">
        <v>113</v>
      </c>
      <c r="Q2" s="70" t="s">
        <v>112</v>
      </c>
      <c r="S2" s="70" t="s">
        <v>114</v>
      </c>
      <c r="T2" s="70" t="s">
        <v>106</v>
      </c>
      <c r="U2" s="70" t="s">
        <v>115</v>
      </c>
      <c r="V2" s="70" t="s">
        <v>113</v>
      </c>
      <c r="W2" s="70" t="s">
        <v>112</v>
      </c>
      <c r="Y2" s="70" t="s">
        <v>114</v>
      </c>
      <c r="Z2" s="70" t="s">
        <v>106</v>
      </c>
      <c r="AA2" s="70" t="s">
        <v>115</v>
      </c>
      <c r="AB2" s="70" t="s">
        <v>116</v>
      </c>
      <c r="AC2" s="70" t="s">
        <v>113</v>
      </c>
      <c r="AE2" s="70" t="s">
        <v>114</v>
      </c>
      <c r="AF2" s="70" t="s">
        <v>106</v>
      </c>
      <c r="AG2" s="70" t="s">
        <v>115</v>
      </c>
      <c r="AH2" s="70" t="s">
        <v>116</v>
      </c>
      <c r="AI2" s="70" t="s">
        <v>113</v>
      </c>
      <c r="AK2" s="70" t="s">
        <v>117</v>
      </c>
      <c r="AL2" s="70" t="s">
        <v>118</v>
      </c>
      <c r="AM2" s="70" t="s">
        <v>111</v>
      </c>
      <c r="AN2" s="70" t="s">
        <v>112</v>
      </c>
      <c r="AO2" s="70" t="s">
        <v>113</v>
      </c>
      <c r="AQ2" s="70" t="s">
        <v>109</v>
      </c>
      <c r="AR2" s="70" t="s">
        <v>105</v>
      </c>
      <c r="AS2" s="70" t="s">
        <v>106</v>
      </c>
      <c r="AT2" s="70" t="s">
        <v>107</v>
      </c>
      <c r="AU2" s="70" t="s">
        <v>108</v>
      </c>
    </row>
  </sheetData>
  <sheetProtection formatCells="0" formatColumns="0" formatRows="0" insertColumns="0" insertRows="0" insertHyperlinks="0" deleteColumns="0" deleteRows="0" sort="0" autoFilter="0" pivotTables="0"/>
  <autoFilter ref="AK2:AO10"/>
  <mergeCells count="8">
    <mergeCell ref="AQ1:AU1"/>
    <mergeCell ref="AK1:AO1"/>
    <mergeCell ref="AE1:AI1"/>
    <mergeCell ref="A1:D1"/>
    <mergeCell ref="F1:K1"/>
    <mergeCell ref="M1:Q1"/>
    <mergeCell ref="S1:W1"/>
    <mergeCell ref="Y1:AC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Monthly Deposits-LCY</vt:lpstr>
      <vt:lpstr>Mothly Deposits-FCY</vt:lpstr>
      <vt:lpstr>Monthly Deposits Consolidated</vt:lpstr>
      <vt:lpstr>Monthly Deposits by Currency</vt:lpstr>
      <vt:lpstr>MONTHLY PRODUCT TYPE</vt:lpstr>
      <vt:lpstr>Quarterly Report </vt:lpstr>
      <vt:lpstr>Register of Depositor&amp; Deposit</vt:lpstr>
      <vt:lpstr>CHA</vt:lpstr>
      <vt:lpstr>'Monthly Deposits by Currency'!Print_Area</vt:lpstr>
      <vt:lpstr>'Monthly Deposits Consolidated'!Print_Area</vt:lpstr>
      <vt:lpstr>'Monthly Deposits-LCY'!Print_Area</vt:lpstr>
      <vt:lpstr>'MONTHLY PRODUCT TYPE'!Print_Area</vt:lpstr>
      <vt:lpstr>'Mothly Deposits-FCY'!Print_Area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Bruce Higiro Munyandamutsa</cp:lastModifiedBy>
  <dcterms:created xsi:type="dcterms:W3CDTF">2011-04-07T09:55:00Z</dcterms:created>
  <dcterms:modified xsi:type="dcterms:W3CDTF">2017-08-31T06:54:15Z</dcterms:modified>
  <cp:category>Test result file</cp:category>
</cp:coreProperties>
</file>