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Users\yonghyeonahn\Downloads\"/>
    </mc:Choice>
  </mc:AlternateContent>
  <xr:revisionPtr revIDLastSave="0" documentId="13_ncr:1_{30B405FF-F9F6-495F-8C5F-FBFFF514F57D}" xr6:coauthVersionLast="47" xr6:coauthVersionMax="47" xr10:uidLastSave="{00000000-0000-0000-0000-000000000000}"/>
  <bookViews>
    <workbookView xWindow="28680" yWindow="0" windowWidth="29040" windowHeight="15720" tabRatio="950" firstSheet="1" activeTab="2" xr2:uid="{453911A1-2563-45C3-BE7C-D633E7809DB6}"/>
  </bookViews>
  <sheets>
    <sheet name="민감도" sheetId="27" state="hidden" r:id="rId1"/>
    <sheet name="신설리츠vs PFV" sheetId="35" r:id="rId2"/>
    <sheet name="A&amp;R" sheetId="1" r:id="rId3"/>
    <sheet name="IM" sheetId="21" r:id="rId4"/>
    <sheet name="TIC" sheetId="2" r:id="rId5"/>
    <sheet name="Index" sheetId="4" r:id="rId6"/>
    <sheet name="IS(FY)" sheetId="16" r:id="rId7"/>
    <sheet name="CF(FY)" sheetId="17" r:id="rId8"/>
    <sheet name="BS(FY)" sheetId="18" r:id="rId9"/>
    <sheet name="NOI(M)" sheetId="10" r:id="rId10"/>
    <sheet name="FS_Detail(M)" sheetId="11" r:id="rId11"/>
    <sheet name="Rent-roll" sheetId="14" r:id="rId12"/>
    <sheet name="BS(M)" sheetId="15" r:id="rId13"/>
    <sheet name="IS(M)" sheetId="6" r:id="rId14"/>
    <sheet name="CF(M)" sheetId="5" r:id="rId15"/>
    <sheet name="CF(Y)" sheetId="26" r:id="rId16"/>
    <sheet name="Sell-down" sheetId="19" r:id="rId17"/>
    <sheet name="DSCR(선,중)" sheetId="30" r:id="rId18"/>
    <sheet name="Report-sj" sheetId="32" r:id="rId19"/>
    <sheet name="거래사례" sheetId="22" r:id="rId20"/>
    <sheet name="임대사례" sheetId="23" r:id="rId21"/>
    <sheet name="간주취득세" sheetId="36" r:id="rId22"/>
    <sheet name="채권금리" sheetId="37" r:id="rId23"/>
    <sheet name="REPORT" sheetId="33" r:id="rId24"/>
    <sheet name="수정사항" sheetId="34" state="hidden" r:id="rId25"/>
    <sheet name="우리 TC" sheetId="31" r:id="rId26"/>
    <sheet name="Rentroll(7월기준)" sheetId="28" r:id="rId27"/>
    <sheet name="Rentroll(개시시점 기준)" sheetId="12" r:id="rId28"/>
    <sheet name="TM" sheetId="20" state="hidden" r:id="rId29"/>
    <sheet name="PBC&gt;&gt;&gt;&gt;" sheetId="13" r:id="rId30"/>
    <sheet name="토지분재산세" sheetId="24" r:id="rId31"/>
    <sheet name="종합부동산세" sheetId="25" r:id="rId32"/>
  </sheets>
  <definedNames>
    <definedName name="_?" localSheetId="23" hidden="1">{"AnnualRentRoll",#N/A,FALSE,"RentRoll"}</definedName>
    <definedName name="_?" localSheetId="18" hidden="1">{"AnnualRentRoll",#N/A,FALSE,"RentRoll"}</definedName>
    <definedName name="_?" localSheetId="24" hidden="1">{"AnnualRentRoll",#N/A,FALSE,"RentRoll"}</definedName>
    <definedName name="_?" hidden="1">{"AnnualRentRoll",#N/A,FALSE,"RentRoll"}</definedName>
    <definedName name="_????" localSheetId="23" hidden="1">{#N/A,#N/A,TRUE,"1? ????";#N/A,#N/A,TRUE,"1-2? ?????";#N/A,#N/A,TRUE,"2? ??";#N/A,#N/A,TRUE,"2??? ????";#N/A,#N/A,TRUE,"3(1)? ????";#N/A,#N/A,TRUE,"??????";#N/A,#N/A,TRUE,"3(1)?7 ????";#N/A,#N/A,TRUE,"5? ???";#N/A,#N/A,TRUE,"5?2 ???(?)";#N/A,#N/A,TRUE,"6? ????";#N/A,#N/A,TRUE,"6? ??(?)";#N/A,#N/A,TRUE,"6? ??(?)";#N/A,#N/A,TRUE,"????";#N/A,#N/A,TRUE,"6-6(3)? ??(??)";#N/A,#N/A,TRUE,"9? ???(?)";#N/A,#N/A,TRUE,"9? ???(?)";#N/A,#N/A,TRUE,"10(3)? ????";#N/A,#N/A,TRUE,"10(4)? ????"}</definedName>
    <definedName name="_????" localSheetId="18" hidden="1">{#N/A,#N/A,TRUE,"1? ????";#N/A,#N/A,TRUE,"1-2? ?????";#N/A,#N/A,TRUE,"2? ??";#N/A,#N/A,TRUE,"2??? ????";#N/A,#N/A,TRUE,"3(1)? ????";#N/A,#N/A,TRUE,"??????";#N/A,#N/A,TRUE,"3(1)?7 ????";#N/A,#N/A,TRUE,"5? ???";#N/A,#N/A,TRUE,"5?2 ???(?)";#N/A,#N/A,TRUE,"6? ????";#N/A,#N/A,TRUE,"6? ??(?)";#N/A,#N/A,TRUE,"6? ??(?)";#N/A,#N/A,TRUE,"????";#N/A,#N/A,TRUE,"6-6(3)? ??(??)";#N/A,#N/A,TRUE,"9? ???(?)";#N/A,#N/A,TRUE,"9? ???(?)";#N/A,#N/A,TRUE,"10(3)? ????";#N/A,#N/A,TRUE,"10(4)? ????"}</definedName>
    <definedName name="_????" localSheetId="24"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3" hidden="1">{#N/A,#N/A,TRUE,"1? ????";#N/A,#N/A,TRUE,"1-2? ?????";#N/A,#N/A,TRUE,"2? ??";#N/A,#N/A,TRUE,"2??? ????";#N/A,#N/A,TRUE,"3(1)? ????";#N/A,#N/A,TRUE,"??????";#N/A,#N/A,TRUE,"3(1)?7 ????";#N/A,#N/A,TRUE,"5? ???";#N/A,#N/A,TRUE,"5?2 ???(?)";#N/A,#N/A,TRUE,"6? ????";#N/A,#N/A,TRUE,"6? ??(?)";#N/A,#N/A,TRUE,"6? ??(?)";#N/A,#N/A,TRUE,"????";#N/A,#N/A,TRUE,"6-6(3)? ??(??)";#N/A,#N/A,TRUE,"9? ???(?)";#N/A,#N/A,TRUE,"9? ???(?)";#N/A,#N/A,TRUE,"10(3)? ????";#N/A,#N/A,TRUE,"10(4)? ????"}</definedName>
    <definedName name="__????" localSheetId="18"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3" hidden="1">{#N/A,#N/A,TRUE,"1? ????";#N/A,#N/A,TRUE,"1-2? ?????";#N/A,#N/A,TRUE,"2? ??";#N/A,#N/A,TRUE,"2??? ????";#N/A,#N/A,TRUE,"3(1)? ????";#N/A,#N/A,TRUE,"??????";#N/A,#N/A,TRUE,"3(1)?7 ????";#N/A,#N/A,TRUE,"5? ???";#N/A,#N/A,TRUE,"5?2 ???(?)";#N/A,#N/A,TRUE,"6? ????";#N/A,#N/A,TRUE,"6? ??(?)";#N/A,#N/A,TRUE,"6? ??(?)";#N/A,#N/A,TRUE,"????";#N/A,#N/A,TRUE,"6-6(3)? ??(??)";#N/A,#N/A,TRUE,"9? ???(?)";#N/A,#N/A,TRUE,"9? ???(?)";#N/A,#N/A,TRUE,"10(3)? ????";#N/A,#N/A,TRUE,"10(4)? ????"}</definedName>
    <definedName name="___????" localSheetId="18"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3" hidden="1">{#N/A,#N/A,TRUE,"1? ????";#N/A,#N/A,TRUE,"1-2? ?????";#N/A,#N/A,TRUE,"2? ??";#N/A,#N/A,TRUE,"2??? ????";#N/A,#N/A,TRUE,"3(1)? ????";#N/A,#N/A,TRUE,"??????";#N/A,#N/A,TRUE,"3(1)?7 ????";#N/A,#N/A,TRUE,"5? ???";#N/A,#N/A,TRUE,"5?2 ???(?)";#N/A,#N/A,TRUE,"6? ????";#N/A,#N/A,TRUE,"6? ??(?)";#N/A,#N/A,TRUE,"6? ??(?)";#N/A,#N/A,TRUE,"????";#N/A,#N/A,TRUE,"6-6(3)? ??(??)";#N/A,#N/A,TRUE,"9? ???(?)";#N/A,#N/A,TRUE,"9? ???(?)";#N/A,#N/A,TRUE,"10(3)? ????";#N/A,#N/A,TRUE,"10(4)? ????"}</definedName>
    <definedName name="____????" localSheetId="18"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3" hidden="1">{#N/A,#N/A,TRUE,"대 차 대 조 표"}</definedName>
    <definedName name="______________PL7" localSheetId="18" hidden="1">{#N/A,#N/A,TRUE,"대 차 대 조 표"}</definedName>
    <definedName name="______________PL7" localSheetId="24"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3" hidden="1">{#N/A,#N/A,TRUE,"대 차 대 조 표"}</definedName>
    <definedName name="____________PL7" localSheetId="18" hidden="1">{#N/A,#N/A,TRUE,"대 차 대 조 표"}</definedName>
    <definedName name="____________PL7" localSheetId="24" hidden="1">{#N/A,#N/A,TRUE,"대 차 대 조 표"}</definedName>
    <definedName name="____________PL7" hidden="1">{#N/A,#N/A,TRUE,"대 차 대 조 표"}</definedName>
    <definedName name="___________key1" hidden="1">#N/A</definedName>
    <definedName name="___________PL7" localSheetId="23" hidden="1">{#N/A,#N/A,TRUE,"대 차 대 조 표"}</definedName>
    <definedName name="___________PL7" localSheetId="18" hidden="1">{#N/A,#N/A,TRUE,"대 차 대 조 표"}</definedName>
    <definedName name="___________PL7" localSheetId="24" hidden="1">{#N/A,#N/A,TRUE,"대 차 대 조 표"}</definedName>
    <definedName name="___________PL7" hidden="1">{#N/A,#N/A,TRUE,"대 차 대 조 표"}</definedName>
    <definedName name="__________key1" hidden="1">#N/A</definedName>
    <definedName name="__________PL7" localSheetId="23" hidden="1">{#N/A,#N/A,TRUE,"대 차 대 조 표"}</definedName>
    <definedName name="__________PL7" localSheetId="18" hidden="1">{#N/A,#N/A,TRUE,"대 차 대 조 표"}</definedName>
    <definedName name="__________PL7" localSheetId="24" hidden="1">{#N/A,#N/A,TRUE,"대 차 대 조 표"}</definedName>
    <definedName name="__________PL7" hidden="1">{#N/A,#N/A,TRUE,"대 차 대 조 표"}</definedName>
    <definedName name="_________key1" hidden="1">#N/A</definedName>
    <definedName name="_________PL7" localSheetId="23" hidden="1">{#N/A,#N/A,TRUE,"대 차 대 조 표"}</definedName>
    <definedName name="_________PL7" localSheetId="18" hidden="1">{#N/A,#N/A,TRUE,"대 차 대 조 표"}</definedName>
    <definedName name="_________PL7" localSheetId="24" hidden="1">{#N/A,#N/A,TRUE,"대 차 대 조 표"}</definedName>
    <definedName name="_________PL7" hidden="1">{#N/A,#N/A,TRUE,"대 차 대 조 표"}</definedName>
    <definedName name="________key1" hidden="1">#N/A</definedName>
    <definedName name="________mtb3" localSheetId="23" hidden="1">{#N/A,#N/A,FALSE,"１";#N/A,#N/A,FALSE,"２";#N/A,#N/A,FALSE,"３";#N/A,#N/A,FALSE,"４"}</definedName>
    <definedName name="________mtb3" localSheetId="18" hidden="1">{#N/A,#N/A,FALSE,"１";#N/A,#N/A,FALSE,"２";#N/A,#N/A,FALSE,"３";#N/A,#N/A,FALSE,"４"}</definedName>
    <definedName name="________mtb3" localSheetId="24" hidden="1">{#N/A,#N/A,FALSE,"１";#N/A,#N/A,FALSE,"２";#N/A,#N/A,FALSE,"３";#N/A,#N/A,FALSE,"４"}</definedName>
    <definedName name="________mtb3" hidden="1">{#N/A,#N/A,FALSE,"１";#N/A,#N/A,FALSE,"２";#N/A,#N/A,FALSE,"３";#N/A,#N/A,FALSE,"４"}</definedName>
    <definedName name="________PL7" localSheetId="23" hidden="1">{#N/A,#N/A,TRUE,"대 차 대 조 표"}</definedName>
    <definedName name="________PL7" localSheetId="18" hidden="1">{#N/A,#N/A,TRUE,"대 차 대 조 표"}</definedName>
    <definedName name="________PL7" localSheetId="24" hidden="1">{#N/A,#N/A,TRUE,"대 차 대 조 표"}</definedName>
    <definedName name="________PL7" hidden="1">{#N/A,#N/A,TRUE,"대 차 대 조 표"}</definedName>
    <definedName name="_______key1" hidden="1">#N/A</definedName>
    <definedName name="_______ｍｔｂ2" localSheetId="23" hidden="1">{"ｹﾝﾄ（M)",#N/A,FALSE,"収支・日割";"ｹﾝﾄ（RD)",#N/A,FALSE,"収支・日割";"ｹﾝﾄ（PMC)",#N/A,FALSE,"収支・日割"}</definedName>
    <definedName name="_______ｍｔｂ2" localSheetId="18" hidden="1">{"ｹﾝﾄ（M)",#N/A,FALSE,"収支・日割";"ｹﾝﾄ（RD)",#N/A,FALSE,"収支・日割";"ｹﾝﾄ（PMC)",#N/A,FALSE,"収支・日割"}</definedName>
    <definedName name="_______ｍｔｂ2" localSheetId="24"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3" hidden="1">{#N/A,#N/A,FALSE,"１";#N/A,#N/A,FALSE,"２";#N/A,#N/A,FALSE,"３";#N/A,#N/A,FALSE,"４"}</definedName>
    <definedName name="_______mtb3" localSheetId="18" hidden="1">{#N/A,#N/A,FALSE,"１";#N/A,#N/A,FALSE,"２";#N/A,#N/A,FALSE,"３";#N/A,#N/A,FALSE,"４"}</definedName>
    <definedName name="_______mtb3" localSheetId="24" hidden="1">{#N/A,#N/A,FALSE,"１";#N/A,#N/A,FALSE,"２";#N/A,#N/A,FALSE,"３";#N/A,#N/A,FALSE,"４"}</definedName>
    <definedName name="_______mtb3" hidden="1">{#N/A,#N/A,FALSE,"１";#N/A,#N/A,FALSE,"２";#N/A,#N/A,FALSE,"３";#N/A,#N/A,FALSE,"４"}</definedName>
    <definedName name="_______PL7" localSheetId="23" hidden="1">{#N/A,#N/A,TRUE,"대 차 대 조 표"}</definedName>
    <definedName name="_______PL7" localSheetId="18" hidden="1">{#N/A,#N/A,TRUE,"대 차 대 조 표"}</definedName>
    <definedName name="_______PL7" localSheetId="24" hidden="1">{#N/A,#N/A,TRUE,"대 차 대 조 표"}</definedName>
    <definedName name="_______PL7" hidden="1">{#N/A,#N/A,TRUE,"대 차 대 조 표"}</definedName>
    <definedName name="_______xlfn.BAHTTEXT" hidden="1">#NAME?</definedName>
    <definedName name="_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3" hidden="1">{"ｹﾝﾄ（M)",#N/A,FALSE,"収支・日割";"ｹﾝﾄ（RD)",#N/A,FALSE,"収支・日割";"ｹﾝﾄ（PMC)",#N/A,FALSE,"収支・日割"}</definedName>
    <definedName name="______ｍｔｂ2" localSheetId="18" hidden="1">{"ｹﾝﾄ（M)",#N/A,FALSE,"収支・日割";"ｹﾝﾄ（RD)",#N/A,FALSE,"収支・日割";"ｹﾝﾄ（PMC)",#N/A,FALSE,"収支・日割"}</definedName>
    <definedName name="______ｍｔｂ2" localSheetId="24"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3" hidden="1">{#N/A,#N/A,FALSE,"１";#N/A,#N/A,FALSE,"２";#N/A,#N/A,FALSE,"３";#N/A,#N/A,FALSE,"４"}</definedName>
    <definedName name="______mtb3" localSheetId="18" hidden="1">{#N/A,#N/A,FALSE,"１";#N/A,#N/A,FALSE,"２";#N/A,#N/A,FALSE,"３";#N/A,#N/A,FALSE,"４"}</definedName>
    <definedName name="______mtb3" localSheetId="24" hidden="1">{#N/A,#N/A,FALSE,"１";#N/A,#N/A,FALSE,"２";#N/A,#N/A,FALSE,"３";#N/A,#N/A,FALSE,"４"}</definedName>
    <definedName name="______mtb3" hidden="1">{#N/A,#N/A,FALSE,"１";#N/A,#N/A,FALSE,"２";#N/A,#N/A,FALSE,"３";#N/A,#N/A,FALSE,"４"}</definedName>
    <definedName name="______PL7" localSheetId="23" hidden="1">{#N/A,#N/A,TRUE,"대 차 대 조 표"}</definedName>
    <definedName name="______PL7" localSheetId="18" hidden="1">{#N/A,#N/A,TRUE,"대 차 대 조 표"}</definedName>
    <definedName name="______PL7" localSheetId="24" hidden="1">{#N/A,#N/A,TRUE,"대 차 대 조 표"}</definedName>
    <definedName name="______PL7" hidden="1">{#N/A,#N/A,TRUE,"대 차 대 조 표"}</definedName>
    <definedName name="______xlfn.BAHTTEXT" hidden="1">#NAME?</definedName>
    <definedName name="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3" hidden="1">{"ｹﾝﾄ（M)",#N/A,FALSE,"収支・日割";"ｹﾝﾄ（RD)",#N/A,FALSE,"収支・日割";"ｹﾝﾄ（PMC)",#N/A,FALSE,"収支・日割"}</definedName>
    <definedName name="_____ｍｔｂ2" localSheetId="18" hidden="1">{"ｹﾝﾄ（M)",#N/A,FALSE,"収支・日割";"ｹﾝﾄ（RD)",#N/A,FALSE,"収支・日割";"ｹﾝﾄ（PMC)",#N/A,FALSE,"収支・日割"}</definedName>
    <definedName name="_____ｍｔｂ2" localSheetId="24"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3" hidden="1">{#N/A,#N/A,FALSE,"１";#N/A,#N/A,FALSE,"２";#N/A,#N/A,FALSE,"３";#N/A,#N/A,FALSE,"４"}</definedName>
    <definedName name="_____mtb3" localSheetId="18" hidden="1">{#N/A,#N/A,FALSE,"１";#N/A,#N/A,FALSE,"２";#N/A,#N/A,FALSE,"３";#N/A,#N/A,FALSE,"４"}</definedName>
    <definedName name="_____mtb3" localSheetId="24" hidden="1">{#N/A,#N/A,FALSE,"１";#N/A,#N/A,FALSE,"２";#N/A,#N/A,FALSE,"３";#N/A,#N/A,FALSE,"４"}</definedName>
    <definedName name="_____mtb3" hidden="1">{#N/A,#N/A,FALSE,"１";#N/A,#N/A,FALSE,"２";#N/A,#N/A,FALSE,"３";#N/A,#N/A,FALSE,"４"}</definedName>
    <definedName name="_____PL7" localSheetId="23" hidden="1">{#N/A,#N/A,TRUE,"대 차 대 조 표"}</definedName>
    <definedName name="_____PL7" localSheetId="18" hidden="1">{#N/A,#N/A,TRUE,"대 차 대 조 표"}</definedName>
    <definedName name="_____PL7" localSheetId="24" hidden="1">{#N/A,#N/A,TRUE,"대 차 대 조 표"}</definedName>
    <definedName name="_____PL7" hidden="1">{#N/A,#N/A,TRUE,"대 차 대 조 표"}</definedName>
    <definedName name="_____q45" localSheetId="23" hidden="1">{"'용역비'!$A$4:$C$8"}</definedName>
    <definedName name="_____q45" localSheetId="18" hidden="1">{"'용역비'!$A$4:$C$8"}</definedName>
    <definedName name="_____q45" localSheetId="24" hidden="1">{"'용역비'!$A$4:$C$8"}</definedName>
    <definedName name="_____q45" hidden="1">{"'용역비'!$A$4:$C$8"}</definedName>
    <definedName name="_____xlfn.BAHTTEXT" hidden="1">#NAME?</definedName>
    <definedName name="____fr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3" hidden="1">{"ｹﾝﾄ（M)",#N/A,FALSE,"収支・日割";"ｹﾝﾄ（RD)",#N/A,FALSE,"収支・日割";"ｹﾝﾄ（PMC)",#N/A,FALSE,"収支・日割"}</definedName>
    <definedName name="____ｍｔｂ2" localSheetId="18" hidden="1">{"ｹﾝﾄ（M)",#N/A,FALSE,"収支・日割";"ｹﾝﾄ（RD)",#N/A,FALSE,"収支・日割";"ｹﾝﾄ（PMC)",#N/A,FALSE,"収支・日割"}</definedName>
    <definedName name="____ｍｔｂ2" localSheetId="24"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3" hidden="1">{"AnnualRentRoll",#N/A,FALSE,"RentRoll"}</definedName>
    <definedName name="____pd4" localSheetId="18" hidden="1">{"AnnualRentRoll",#N/A,FALSE,"RentRoll"}</definedName>
    <definedName name="____pd4" localSheetId="24" hidden="1">{"AnnualRentRoll",#N/A,FALSE,"RentRoll"}</definedName>
    <definedName name="____pd4" hidden="1">{"AnnualRentRoll",#N/A,FALSE,"RentRoll"}</definedName>
    <definedName name="____PL7" localSheetId="23" hidden="1">{#N/A,#N/A,TRUE,"대 차 대 조 표"}</definedName>
    <definedName name="____PL7" localSheetId="18" hidden="1">{#N/A,#N/A,TRUE,"대 차 대 조 표"}</definedName>
    <definedName name="____PL7" localSheetId="24" hidden="1">{#N/A,#N/A,TRUE,"대 차 대 조 표"}</definedName>
    <definedName name="____PL7" hidden="1">{#N/A,#N/A,TRUE,"대 차 대 조 표"}</definedName>
    <definedName name="____q45" localSheetId="23" hidden="1">{"'용역비'!$A$4:$C$8"}</definedName>
    <definedName name="____q45" localSheetId="18" hidden="1">{"'용역비'!$A$4:$C$8"}</definedName>
    <definedName name="____q45" localSheetId="24" hidden="1">{"'용역비'!$A$4:$C$8"}</definedName>
    <definedName name="____q45" hidden="1">{"'용역비'!$A$4:$C$8"}</definedName>
    <definedName name="____vf6" localSheetId="23" hidden="1">{#N/A,#N/A,FALSE,"Summary"}</definedName>
    <definedName name="____vf6" localSheetId="18" hidden="1">{#N/A,#N/A,FALSE,"Summary"}</definedName>
    <definedName name="____vf6" localSheetId="24" hidden="1">{#N/A,#N/A,FALSE,"Summary"}</definedName>
    <definedName name="____vf6" hidden="1">{#N/A,#N/A,FALSE,"Summary"}</definedName>
    <definedName name="____xlfn.BAHTTEXT" hidden="1">#NAME?</definedName>
    <definedName name="___f09" localSheetId="23" hidden="1">{#N/A,#N/A,FALSE,"OperatingAssumptions"}</definedName>
    <definedName name="___f09" localSheetId="18" hidden="1">{#N/A,#N/A,FALSE,"OperatingAssumptions"}</definedName>
    <definedName name="___f09" localSheetId="24" hidden="1">{#N/A,#N/A,FALSE,"OperatingAssumptions"}</definedName>
    <definedName name="___f09" hidden="1">{#N/A,#N/A,FALSE,"OperatingAssumptions"}</definedName>
    <definedName name="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3" hidden="1">{"ｹﾝﾄ（M)",#N/A,FALSE,"収支・日割";"ｹﾝﾄ（RD)",#N/A,FALSE,"収支・日割";"ｹﾝﾄ（PMC)",#N/A,FALSE,"収支・日割"}</definedName>
    <definedName name="___ｍｔｂ2" localSheetId="18" hidden="1">{"ｹﾝﾄ（M)",#N/A,FALSE,"収支・日割";"ｹﾝﾄ（RD)",#N/A,FALSE,"収支・日割";"ｹﾝﾄ（PMC)",#N/A,FALSE,"収支・日割"}</definedName>
    <definedName name="___ｍｔｂ2" localSheetId="24"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3" hidden="1">{#N/A,#N/A,FALSE,"１";#N/A,#N/A,FALSE,"２";#N/A,#N/A,FALSE,"３";#N/A,#N/A,FALSE,"４"}</definedName>
    <definedName name="___mtb3" localSheetId="18" hidden="1">{#N/A,#N/A,FALSE,"１";#N/A,#N/A,FALSE,"２";#N/A,#N/A,FALSE,"３";#N/A,#N/A,FALSE,"４"}</definedName>
    <definedName name="___mtb3" localSheetId="24" hidden="1">{#N/A,#N/A,FALSE,"１";#N/A,#N/A,FALSE,"２";#N/A,#N/A,FALSE,"３";#N/A,#N/A,FALSE,"４"}</definedName>
    <definedName name="___mtb3" hidden="1">{#N/A,#N/A,FALSE,"１";#N/A,#N/A,FALSE,"２";#N/A,#N/A,FALSE,"３";#N/A,#N/A,FALSE,"４"}</definedName>
    <definedName name="___pd4" localSheetId="23" hidden="1">{"AnnualRentRoll",#N/A,FALSE,"RentRoll"}</definedName>
    <definedName name="___pd4" localSheetId="18" hidden="1">{"AnnualRentRoll",#N/A,FALSE,"RentRoll"}</definedName>
    <definedName name="___pd4" localSheetId="24" hidden="1">{"AnnualRentRoll",#N/A,FALSE,"RentRoll"}</definedName>
    <definedName name="___pd4" hidden="1">{"AnnualRentRoll",#N/A,FALSE,"RentRoll"}</definedName>
    <definedName name="___PL7" localSheetId="23" hidden="1">{#N/A,#N/A,TRUE,"대 차 대 조 표"}</definedName>
    <definedName name="___PL7" localSheetId="18" hidden="1">{#N/A,#N/A,TRUE,"대 차 대 조 표"}</definedName>
    <definedName name="___PL7" localSheetId="24" hidden="1">{#N/A,#N/A,TRUE,"대 차 대 조 표"}</definedName>
    <definedName name="___PL7" hidden="1">{#N/A,#N/A,TRUE,"대 차 대 조 표"}</definedName>
    <definedName name="___PL8" localSheetId="23" hidden="1">{#N/A,#N/A,TRUE,"대 차 대 조 표"}</definedName>
    <definedName name="___PL8" localSheetId="18" hidden="1">{#N/A,#N/A,TRUE,"대 차 대 조 표"}</definedName>
    <definedName name="___PL8" localSheetId="24" hidden="1">{#N/A,#N/A,TRUE,"대 차 대 조 표"}</definedName>
    <definedName name="___PL8" hidden="1">{#N/A,#N/A,TRUE,"대 차 대 조 표"}</definedName>
    <definedName name="___q45" localSheetId="23" hidden="1">{"'용역비'!$A$4:$C$8"}</definedName>
    <definedName name="___q45" localSheetId="18" hidden="1">{"'용역비'!$A$4:$C$8"}</definedName>
    <definedName name="___q45" localSheetId="24" hidden="1">{"'용역비'!$A$4:$C$8"}</definedName>
    <definedName name="___q45" hidden="1">{"'용역비'!$A$4:$C$8"}</definedName>
    <definedName name="___s12" localSheetId="23" hidden="1">{#N/A,#N/A,FALSE,"LoanAssumptions"}</definedName>
    <definedName name="___s12" localSheetId="18" hidden="1">{#N/A,#N/A,FALSE,"LoanAssumptions"}</definedName>
    <definedName name="___s12" localSheetId="24" hidden="1">{#N/A,#N/A,FALSE,"LoanAssumptions"}</definedName>
    <definedName name="___s12" hidden="1">{#N/A,#N/A,FALSE,"LoanAssumptions"}</definedName>
    <definedName name="___vf6" localSheetId="23" hidden="1">{#N/A,#N/A,FALSE,"Summary"}</definedName>
    <definedName name="___vf6" localSheetId="18" hidden="1">{#N/A,#N/A,FALSE,"Summary"}</definedName>
    <definedName name="___vf6" localSheetId="24"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3" hidden="1">{#N/A,#N/A,FALSE,"5YRASSPl - consol'd";#N/A,#N/A,FALSE,"5YRASSPl - hotel";#N/A,#N/A,FALSE,"5YRASSPl - excl htl";#N/A,#N/A,FALSE,"VarReport";#N/A,#N/A,FALSE,"Sensitivity";#N/A,#N/A,FALSE,"House View ";#N/A,#N/A,FALSE,"KPI"}</definedName>
    <definedName name="__ban1" localSheetId="18" hidden="1">{#N/A,#N/A,FALSE,"5YRASSPl - consol'd";#N/A,#N/A,FALSE,"5YRASSPl - hotel";#N/A,#N/A,FALSE,"5YRASSPl - excl htl";#N/A,#N/A,FALSE,"VarReport";#N/A,#N/A,FALSE,"Sensitivity";#N/A,#N/A,FALSE,"House View ";#N/A,#N/A,FALSE,"KPI"}</definedName>
    <definedName name="__ban1" localSheetId="24"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3" hidden="1">{#N/A,#N/A,FALSE,"OperatingAssumptions"}</definedName>
    <definedName name="__f09" localSheetId="18" hidden="1">{#N/A,#N/A,FALSE,"OperatingAssumptions"}</definedName>
    <definedName name="__f09" localSheetId="24" hidden="1">{#N/A,#N/A,FALSE,"OperatingAssumptions"}</definedName>
    <definedName name="__f09" hidden="1">{#N/A,#N/A,FALSE,"OperatingAssumptions"}</definedName>
    <definedName name="__FDS_HYPERLINK_TOGGLE_STATE__" hidden="1">"ON"</definedName>
    <definedName name="__IntlFixup">TRUE</definedName>
    <definedName name="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3" hidden="1">{"ｹﾝﾄ（M)",#N/A,FALSE,"収支・日割";"ｹﾝﾄ（RD)",#N/A,FALSE,"収支・日割";"ｹﾝﾄ（PMC)",#N/A,FALSE,"収支・日割"}</definedName>
    <definedName name="__ｍｔｂ2" localSheetId="18" hidden="1">{"ｹﾝﾄ（M)",#N/A,FALSE,"収支・日割";"ｹﾝﾄ（RD)",#N/A,FALSE,"収支・日割";"ｹﾝﾄ（PMC)",#N/A,FALSE,"収支・日割"}</definedName>
    <definedName name="__ｍｔｂ2" localSheetId="24"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3" hidden="1">{#N/A,#N/A,FALSE,"１";#N/A,#N/A,FALSE,"２";#N/A,#N/A,FALSE,"３";#N/A,#N/A,FALSE,"４"}</definedName>
    <definedName name="__mtb3" localSheetId="18" hidden="1">{#N/A,#N/A,FALSE,"１";#N/A,#N/A,FALSE,"２";#N/A,#N/A,FALSE,"３";#N/A,#N/A,FALSE,"４"}</definedName>
    <definedName name="__mtb3" localSheetId="24" hidden="1">{#N/A,#N/A,FALSE,"１";#N/A,#N/A,FALSE,"２";#N/A,#N/A,FALSE,"３";#N/A,#N/A,FALSE,"４"}</definedName>
    <definedName name="__mtb3" hidden="1">{#N/A,#N/A,FALSE,"１";#N/A,#N/A,FALSE,"２";#N/A,#N/A,FALSE,"３";#N/A,#N/A,FALSE,"４"}</definedName>
    <definedName name="__pd4" localSheetId="23" hidden="1">{"AnnualRentRoll",#N/A,FALSE,"RentRoll"}</definedName>
    <definedName name="__pd4" localSheetId="18" hidden="1">{"AnnualRentRoll",#N/A,FALSE,"RentRoll"}</definedName>
    <definedName name="__pd4" localSheetId="24" hidden="1">{"AnnualRentRoll",#N/A,FALSE,"RentRoll"}</definedName>
    <definedName name="__pd4" hidden="1">{"AnnualRentRoll",#N/A,FALSE,"RentRoll"}</definedName>
    <definedName name="__PL7" localSheetId="23" hidden="1">{#N/A,#N/A,TRUE,"대 차 대 조 표"}</definedName>
    <definedName name="__PL7" localSheetId="18" hidden="1">{#N/A,#N/A,TRUE,"대 차 대 조 표"}</definedName>
    <definedName name="__PL7" localSheetId="24" hidden="1">{#N/A,#N/A,TRUE,"대 차 대 조 표"}</definedName>
    <definedName name="__PL7" hidden="1">{#N/A,#N/A,TRUE,"대 차 대 조 표"}</definedName>
    <definedName name="__q45" localSheetId="23" hidden="1">{"'용역비'!$A$4:$C$8"}</definedName>
    <definedName name="__q45" localSheetId="18" hidden="1">{"'용역비'!$A$4:$C$8"}</definedName>
    <definedName name="__q45" localSheetId="24" hidden="1">{"'용역비'!$A$4:$C$8"}</definedName>
    <definedName name="__q45" hidden="1">{"'용역비'!$A$4:$C$8"}</definedName>
    <definedName name="__s12" localSheetId="23" hidden="1">{#N/A,#N/A,FALSE,"LoanAssumptions"}</definedName>
    <definedName name="__s12" localSheetId="18" hidden="1">{#N/A,#N/A,FALSE,"LoanAssumptions"}</definedName>
    <definedName name="__s12" localSheetId="24" hidden="1">{#N/A,#N/A,FALSE,"LoanAssumptions"}</definedName>
    <definedName name="__s12" hidden="1">{#N/A,#N/A,FALSE,"LoanAssumptions"}</definedName>
    <definedName name="__tc1" localSheetId="23" hidden="1">{#N/A,#N/A,FALSE,"단축1";#N/A,#N/A,FALSE,"단축2";#N/A,#N/A,FALSE,"단축3";#N/A,#N/A,FALSE,"장축";#N/A,#N/A,FALSE,"4WD"}</definedName>
    <definedName name="__tc1" localSheetId="18" hidden="1">{#N/A,#N/A,FALSE,"단축1";#N/A,#N/A,FALSE,"단축2";#N/A,#N/A,FALSE,"단축3";#N/A,#N/A,FALSE,"장축";#N/A,#N/A,FALSE,"4WD"}</definedName>
    <definedName name="__tc1" localSheetId="24" hidden="1">{#N/A,#N/A,FALSE,"단축1";#N/A,#N/A,FALSE,"단축2";#N/A,#N/A,FALSE,"단축3";#N/A,#N/A,FALSE,"장축";#N/A,#N/A,FALSE,"4WD"}</definedName>
    <definedName name="__tc1" hidden="1">{#N/A,#N/A,FALSE,"단축1";#N/A,#N/A,FALSE,"단축2";#N/A,#N/A,FALSE,"단축3";#N/A,#N/A,FALSE,"장축";#N/A,#N/A,FALSE,"4WD"}</definedName>
    <definedName name="__vf6" localSheetId="23" hidden="1">{#N/A,#N/A,FALSE,"Summary"}</definedName>
    <definedName name="__vf6" localSheetId="18" hidden="1">{#N/A,#N/A,FALSE,"Summary"}</definedName>
    <definedName name="__vf6" localSheetId="24" hidden="1">{#N/A,#N/A,FALSE,"Summary"}</definedName>
    <definedName name="__vf6" hidden="1">{#N/A,#N/A,FALSE,"Summary"}</definedName>
    <definedName name="__xlfn.BAHTTEXT" hidden="1">#NAME?</definedName>
    <definedName name="__xlfn.COUNTIFS">#NAME?</definedName>
    <definedName name="_13DR1_" localSheetId="23" hidden="1">{#N/A,#N/A,FALSE,"업체선정";#N/A,#N/A,FALSE,"업체선정sheet";#N/A,#N/A,FALSE,"업체실태";#N/A,#N/A,FALSE,"업체실태(1)";#N/A,#N/A,FALSE,"종업원현황(2)";#N/A,#N/A,FALSE,"생산품목(3)";#N/A,#N/A,FALSE,"장비보유현황";#N/A,#N/A,FALSE,"차량및약도";#N/A,#N/A,FALSE,"금형LIST"}</definedName>
    <definedName name="_13DR1_" localSheetId="18" hidden="1">{#N/A,#N/A,FALSE,"업체선정";#N/A,#N/A,FALSE,"업체선정sheet";#N/A,#N/A,FALSE,"업체실태";#N/A,#N/A,FALSE,"업체실태(1)";#N/A,#N/A,FALSE,"종업원현황(2)";#N/A,#N/A,FALSE,"생산품목(3)";#N/A,#N/A,FALSE,"장비보유현황";#N/A,#N/A,FALSE,"차량및약도";#N/A,#N/A,FALSE,"금형LIST"}</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3" hidden="1">{#N/A,#N/A,FALSE,"OperatingAssumptions"}</definedName>
    <definedName name="_15f09_" localSheetId="18" hidden="1">{#N/A,#N/A,FALSE,"OperatingAssumptions"}</definedName>
    <definedName name="_15f09_" localSheetId="24" hidden="1">{#N/A,#N/A,FALSE,"OperatingAssumptions"}</definedName>
    <definedName name="_15f09_" hidden="1">{#N/A,#N/A,FALSE,"OperatingAssumptions"}</definedName>
    <definedName name="_15T2_" localSheetId="23" hidden="1">{#N/A,#N/A,FALSE,"단축1";#N/A,#N/A,FALSE,"단축2";#N/A,#N/A,FALSE,"단축3";#N/A,#N/A,FALSE,"장축";#N/A,#N/A,FALSE,"4WD"}</definedName>
    <definedName name="_15T2_" localSheetId="18" hidden="1">{#N/A,#N/A,FALSE,"단축1";#N/A,#N/A,FALSE,"단축2";#N/A,#N/A,FALSE,"단축3";#N/A,#N/A,FALSE,"장축";#N/A,#N/A,FALSE,"4WD"}</definedName>
    <definedName name="_15T2_" localSheetId="24" hidden="1">{#N/A,#N/A,FALSE,"단축1";#N/A,#N/A,FALSE,"단축2";#N/A,#N/A,FALSE,"단축3";#N/A,#N/A,FALSE,"장축";#N/A,#N/A,FALSE,"4WD"}</definedName>
    <definedName name="_15T2_" hidden="1">{#N/A,#N/A,FALSE,"단축1";#N/A,#N/A,FALSE,"단축2";#N/A,#N/A,FALSE,"단축3";#N/A,#N/A,FALSE,"장축";#N/A,#N/A,FALSE,"4WD"}</definedName>
    <definedName name="_16s12_" localSheetId="23" hidden="1">{#N/A,#N/A,FALSE,"LoanAssumptions"}</definedName>
    <definedName name="_16s12_" localSheetId="18" hidden="1">{#N/A,#N/A,FALSE,"LoanAssumptions"}</definedName>
    <definedName name="_16s12_" localSheetId="24" hidden="1">{#N/A,#N/A,FALSE,"LoanAssumptions"}</definedName>
    <definedName name="_16s12_" hidden="1">{#N/A,#N/A,FALSE,"LoanAssumptions"}</definedName>
    <definedName name="_17q45_" localSheetId="23" hidden="1">{"'용역비'!$A$4:$C$8"}</definedName>
    <definedName name="_17q45_" localSheetId="18" hidden="1">{"'용역비'!$A$4:$C$8"}</definedName>
    <definedName name="_17q45_" localSheetId="24" hidden="1">{"'용역비'!$A$4:$C$8"}</definedName>
    <definedName name="_17q45_" hidden="1">{"'용역비'!$A$4:$C$8"}</definedName>
    <definedName name="_17T3_" localSheetId="23" hidden="1">{#N/A,#N/A,FALSE,"단축1";#N/A,#N/A,FALSE,"단축2";#N/A,#N/A,FALSE,"단축3";#N/A,#N/A,FALSE,"장축";#N/A,#N/A,FALSE,"4WD"}</definedName>
    <definedName name="_17T3_" localSheetId="18" hidden="1">{#N/A,#N/A,FALSE,"단축1";#N/A,#N/A,FALSE,"단축2";#N/A,#N/A,FALSE,"단축3";#N/A,#N/A,FALSE,"장축";#N/A,#N/A,FALSE,"4WD"}</definedName>
    <definedName name="_17T3_" localSheetId="24" hidden="1">{#N/A,#N/A,FALSE,"단축1";#N/A,#N/A,FALSE,"단축2";#N/A,#N/A,FALSE,"단축3";#N/A,#N/A,FALSE,"장축";#N/A,#N/A,FALSE,"4WD"}</definedName>
    <definedName name="_17T3_" hidden="1">{#N/A,#N/A,FALSE,"단축1";#N/A,#N/A,FALSE,"단축2";#N/A,#N/A,FALSE,"단축3";#N/A,#N/A,FALSE,"장축";#N/A,#N/A,FALSE,"4WD"}</definedName>
    <definedName name="_1f09_" localSheetId="23" hidden="1">{#N/A,#N/A,FALSE,"OperatingAssumptions"}</definedName>
    <definedName name="_1f09_" localSheetId="18" hidden="1">{#N/A,#N/A,FALSE,"OperatingAssumptions"}</definedName>
    <definedName name="_1f09_" localSheetId="24" hidden="1">{#N/A,#N/A,FALSE,"OperatingAssumptions"}</definedName>
    <definedName name="_1f09_" hidden="1">{#N/A,#N/A,FALSE,"OperatingAssumptions"}</definedName>
    <definedName name="_23q45_" localSheetId="23" hidden="1">{"'용역비'!$A$4:$C$8"}</definedName>
    <definedName name="_23q45_" localSheetId="18" hidden="1">{"'용역비'!$A$4:$C$8"}</definedName>
    <definedName name="_23q45_" localSheetId="24" hidden="1">{"'용역비'!$A$4:$C$8"}</definedName>
    <definedName name="_23q45_" hidden="1">{"'용역비'!$A$4:$C$8"}</definedName>
    <definedName name="_2q45_" localSheetId="23" hidden="1">{"'용역비'!$A$4:$C$8"}</definedName>
    <definedName name="_2q45_" localSheetId="18" hidden="1">{"'용역비'!$A$4:$C$8"}</definedName>
    <definedName name="_2q45_" localSheetId="24" hidden="1">{"'용역비'!$A$4:$C$8"}</definedName>
    <definedName name="_2q45_" hidden="1">{"'용역비'!$A$4:$C$8"}</definedName>
    <definedName name="_2s12_" localSheetId="23" hidden="1">{#N/A,#N/A,FALSE,"LoanAssumptions"}</definedName>
    <definedName name="_2s12_" localSheetId="18" hidden="1">{#N/A,#N/A,FALSE,"LoanAssumptions"}</definedName>
    <definedName name="_2s12_" localSheetId="24" hidden="1">{#N/A,#N/A,FALSE,"LoanAssumptions"}</definedName>
    <definedName name="_2s12_" hidden="1">{#N/A,#N/A,FALSE,"LoanAssumptions"}</definedName>
    <definedName name="_30360" hidden="1">2</definedName>
    <definedName name="_360" hidden="1">2</definedName>
    <definedName name="_3f09_" localSheetId="23" hidden="1">{#N/A,#N/A,FALSE,"OperatingAssumptions"}</definedName>
    <definedName name="_3f09_" localSheetId="18" hidden="1">{#N/A,#N/A,FALSE,"OperatingAssumptions"}</definedName>
    <definedName name="_3f09_" localSheetId="24" hidden="1">{#N/A,#N/A,FALSE,"OperatingAssumptions"}</definedName>
    <definedName name="_3f09_" hidden="1">{#N/A,#N/A,FALSE,"OperatingAssumptions"}</definedName>
    <definedName name="_44DR1_" localSheetId="23" hidden="1">{#N/A,#N/A,FALSE,"업체선정";#N/A,#N/A,FALSE,"업체선정sheet";#N/A,#N/A,FALSE,"업체실태";#N/A,#N/A,FALSE,"업체실태(1)";#N/A,#N/A,FALSE,"종업원현황(2)";#N/A,#N/A,FALSE,"생산품목(3)";#N/A,#N/A,FALSE,"장비보유현황";#N/A,#N/A,FALSE,"차량및약도";#N/A,#N/A,FALSE,"금형LIST"}</definedName>
    <definedName name="_44DR1_" localSheetId="18" hidden="1">{#N/A,#N/A,FALSE,"업체선정";#N/A,#N/A,FALSE,"업체선정sheet";#N/A,#N/A,FALSE,"업체실태";#N/A,#N/A,FALSE,"업체실태(1)";#N/A,#N/A,FALSE,"종업원현황(2)";#N/A,#N/A,FALSE,"생산품목(3)";#N/A,#N/A,FALSE,"장비보유현황";#N/A,#N/A,FALSE,"차량및약도";#N/A,#N/A,FALSE,"금형LIST"}</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3" hidden="1">{#N/A,#N/A,FALSE,"단축1";#N/A,#N/A,FALSE,"단축2";#N/A,#N/A,FALSE,"단축3";#N/A,#N/A,FALSE,"장축";#N/A,#N/A,FALSE,"4WD"}</definedName>
    <definedName name="_49T2_" localSheetId="18" hidden="1">{#N/A,#N/A,FALSE,"단축1";#N/A,#N/A,FALSE,"단축2";#N/A,#N/A,FALSE,"단축3";#N/A,#N/A,FALSE,"장축";#N/A,#N/A,FALSE,"4WD"}</definedName>
    <definedName name="_49T2_" localSheetId="24" hidden="1">{#N/A,#N/A,FALSE,"단축1";#N/A,#N/A,FALSE,"단축2";#N/A,#N/A,FALSE,"단축3";#N/A,#N/A,FALSE,"장축";#N/A,#N/A,FALSE,"4WD"}</definedName>
    <definedName name="_49T2_" hidden="1">{#N/A,#N/A,FALSE,"단축1";#N/A,#N/A,FALSE,"단축2";#N/A,#N/A,FALSE,"단축3";#N/A,#N/A,FALSE,"장축";#N/A,#N/A,FALSE,"4WD"}</definedName>
    <definedName name="_4s12_" localSheetId="23" hidden="1">{#N/A,#N/A,FALSE,"LoanAssumptions"}</definedName>
    <definedName name="_4s12_" localSheetId="18" hidden="1">{#N/A,#N/A,FALSE,"LoanAssumptions"}</definedName>
    <definedName name="_4s12_" localSheetId="24" hidden="1">{#N/A,#N/A,FALSE,"LoanAssumptions"}</definedName>
    <definedName name="_4s12_" hidden="1">{#N/A,#N/A,FALSE,"LoanAssumptions"}</definedName>
    <definedName name="_50T3_" localSheetId="23" hidden="1">{#N/A,#N/A,FALSE,"단축1";#N/A,#N/A,FALSE,"단축2";#N/A,#N/A,FALSE,"단축3";#N/A,#N/A,FALSE,"장축";#N/A,#N/A,FALSE,"4WD"}</definedName>
    <definedName name="_50T3_" localSheetId="18" hidden="1">{#N/A,#N/A,FALSE,"단축1";#N/A,#N/A,FALSE,"단축2";#N/A,#N/A,FALSE,"단축3";#N/A,#N/A,FALSE,"장축";#N/A,#N/A,FALSE,"4WD"}</definedName>
    <definedName name="_50T3_" localSheetId="24" hidden="1">{#N/A,#N/A,FALSE,"단축1";#N/A,#N/A,FALSE,"단축2";#N/A,#N/A,FALSE,"단축3";#N/A,#N/A,FALSE,"장축";#N/A,#N/A,FALSE,"4WD"}</definedName>
    <definedName name="_50T3_" hidden="1">{#N/A,#N/A,FALSE,"단축1";#N/A,#N/A,FALSE,"단축2";#N/A,#N/A,FALSE,"단축3";#N/A,#N/A,FALSE,"장축";#N/A,#N/A,FALSE,"4WD"}</definedName>
    <definedName name="_512352352135" localSheetId="23" hidden="1">{#N/A,#N/A,TRUE,"대 차 대 조 표"}</definedName>
    <definedName name="_512352352135" localSheetId="18" hidden="1">{#N/A,#N/A,TRUE,"대 차 대 조 표"}</definedName>
    <definedName name="_512352352135" localSheetId="24" hidden="1">{#N/A,#N/A,TRUE,"대 차 대 조 표"}</definedName>
    <definedName name="_512352352135" hidden="1">{#N/A,#N/A,TRUE,"대 차 대 조 표"}</definedName>
    <definedName name="_5s12_" localSheetId="23" hidden="1">{#N/A,#N/A,FALSE,"LoanAssumptions"}</definedName>
    <definedName name="_5s12_" localSheetId="18" hidden="1">{#N/A,#N/A,FALSE,"LoanAssumptions"}</definedName>
    <definedName name="_5s12_" localSheetId="24" hidden="1">{#N/A,#N/A,FALSE,"LoanAssumptions"}</definedName>
    <definedName name="_5s12_" hidden="1">{#N/A,#N/A,FALSE,"LoanAssumptions"}</definedName>
    <definedName name="_6q45_" localSheetId="23" hidden="1">{"'용역비'!$A$4:$C$8"}</definedName>
    <definedName name="_6q45_" localSheetId="18" hidden="1">{"'용역비'!$A$4:$C$8"}</definedName>
    <definedName name="_6q45_" localSheetId="24" hidden="1">{"'용역비'!$A$4:$C$8"}</definedName>
    <definedName name="_6q45_" hidden="1">{"'용역비'!$A$4:$C$8"}</definedName>
    <definedName name="_6s12_" localSheetId="23" hidden="1">{#N/A,#N/A,FALSE,"LoanAssumptions"}</definedName>
    <definedName name="_6s12_" localSheetId="18" hidden="1">{#N/A,#N/A,FALSE,"LoanAssumptions"}</definedName>
    <definedName name="_6s12_" localSheetId="24"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3" hidden="1">{#N/A,#N/A,FALSE,"5YRASSPl - consol'd";#N/A,#N/A,FALSE,"5YRASSPl - hotel";#N/A,#N/A,FALSE,"5YRASSPl - excl htl";#N/A,#N/A,FALSE,"VarReport";#N/A,#N/A,FALSE,"Sensitivity";#N/A,#N/A,FALSE,"House View ";#N/A,#N/A,FALSE,"KPI"}</definedName>
    <definedName name="_ban1" localSheetId="18" hidden="1">{#N/A,#N/A,FALSE,"5YRASSPl - consol'd";#N/A,#N/A,FALSE,"5YRASSPl - hotel";#N/A,#N/A,FALSE,"5YRASSPl - excl htl";#N/A,#N/A,FALSE,"VarReport";#N/A,#N/A,FALSE,"Sensitivity";#N/A,#N/A,FALSE,"House View ";#N/A,#N/A,FALSE,"KPI"}</definedName>
    <definedName name="_ban1" localSheetId="24"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3" hidden="1">{#N/A,#N/A,FALSE,"Summary";#N/A,#N/A,FALSE,"GM Sum";#N/A,#N/A,FALSE,"Ext Shops";#N/A,#N/A,FALSE,"Lost Shops";#N/A,#N/A,FALSE,"Reloc Shops";#N/A,#N/A,FALSE,"Not Affected";#N/A,#N/A,FALSE,"MDbase"}</definedName>
    <definedName name="_D1" localSheetId="18" hidden="1">{#N/A,#N/A,FALSE,"Summary";#N/A,#N/A,FALSE,"GM Sum";#N/A,#N/A,FALSE,"Ext Shops";#N/A,#N/A,FALSE,"Lost Shops";#N/A,#N/A,FALSE,"Reloc Shops";#N/A,#N/A,FALSE,"Not Affected";#N/A,#N/A,FALSE,"MDbase"}</definedName>
    <definedName name="_D1" localSheetId="24"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3" hidden="1">{#N/A,#N/A,FALSE,"Summary";#N/A,#N/A,FALSE,"Ext Shops";#N/A,#N/A,FALSE,"Lost Shops";#N/A,#N/A,FALSE,"Reloc Shops";#N/A,#N/A,FALSE,"Not Affected";#N/A,#N/A,FALSE,"MDbase"}</definedName>
    <definedName name="_E1" localSheetId="18" hidden="1">{#N/A,#N/A,FALSE,"Summary";#N/A,#N/A,FALSE,"Ext Shops";#N/A,#N/A,FALSE,"Lost Shops";#N/A,#N/A,FALSE,"Reloc Shops";#N/A,#N/A,FALSE,"Not Affected";#N/A,#N/A,FALSE,"MDbase"}</definedName>
    <definedName name="_E1" localSheetId="24"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3" hidden="1">{#N/A,#N/A,FALSE,"OperatingAssumptions"}</definedName>
    <definedName name="_f09" localSheetId="18" hidden="1">{#N/A,#N/A,FALSE,"OperatingAssumptions"}</definedName>
    <definedName name="_f09" localSheetId="24"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3" hidden="1">{"ｹﾝﾄ（M)",#N/A,FALSE,"収支・日割";"ｹﾝﾄ（RD)",#N/A,FALSE,"収支・日割";"ｹﾝﾄ（PMC)",#N/A,FALSE,"収支・日割"}</definedName>
    <definedName name="_ｍｔｂ2" localSheetId="18" hidden="1">{"ｹﾝﾄ（M)",#N/A,FALSE,"収支・日割";"ｹﾝﾄ（RD)",#N/A,FALSE,"収支・日割";"ｹﾝﾄ（PMC)",#N/A,FALSE,"収支・日割"}</definedName>
    <definedName name="_ｍｔｂ2" localSheetId="24"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3" hidden="1">{#N/A,#N/A,FALSE,"１";#N/A,#N/A,FALSE,"２";#N/A,#N/A,FALSE,"３";#N/A,#N/A,FALSE,"４"}</definedName>
    <definedName name="_mtb3" localSheetId="18" hidden="1">{#N/A,#N/A,FALSE,"１";#N/A,#N/A,FALSE,"２";#N/A,#N/A,FALSE,"３";#N/A,#N/A,FALSE,"４"}</definedName>
    <definedName name="_mtb3" localSheetId="24" hidden="1">{#N/A,#N/A,FALSE,"１";#N/A,#N/A,FALSE,"２";#N/A,#N/A,FALSE,"３";#N/A,#N/A,FALSE,"４"}</definedName>
    <definedName name="_mtb3" hidden="1">{#N/A,#N/A,FALSE,"１";#N/A,#N/A,FALSE,"２";#N/A,#N/A,FALSE,"３";#N/A,#N/A,FALSE,"４"}</definedName>
    <definedName name="_mtb4" localSheetId="23" hidden="1">{#N/A,#N/A,FALSE,"１";#N/A,#N/A,FALSE,"２";#N/A,#N/A,FALSE,"３";#N/A,#N/A,FALSE,"４"}</definedName>
    <definedName name="_mtb4" localSheetId="18" hidden="1">{#N/A,#N/A,FALSE,"１";#N/A,#N/A,FALSE,"２";#N/A,#N/A,FALSE,"３";#N/A,#N/A,FALSE,"４"}</definedName>
    <definedName name="_mtb4" localSheetId="24"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3" hidden="1">{"AnnualRentRoll",#N/A,FALSE,"RentRoll"}</definedName>
    <definedName name="_pd4" localSheetId="18" hidden="1">{"AnnualRentRoll",#N/A,FALSE,"RentRoll"}</definedName>
    <definedName name="_pd4" localSheetId="24" hidden="1">{"AnnualRentRoll",#N/A,FALSE,"RentRoll"}</definedName>
    <definedName name="_pd4" hidden="1">{"AnnualRentRoll",#N/A,FALSE,"RentRoll"}</definedName>
    <definedName name="_pik" hidden="1">6</definedName>
    <definedName name="_PL7" localSheetId="23" hidden="1">{#N/A,#N/A,TRUE,"대 차 대 조 표"}</definedName>
    <definedName name="_PL7" localSheetId="18" hidden="1">{#N/A,#N/A,TRUE,"대 차 대 조 표"}</definedName>
    <definedName name="_PL7" localSheetId="24" hidden="1">{#N/A,#N/A,TRUE,"대 차 대 조 표"}</definedName>
    <definedName name="_PL7" hidden="1">{#N/A,#N/A,TRUE,"대 차 대 조 표"}</definedName>
    <definedName name="_PL7_1" localSheetId="23" hidden="1">{#N/A,#N/A,TRUE,"대 차 대 조 표"}</definedName>
    <definedName name="_PL7_1" localSheetId="18" hidden="1">{#N/A,#N/A,TRUE,"대 차 대 조 표"}</definedName>
    <definedName name="_PL7_1" localSheetId="24" hidden="1">{#N/A,#N/A,TRUE,"대 차 대 조 표"}</definedName>
    <definedName name="_PL7_1" hidden="1">{#N/A,#N/A,TRUE,"대 차 대 조 표"}</definedName>
    <definedName name="_Q1" localSheetId="23" hidden="1">{#N/A,#N/A,FALSE,"Summary";#N/A,#N/A,FALSE,"GM Sum";#N/A,#N/A,FALSE,"Ext Shops";#N/A,#N/A,FALSE,"Lost Shops";#N/A,#N/A,FALSE,"Reloc Shops";#N/A,#N/A,FALSE,"Not Affected";#N/A,#N/A,FALSE,"MDbase"}</definedName>
    <definedName name="_Q1" localSheetId="18" hidden="1">{#N/A,#N/A,FALSE,"Summary";#N/A,#N/A,FALSE,"GM Sum";#N/A,#N/A,FALSE,"Ext Shops";#N/A,#N/A,FALSE,"Lost Shops";#N/A,#N/A,FALSE,"Reloc Shops";#N/A,#N/A,FALSE,"Not Affected";#N/A,#N/A,FALSE,"MDbase"}</definedName>
    <definedName name="_Q1" localSheetId="24"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3" hidden="1">{"'용역비'!$A$4:$C$8"}</definedName>
    <definedName name="_q45" localSheetId="18" hidden="1">{"'용역비'!$A$4:$C$8"}</definedName>
    <definedName name="_q45" localSheetId="24"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3" hidden="1">{#N/A,#N/A,FALSE,"LoanAssumptions"}</definedName>
    <definedName name="_s12" localSheetId="18" hidden="1">{#N/A,#N/A,FALSE,"LoanAssumptions"}</definedName>
    <definedName name="_s12" localSheetId="24"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3" hidden="1">{#N/A,#N/A,FALSE,"이력서&amp;자기소개서"}</definedName>
    <definedName name="_sun1" localSheetId="18" hidden="1">{#N/A,#N/A,FALSE,"이력서&amp;자기소개서"}</definedName>
    <definedName name="_sun1" localSheetId="24" hidden="1">{#N/A,#N/A,FALSE,"이력서&amp;자기소개서"}</definedName>
    <definedName name="_sun1" hidden="1">{#N/A,#N/A,FALSE,"이력서&amp;자기소개서"}</definedName>
    <definedName name="_tc1" localSheetId="23" hidden="1">{#N/A,#N/A,FALSE,"단축1";#N/A,#N/A,FALSE,"단축2";#N/A,#N/A,FALSE,"단축3";#N/A,#N/A,FALSE,"장축";#N/A,#N/A,FALSE,"4WD"}</definedName>
    <definedName name="_tc1" localSheetId="18" hidden="1">{#N/A,#N/A,FALSE,"단축1";#N/A,#N/A,FALSE,"단축2";#N/A,#N/A,FALSE,"단축3";#N/A,#N/A,FALSE,"장축";#N/A,#N/A,FALSE,"4WD"}</definedName>
    <definedName name="_tc1" localSheetId="24"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3" hidden="1">{#N/A,#N/A,FALSE,"Summary"}</definedName>
    <definedName name="_vf6" localSheetId="18" hidden="1">{#N/A,#N/A,FALSE,"Summary"}</definedName>
    <definedName name="_vf6" localSheetId="24"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3" hidden="1">{#N/A,#N/A,FALSE,"Summary";#N/A,#N/A,FALSE,"GM Sum";#N/A,#N/A,FALSE,"Ext Shops";#N/A,#N/A,FALSE,"Lost Shops";#N/A,#N/A,FALSE,"Reloc Shops";#N/A,#N/A,FALSE,"Not Affected";#N/A,#N/A,FALSE,"MDbase"}</definedName>
    <definedName name="A" localSheetId="18" hidden="1">{#N/A,#N/A,FALSE,"Summary";#N/A,#N/A,FALSE,"GM Sum";#N/A,#N/A,FALSE,"Ext Shops";#N/A,#N/A,FALSE,"Lost Shops";#N/A,#N/A,FALSE,"Reloc Shops";#N/A,#N/A,FALSE,"Not Affected";#N/A,#N/A,FALSE,"MDbase"}</definedName>
    <definedName name="A" localSheetId="24"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3" hidden="1">{"MonthlyRentRoll",#N/A,FALSE,"RentRoll"}</definedName>
    <definedName name="a_1" localSheetId="18" hidden="1">{"MonthlyRentRoll",#N/A,FALSE,"RentRoll"}</definedName>
    <definedName name="a_1" localSheetId="24" hidden="1">{"MonthlyRentRoll",#N/A,FALSE,"RentRoll"}</definedName>
    <definedName name="a_1" hidden="1">{"MonthlyRentRoll",#N/A,FALSE,"RentRoll"}</definedName>
    <definedName name="A1_00근거" localSheetId="23" hidden="1">{#N/A,#N/A,FALSE,"단축1";#N/A,#N/A,FALSE,"단축2";#N/A,#N/A,FALSE,"단축3";#N/A,#N/A,FALSE,"장축";#N/A,#N/A,FALSE,"4WD"}</definedName>
    <definedName name="A1_00근거" localSheetId="18" hidden="1">{#N/A,#N/A,FALSE,"단축1";#N/A,#N/A,FALSE,"단축2";#N/A,#N/A,FALSE,"단축3";#N/A,#N/A,FALSE,"장축";#N/A,#N/A,FALSE,"4WD"}</definedName>
    <definedName name="A1_00근거" localSheetId="24" hidden="1">{#N/A,#N/A,FALSE,"단축1";#N/A,#N/A,FALSE,"단축2";#N/A,#N/A,FALSE,"단축3";#N/A,#N/A,FALSE,"장축";#N/A,#N/A,FALSE,"4WD"}</definedName>
    <definedName name="A1_00근거" hidden="1">{#N/A,#N/A,FALSE,"단축1";#N/A,#N/A,FALSE,"단축2";#N/A,#N/A,FALSE,"단축3";#N/A,#N/A,FALSE,"장축";#N/A,#N/A,FALSE,"4WD"}</definedName>
    <definedName name="A2상업" localSheetId="23">BlankMacro1</definedName>
    <definedName name="A2상업" localSheetId="18">BlankMacro1</definedName>
    <definedName name="A2상업" localSheetId="24">BlankMacro1</definedName>
    <definedName name="A2상업" localSheetId="1">BlankMacro1</definedName>
    <definedName name="A2상업">BlankMacro1</definedName>
    <definedName name="aa" localSheetId="23" hidden="1">{#N/A,#N/A,FALSE,"Sheet6"}</definedName>
    <definedName name="aa" localSheetId="18" hidden="1">{#N/A,#N/A,FALSE,"Sheet6"}</definedName>
    <definedName name="aa" localSheetId="24" hidden="1">{#N/A,#N/A,FALSE,"Sheet6"}</definedName>
    <definedName name="aa" hidden="1">{#N/A,#N/A,FALSE,"Sheet6"}</definedName>
    <definedName name="aaa" localSheetId="23" hidden="1">{#N/A,#N/A,FALSE,"동부"}</definedName>
    <definedName name="aaa" localSheetId="18" hidden="1">{#N/A,#N/A,FALSE,"동부"}</definedName>
    <definedName name="aaa" localSheetId="24" hidden="1">{#N/A,#N/A,FALSE,"동부"}</definedName>
    <definedName name="aaa" hidden="1">{#N/A,#N/A,FALSE,"동부"}</definedName>
    <definedName name="aaa_1" localSheetId="23" hidden="1">{"MonthlyRentRoll",#N/A,FALSE,"RentRoll"}</definedName>
    <definedName name="aaa_1" localSheetId="18" hidden="1">{"MonthlyRentRoll",#N/A,FALSE,"RentRoll"}</definedName>
    <definedName name="aaa_1" localSheetId="24" hidden="1">{"MonthlyRentRoll",#N/A,FALSE,"RentRoll"}</definedName>
    <definedName name="aaa_1" hidden="1">{"MonthlyRentRoll",#N/A,FALSE,"RentRoll"}</definedName>
    <definedName name="AAA_DOCTOPS">"AAA_SET"</definedName>
    <definedName name="AAA_duser">"OFF"</definedName>
    <definedName name="aaaaa" localSheetId="23" hidden="1">{"Info",#N/A,FALSE,"A"}</definedName>
    <definedName name="aaaaa" localSheetId="18" hidden="1">{"Info",#N/A,FALSE,"A"}</definedName>
    <definedName name="aaaaa" localSheetId="24" hidden="1">{"Info",#N/A,FALSE,"A"}</definedName>
    <definedName name="aaaaa" hidden="1">{"Info",#N/A,FALSE,"A"}</definedName>
    <definedName name="aaaaa_1" localSheetId="23" hidden="1">{"p",#N/A,FALSE,"Sheet1";"p 2",#N/A,FALSE,"Sheet1";"p 3",#N/A,FALSE,"Sheet1"}</definedName>
    <definedName name="aaaaa_1" localSheetId="18" hidden="1">{"p",#N/A,FALSE,"Sheet1";"p 2",#N/A,FALSE,"Sheet1";"p 3",#N/A,FALSE,"Sheet1"}</definedName>
    <definedName name="aaaaa_1" localSheetId="24" hidden="1">{"p",#N/A,FALSE,"Sheet1";"p 2",#N/A,FALSE,"Sheet1";"p 3",#N/A,FALSE,"Sheet1"}</definedName>
    <definedName name="aaaaa_1" hidden="1">{"p",#N/A,FALSE,"Sheet1";"p 2",#N/A,FALSE,"Sheet1";"p 3",#N/A,FALSE,"Sheet1"}</definedName>
    <definedName name="AAAAAA"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3" hidden="1">{"Outflow 1",#N/A,FALSE,"Outflows-Inflows";"Outflow 2",#N/A,FALSE,"Outflows-Inflows";"Inflow 1",#N/A,FALSE,"Outflows-Inflows";"Inflow 2",#N/A,FALSE,"Outflows-Inflows"}</definedName>
    <definedName name="aaaaaaa" localSheetId="18" hidden="1">{"Outflow 1",#N/A,FALSE,"Outflows-Inflows";"Outflow 2",#N/A,FALSE,"Outflows-Inflows";"Inflow 1",#N/A,FALSE,"Outflows-Inflows";"Inflow 2",#N/A,FALSE,"Outflows-Inflows"}</definedName>
    <definedName name="aaaaaaa" localSheetId="24"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3" hidden="1">{#N/A,#N/A,FALSE,"동부"}</definedName>
    <definedName name="aab" localSheetId="18" hidden="1">{#N/A,#N/A,FALSE,"동부"}</definedName>
    <definedName name="aab" localSheetId="24"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3" hidden="1">{"rtn",#N/A,FALSE,"RTN";"tables",#N/A,FALSE,"RTN";"cf",#N/A,FALSE,"CF";"stats",#N/A,FALSE,"Stats";"prop",#N/A,FALSE,"Prop"}</definedName>
    <definedName name="aasdfa" localSheetId="18" hidden="1">{"rtn",#N/A,FALSE,"RTN";"tables",#N/A,FALSE,"RTN";"cf",#N/A,FALSE,"CF";"stats",#N/A,FALSE,"Stats";"prop",#N/A,FALSE,"Prop"}</definedName>
    <definedName name="aasdfa" localSheetId="24" hidden="1">{"rtn",#N/A,FALSE,"RTN";"tables",#N/A,FALSE,"RTN";"cf",#N/A,FALSE,"CF";"stats",#N/A,FALSE,"Stats";"prop",#N/A,FALSE,"Prop"}</definedName>
    <definedName name="aasdfa" hidden="1">{"rtn",#N/A,FALSE,"RTN";"tables",#N/A,FALSE,"RTN";"cf",#N/A,FALSE,"CF";"stats",#N/A,FALSE,"Stats";"prop",#N/A,FALSE,"Prop"}</definedName>
    <definedName name="ab">1</definedName>
    <definedName name="abab" localSheetId="23" hidden="1">{#N/A,#N/A,FALSE,"ExitStratigy"}</definedName>
    <definedName name="abab" localSheetId="18" hidden="1">{#N/A,#N/A,FALSE,"ExitStratigy"}</definedName>
    <definedName name="abab" localSheetId="24" hidden="1">{#N/A,#N/A,FALSE,"ExitStratigy"}</definedName>
    <definedName name="abab" hidden="1">{#N/A,#N/A,FALSE,"ExitStratigy"}</definedName>
    <definedName name="abab_1" localSheetId="23" hidden="1">{#N/A,#N/A,FALSE,"ExitStratigy"}</definedName>
    <definedName name="abab_1" localSheetId="18" hidden="1">{#N/A,#N/A,FALSE,"ExitStratigy"}</definedName>
    <definedName name="abab_1" localSheetId="24" hidden="1">{#N/A,#N/A,FALSE,"ExitStratigy"}</definedName>
    <definedName name="abab_1" hidden="1">{#N/A,#N/A,FALSE,"ExitStratigy"}</definedName>
    <definedName name="abcc" localSheetId="23" hidden="1">{#N/A,#N/A,FALSE,"1.CRITERIA";#N/A,#N/A,FALSE,"2.IS";#N/A,#N/A,FALSE,"3.BS";#N/A,#N/A,FALSE,"4.PER PL";#N/A,#N/A,FALSE,"5.INVESTMENT";#N/A,#N/A,FALSE,"6.공문";#N/A,#N/A,FALSE,"7.netinvest"}</definedName>
    <definedName name="abcc" localSheetId="18" hidden="1">{#N/A,#N/A,FALSE,"1.CRITERIA";#N/A,#N/A,FALSE,"2.IS";#N/A,#N/A,FALSE,"3.BS";#N/A,#N/A,FALSE,"4.PER PL";#N/A,#N/A,FALSE,"5.INVESTMENT";#N/A,#N/A,FALSE,"6.공문";#N/A,#N/A,FALSE,"7.netinvest"}</definedName>
    <definedName name="abcc" localSheetId="24"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3" hidden="1">{"ｹﾝﾄ（M)",#N/A,FALSE,"収支・日割";"ｹﾝﾄ（RD)",#N/A,FALSE,"収支・日割";"ｹﾝﾄ（PMC)",#N/A,FALSE,"収支・日割"}</definedName>
    <definedName name="adasd" localSheetId="18" hidden="1">{"ｹﾝﾄ（M)",#N/A,FALSE,"収支・日割";"ｹﾝﾄ（RD)",#N/A,FALSE,"収支・日割";"ｹﾝﾄ（PMC)",#N/A,FALSE,"収支・日割"}</definedName>
    <definedName name="adasd" localSheetId="24" hidden="1">{"ｹﾝﾄ（M)",#N/A,FALSE,"収支・日割";"ｹﾝﾄ（RD)",#N/A,FALSE,"収支・日割";"ｹﾝﾄ（PMC)",#N/A,FALSE,"収支・日割"}</definedName>
    <definedName name="adasd" hidden="1">{"ｹﾝﾄ（M)",#N/A,FALSE,"収支・日割";"ｹﾝﾄ（RD)",#N/A,FALSE,"収支・日割";"ｹﾝﾄ（PMC)",#N/A,FALSE,"収支・日割"}</definedName>
    <definedName name="adf" localSheetId="23" hidden="1">{"MonthlyRentRoll",#N/A,FALSE,"RentRoll"}</definedName>
    <definedName name="adf" localSheetId="18" hidden="1">{"MonthlyRentRoll",#N/A,FALSE,"RentRoll"}</definedName>
    <definedName name="adf" localSheetId="24" hidden="1">{"MonthlyRentRoll",#N/A,FALSE,"RentRoll"}</definedName>
    <definedName name="adf" hidden="1">{"MonthlyRentRoll",#N/A,FALSE,"RentRoll"}</definedName>
    <definedName name="adf_1" localSheetId="23" hidden="1">{"MonthlyRentRoll",#N/A,FALSE,"RentRoll"}</definedName>
    <definedName name="adf_1" localSheetId="18" hidden="1">{"MonthlyRentRoll",#N/A,FALSE,"RentRoll"}</definedName>
    <definedName name="adf_1" localSheetId="24" hidden="1">{"MonthlyRentRoll",#N/A,FALSE,"RentRoll"}</definedName>
    <definedName name="adf_1" hidden="1">{"MonthlyRentRoll",#N/A,FALSE,"RentRoll"}</definedName>
    <definedName name="adsas" localSheetId="23" hidden="1">{#N/A,#N/A,FALSE,"Aging Summary";#N/A,#N/A,FALSE,"Ratio Analysis";#N/A,#N/A,FALSE,"Test 120 Day Accts";#N/A,#N/A,FALSE,"Tickmarks"}</definedName>
    <definedName name="adsas" localSheetId="18" hidden="1">{#N/A,#N/A,FALSE,"Aging Summary";#N/A,#N/A,FALSE,"Ratio Analysis";#N/A,#N/A,FALSE,"Test 120 Day Accts";#N/A,#N/A,FALSE,"Tickmarks"}</definedName>
    <definedName name="adsas" localSheetId="24" hidden="1">{#N/A,#N/A,FALSE,"Aging Summary";#N/A,#N/A,FALSE,"Ratio Analysis";#N/A,#N/A,FALSE,"Test 120 Day Accts";#N/A,#N/A,FALSE,"Tickmarks"}</definedName>
    <definedName name="adsas" hidden="1">{#N/A,#N/A,FALSE,"Aging Summary";#N/A,#N/A,FALSE,"Ratio Analysis";#N/A,#N/A,FALSE,"Test 120 Day Accts";#N/A,#N/A,FALSE,"Tickmarks"}</definedName>
    <definedName name="ADSDF" localSheetId="23" hidden="1">{#N/A,#N/A,TRUE,"Y생산";#N/A,#N/A,TRUE,"Y판매";#N/A,#N/A,TRUE,"Y총물량";#N/A,#N/A,TRUE,"Y능력";#N/A,#N/A,TRUE,"YKD"}</definedName>
    <definedName name="ADSDF" localSheetId="18" hidden="1">{#N/A,#N/A,TRUE,"Y생산";#N/A,#N/A,TRUE,"Y판매";#N/A,#N/A,TRUE,"Y총물량";#N/A,#N/A,TRUE,"Y능력";#N/A,#N/A,TRUE,"YKD"}</definedName>
    <definedName name="ADSDF" localSheetId="24" hidden="1">{#N/A,#N/A,TRUE,"Y생산";#N/A,#N/A,TRUE,"Y판매";#N/A,#N/A,TRUE,"Y총물량";#N/A,#N/A,TRUE,"Y능력";#N/A,#N/A,TRUE,"YKD"}</definedName>
    <definedName name="ADSDF" hidden="1">{#N/A,#N/A,TRUE,"Y생산";#N/A,#N/A,TRUE,"Y판매";#N/A,#N/A,TRUE,"Y총물량";#N/A,#N/A,TRUE,"Y능력";#N/A,#N/A,TRUE,"YKD"}</definedName>
    <definedName name="ADSDF_1" localSheetId="23" hidden="1">{#N/A,#N/A,TRUE,"Y생산";#N/A,#N/A,TRUE,"Y판매";#N/A,#N/A,TRUE,"Y총물량";#N/A,#N/A,TRUE,"Y능력";#N/A,#N/A,TRUE,"YKD"}</definedName>
    <definedName name="ADSDF_1" localSheetId="18" hidden="1">{#N/A,#N/A,TRUE,"Y생산";#N/A,#N/A,TRUE,"Y판매";#N/A,#N/A,TRUE,"Y총물량";#N/A,#N/A,TRUE,"Y능력";#N/A,#N/A,TRUE,"YKD"}</definedName>
    <definedName name="ADSDF_1" localSheetId="24" hidden="1">{#N/A,#N/A,TRUE,"Y생산";#N/A,#N/A,TRUE,"Y판매";#N/A,#N/A,TRUE,"Y총물량";#N/A,#N/A,TRUE,"Y능력";#N/A,#N/A,TRUE,"YKD"}</definedName>
    <definedName name="ADSDF_1" hidden="1">{#N/A,#N/A,TRUE,"Y생산";#N/A,#N/A,TRUE,"Y판매";#N/A,#N/A,TRUE,"Y총물량";#N/A,#N/A,TRUE,"Y능력";#N/A,#N/A,TRUE,"YKD"}</definedName>
    <definedName name="afafadf" localSheetId="23" hidden="1">{"'Report9'!$B$1:$AD$57"}</definedName>
    <definedName name="afafadf" localSheetId="18" hidden="1">{"'Report9'!$B$1:$AD$57"}</definedName>
    <definedName name="afafadf" localSheetId="24" hidden="1">{"'Report9'!$B$1:$AD$57"}</definedName>
    <definedName name="afafadf" hidden="1">{"'Report9'!$B$1:$AD$57"}</definedName>
    <definedName name="afsdafsfsadf" localSheetId="23" hidden="1">{#N/A,#N/A,FALSE,"Summary";#N/A,#N/A,FALSE,"Ext Shops";#N/A,#N/A,FALSE,"Lost Shops";#N/A,#N/A,FALSE,"Reloc Shops";#N/A,#N/A,FALSE,"Not Affected";#N/A,#N/A,FALSE,"MDbase"}</definedName>
    <definedName name="afsdafsfsadf" localSheetId="18" hidden="1">{#N/A,#N/A,FALSE,"Summary";#N/A,#N/A,FALSE,"Ext Shops";#N/A,#N/A,FALSE,"Lost Shops";#N/A,#N/A,FALSE,"Reloc Shops";#N/A,#N/A,FALSE,"Not Affected";#N/A,#N/A,FALSE,"MDbase"}</definedName>
    <definedName name="afsdafsfsadf" localSheetId="24"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3" hidden="1">{"'7'!$B$15:$D$32"}</definedName>
    <definedName name="aksmf" localSheetId="18" hidden="1">{"'7'!$B$15:$D$32"}</definedName>
    <definedName name="aksmf" localSheetId="24" hidden="1">{"'7'!$B$15:$D$32"}</definedName>
    <definedName name="aksmf" hidden="1">{"'7'!$B$15:$D$32"}</definedName>
    <definedName name="al" localSheetId="23" hidden="1">{#N/A,#N/A,FALSE,"5YRASSPl - consol'd";#N/A,#N/A,FALSE,"5YRASSPl - hotel";#N/A,#N/A,FALSE,"5YRASSPl - excl htl";#N/A,#N/A,FALSE,"VarReport";#N/A,#N/A,FALSE,"Sensitivity";#N/A,#N/A,FALSE,"House View ";#N/A,#N/A,FALSE,"KPI"}</definedName>
    <definedName name="al" localSheetId="18" hidden="1">{#N/A,#N/A,FALSE,"5YRASSPl - consol'd";#N/A,#N/A,FALSE,"5YRASSPl - hotel";#N/A,#N/A,FALSE,"5YRASSPl - excl htl";#N/A,#N/A,FALSE,"VarReport";#N/A,#N/A,FALSE,"Sensitivity";#N/A,#N/A,FALSE,"House View ";#N/A,#N/A,FALSE,"KPI"}</definedName>
    <definedName name="al" localSheetId="24"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3" hidden="1">{#N/A,#N/A,FALSE,"동부"}</definedName>
    <definedName name="app.3.2.2" localSheetId="18" hidden="1">{#N/A,#N/A,FALSE,"동부"}</definedName>
    <definedName name="app.3.2.2" localSheetId="24" hidden="1">{#N/A,#N/A,FALSE,"동부"}</definedName>
    <definedName name="app.3.2.2" hidden="1">{#N/A,#N/A,FALSE,"동부"}</definedName>
    <definedName name="App3.2.2" localSheetId="23" hidden="1">{#N/A,#N/A,TRUE,"대 차 대 조 표"}</definedName>
    <definedName name="App3.2.2" localSheetId="18" hidden="1">{#N/A,#N/A,TRUE,"대 차 대 조 표"}</definedName>
    <definedName name="App3.2.2" localSheetId="24" hidden="1">{#N/A,#N/A,TRUE,"대 차 대 조 표"}</definedName>
    <definedName name="App3.2.2" hidden="1">{#N/A,#N/A,TRUE,"대 차 대 조 표"}</definedName>
    <definedName name="aq" localSheetId="23" hidden="1">{#N/A,#N/A,FALSE,"CCTV"}</definedName>
    <definedName name="aq" localSheetId="18" hidden="1">{#N/A,#N/A,FALSE,"CCTV"}</definedName>
    <definedName name="aq" localSheetId="24"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3" hidden="1">{"Actual",#N/A,FALSE,"(価格)";"Market",#N/A,FALSE,"(価格)";"Plan",#N/A,FALSE,"(価格)"}</definedName>
    <definedName name="asda" localSheetId="18" hidden="1">{"Actual",#N/A,FALSE,"(価格)";"Market",#N/A,FALSE,"(価格)";"Plan",#N/A,FALSE,"(価格)"}</definedName>
    <definedName name="asda" localSheetId="24" hidden="1">{"Actual",#N/A,FALSE,"(価格)";"Market",#N/A,FALSE,"(価格)";"Plan",#N/A,FALSE,"(価格)"}</definedName>
    <definedName name="asda" hidden="1">{"Actual",#N/A,FALSE,"(価格)";"Market",#N/A,FALSE,"(価格)";"Plan",#N/A,FALSE,"(価格)"}</definedName>
    <definedName name="asdf" localSheetId="23">BlankMacro1</definedName>
    <definedName name="asdf" localSheetId="18">BlankMacro1</definedName>
    <definedName name="asdf" localSheetId="24">BlankMacro1</definedName>
    <definedName name="asdf" localSheetId="1">BlankMacro1</definedName>
    <definedName name="asdf">BlankMacro1</definedName>
    <definedName name="asdfadf" localSheetId="23" hidden="1">{#N/A,#N/A,TRUE,"Capex Summ";#N/A,#N/A,TRUE,"Essential Works.tw";#N/A,#N/A,TRUE,"Desirable Works.tw";#N/A,#N/A,TRUE,"Essential Works.rt";#N/A,#N/A,TRUE,"Desirable Works.rt";#N/A,#N/A,TRUE,"Mthly";#N/A,#N/A,TRUE,"Essential Works.ht";#N/A,#N/A,TRUE,"Desirable Works.ht";#N/A,#N/A,TRUE,"Incentives"}</definedName>
    <definedName name="asdfadf" localSheetId="18" hidden="1">{#N/A,#N/A,TRUE,"Capex Summ";#N/A,#N/A,TRUE,"Essential Works.tw";#N/A,#N/A,TRUE,"Desirable Works.tw";#N/A,#N/A,TRUE,"Essential Works.rt";#N/A,#N/A,TRUE,"Desirable Works.rt";#N/A,#N/A,TRUE,"Mthly";#N/A,#N/A,TRUE,"Essential Works.ht";#N/A,#N/A,TRUE,"Desirable Works.ht";#N/A,#N/A,TRUE,"Incentives"}</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3" hidden="1">{"print 1.6",#N/A,FALSE,"Sheet1";"print 2.6",#N/A,FALSE,"Sheet1";"print 3.6",#N/A,FALSE,"Sheet1";"print 4.6",#N/A,FALSE,"Sheet1";"print 5.6",#N/A,FALSE,"Sheet1";"print 6.6",#N/A,FALSE,"Sheet1"}</definedName>
    <definedName name="asdfas" localSheetId="18" hidden="1">{"print 1.6",#N/A,FALSE,"Sheet1";"print 2.6",#N/A,FALSE,"Sheet1";"print 3.6",#N/A,FALSE,"Sheet1";"print 4.6",#N/A,FALSE,"Sheet1";"print 5.6",#N/A,FALSE,"Sheet1";"print 6.6",#N/A,FALSE,"Sheet1"}</definedName>
    <definedName name="asdfas" localSheetId="24"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3" hidden="1">{"print 1.6",#N/A,FALSE,"Sheet1";"print 2.6",#N/A,FALSE,"Sheet1";"print 3.6",#N/A,FALSE,"Sheet1";"print 4.6",#N/A,FALSE,"Sheet1";"print 5.6",#N/A,FALSE,"Sheet1";"print 6.6",#N/A,FALSE,"Sheet1"}</definedName>
    <definedName name="asdfasaa" localSheetId="18"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3" hidden="1">{"rtn",#N/A,FALSE,"RTN";"tables",#N/A,FALSE,"RTN";"cf",#N/A,FALSE,"CF";"stats",#N/A,FALSE,"Stats";"prop",#N/A,FALSE,"Prop"}</definedName>
    <definedName name="asdfasdf" localSheetId="18" hidden="1">{"rtn",#N/A,FALSE,"RTN";"tables",#N/A,FALSE,"RTN";"cf",#N/A,FALSE,"CF";"stats",#N/A,FALSE,"Stats";"prop",#N/A,FALSE,"Prop"}</definedName>
    <definedName name="asdfasdf" localSheetId="24" hidden="1">{"rtn",#N/A,FALSE,"RTN";"tables",#N/A,FALSE,"RTN";"cf",#N/A,FALSE,"CF";"stats",#N/A,FALSE,"Stats";"prop",#N/A,FALSE,"Prop"}</definedName>
    <definedName name="asdfasdf" hidden="1">{"rtn",#N/A,FALSE,"RTN";"tables",#N/A,FALSE,"RTN";"cf",#N/A,FALSE,"CF";"stats",#N/A,FALSE,"Stats";"prop",#N/A,FALSE,"Prop"}</definedName>
    <definedName name="asdfasfsa" localSheetId="23" hidden="1">{#N/A,#N/A,FALSE,"Summary";#N/A,#N/A,FALSE,"GM Sum";#N/A,#N/A,FALSE,"Ext Shops";#N/A,#N/A,FALSE,"Lost Shops";#N/A,#N/A,FALSE,"Reloc Shops";#N/A,#N/A,FALSE,"Not Affected";#N/A,#N/A,FALSE,"MDbase"}</definedName>
    <definedName name="asdfasfsa" localSheetId="18" hidden="1">{#N/A,#N/A,FALSE,"Summary";#N/A,#N/A,FALSE,"GM Sum";#N/A,#N/A,FALSE,"Ext Shops";#N/A,#N/A,FALSE,"Lost Shops";#N/A,#N/A,FALSE,"Reloc Shops";#N/A,#N/A,FALSE,"Not Affected";#N/A,#N/A,FALSE,"MDbase"}</definedName>
    <definedName name="asdfasfsa" localSheetId="24"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3" hidden="1">{"rtn",#N/A,FALSE,"RTN";"tables",#N/A,FALSE,"RTN";"cf",#N/A,FALSE,"CF";"stats",#N/A,FALSE,"Stats";"prop",#N/A,FALSE,"Prop"}</definedName>
    <definedName name="asdfg" localSheetId="18" hidden="1">{"rtn",#N/A,FALSE,"RTN";"tables",#N/A,FALSE,"RTN";"cf",#N/A,FALSE,"CF";"stats",#N/A,FALSE,"Stats";"prop",#N/A,FALSE,"Prop"}</definedName>
    <definedName name="asdfg" localSheetId="24" hidden="1">{"rtn",#N/A,FALSE,"RTN";"tables",#N/A,FALSE,"RTN";"cf",#N/A,FALSE,"CF";"stats",#N/A,FALSE,"Stats";"prop",#N/A,FALSE,"Prop"}</definedName>
    <definedName name="asdfg" hidden="1">{"rtn",#N/A,FALSE,"RTN";"tables",#N/A,FALSE,"RTN";"cf",#N/A,FALSE,"CF";"stats",#N/A,FALSE,"Stats";"prop",#N/A,FALSE,"Prop"}</definedName>
    <definedName name="asdfhd" localSheetId="23" hidden="1">{#N/A,#N/A,TRUE,"SUMMARY";#N/A,#N/A,TRUE,"NOTES";#N/A,#N/A,TRUE,"EXT-SHOPS";#N/A,#N/A,TRUE,"N-AFF-SHOPS";#N/A,#N/A,TRUE,"LOST-SHOPS"}</definedName>
    <definedName name="asdfhd" localSheetId="18" hidden="1">{#N/A,#N/A,TRUE,"SUMMARY";#N/A,#N/A,TRUE,"NOTES";#N/A,#N/A,TRUE,"EXT-SHOPS";#N/A,#N/A,TRUE,"N-AFF-SHOPS";#N/A,#N/A,TRUE,"LOST-SHOPS"}</definedName>
    <definedName name="asdfhd" localSheetId="24" hidden="1">{#N/A,#N/A,TRUE,"SUMMARY";#N/A,#N/A,TRUE,"NOTES";#N/A,#N/A,TRUE,"EXT-SHOPS";#N/A,#N/A,TRUE,"N-AFF-SHOPS";#N/A,#N/A,TRUE,"LOST-SHOPS"}</definedName>
    <definedName name="asdfhd" hidden="1">{#N/A,#N/A,TRUE,"SUMMARY";#N/A,#N/A,TRUE,"NOTES";#N/A,#N/A,TRUE,"EXT-SHOPS";#N/A,#N/A,TRUE,"N-AFF-SHOPS";#N/A,#N/A,TRUE,"LOST-SHOPS"}</definedName>
    <definedName name="asdfoasjhodf464" localSheetId="23" hidden="1">{"Outflow 1",#N/A,FALSE,"Outflows-Inflows";"Outflow 2",#N/A,FALSE,"Outflows-Inflows";"Inflow 1",#N/A,FALSE,"Outflows-Inflows";"Inflow 2",#N/A,FALSE,"Outflows-Inflows"}</definedName>
    <definedName name="asdfoasjhodf464" localSheetId="18" hidden="1">{"Outflow 1",#N/A,FALSE,"Outflows-Inflows";"Outflow 2",#N/A,FALSE,"Outflows-Inflows";"Inflow 1",#N/A,FALSE,"Outflows-Inflows";"Inflow 2",#N/A,FALSE,"Outflows-Inflows"}</definedName>
    <definedName name="asdfoasjhodf464" localSheetId="24"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3">BlankMacro1</definedName>
    <definedName name="asdgadsg" localSheetId="18">BlankMacro1</definedName>
    <definedName name="asdgadsg" localSheetId="24">BlankMacro1</definedName>
    <definedName name="asdgadsg" localSheetId="1">BlankMacro1</definedName>
    <definedName name="asdgadsg">BlankMacro1</definedName>
    <definedName name="asdgfdsag" localSheetId="23">BlankMacro1</definedName>
    <definedName name="asdgfdsag" localSheetId="18">BlankMacro1</definedName>
    <definedName name="asdgfdsag" localSheetId="24">BlankMacro1</definedName>
    <definedName name="asdgfdsag" localSheetId="1">BlankMacro1</definedName>
    <definedName name="asdgfdsag">BlankMacro1</definedName>
    <definedName name="ass" localSheetId="23" hidden="1">{"print 1.6",#N/A,FALSE,"Sheet1";"print 2.6",#N/A,FALSE,"Sheet1";"print 3.6",#N/A,FALSE,"Sheet1";"print 4.6",#N/A,FALSE,"Sheet1";"print 5.6",#N/A,FALSE,"Sheet1";"print 6.6",#N/A,FALSE,"Sheet1"}</definedName>
    <definedName name="ass" localSheetId="18" hidden="1">{"print 1.6",#N/A,FALSE,"Sheet1";"print 2.6",#N/A,FALSE,"Sheet1";"print 3.6",#N/A,FALSE,"Sheet1";"print 4.6",#N/A,FALSE,"Sheet1";"print 5.6",#N/A,FALSE,"Sheet1";"print 6.6",#N/A,FALSE,"Sheet1"}</definedName>
    <definedName name="ass" localSheetId="24"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3" hidden="1">{"rtn",#N/A,FALSE,"RTN";"tables",#N/A,FALSE,"RTN";"cf",#N/A,FALSE,"CF";"stats",#N/A,FALSE,"Stats";"prop",#N/A,FALSE,"Prop"}</definedName>
    <definedName name="asss" localSheetId="18" hidden="1">{"rtn",#N/A,FALSE,"RTN";"tables",#N/A,FALSE,"RTN";"cf",#N/A,FALSE,"CF";"stats",#N/A,FALSE,"Stats";"prop",#N/A,FALSE,"Prop"}</definedName>
    <definedName name="asss" localSheetId="24" hidden="1">{"rtn",#N/A,FALSE,"RTN";"tables",#N/A,FALSE,"RTN";"cf",#N/A,FALSE,"CF";"stats",#N/A,FALSE,"Stats";"prop",#N/A,FALSE,"Prop"}</definedName>
    <definedName name="asss" hidden="1">{"rtn",#N/A,FALSE,"RTN";"tables",#N/A,FALSE,"RTN";"cf",#N/A,FALSE,"CF";"stats",#N/A,FALSE,"Stats";"prop",#N/A,FALSE,"Prop"}</definedName>
    <definedName name="Assumptions" localSheetId="23" hidden="1">{"Current Draw",#N/A,FALSE,"Sheet1"}</definedName>
    <definedName name="Assumptions" localSheetId="18" hidden="1">{"Current Draw",#N/A,FALSE,"Sheet1"}</definedName>
    <definedName name="Assumptions" localSheetId="24" hidden="1">{"Current Draw",#N/A,FALSE,"Sheet1"}</definedName>
    <definedName name="Assumptions" hidden="1">{"Current Draw",#N/A,FALSE,"Sheet1"}</definedName>
    <definedName name="ASSY" localSheetId="23" hidden="1">{#N/A,#N/A,FALSE,"단축1";#N/A,#N/A,FALSE,"단축2";#N/A,#N/A,FALSE,"단축3";#N/A,#N/A,FALSE,"장축";#N/A,#N/A,FALSE,"4WD"}</definedName>
    <definedName name="ASSY" localSheetId="18" hidden="1">{#N/A,#N/A,FALSE,"단축1";#N/A,#N/A,FALSE,"단축2";#N/A,#N/A,FALSE,"단축3";#N/A,#N/A,FALSE,"장축";#N/A,#N/A,FALSE,"4WD"}</definedName>
    <definedName name="ASSY" localSheetId="24" hidden="1">{#N/A,#N/A,FALSE,"단축1";#N/A,#N/A,FALSE,"단축2";#N/A,#N/A,FALSE,"단축3";#N/A,#N/A,FALSE,"장축";#N/A,#N/A,FALSE,"4WD"}</definedName>
    <definedName name="ASSY" hidden="1">{#N/A,#N/A,FALSE,"단축1";#N/A,#N/A,FALSE,"단축2";#N/A,#N/A,FALSE,"단축3";#N/A,#N/A,FALSE,"장축";#N/A,#N/A,FALSE,"4WD"}</definedName>
    <definedName name="Atlas" localSheetId="23" hidden="1">{#N/A,#N/A,FALSE,"１";#N/A,#N/A,FALSE,"２";#N/A,#N/A,FALSE,"３";#N/A,#N/A,FALSE,"４"}</definedName>
    <definedName name="Atlas" localSheetId="18" hidden="1">{#N/A,#N/A,FALSE,"１";#N/A,#N/A,FALSE,"２";#N/A,#N/A,FALSE,"３";#N/A,#N/A,FALSE,"４"}</definedName>
    <definedName name="Atlas" localSheetId="24" hidden="1">{#N/A,#N/A,FALSE,"１";#N/A,#N/A,FALSE,"２";#N/A,#N/A,FALSE,"３";#N/A,#N/A,FALSE,"４"}</definedName>
    <definedName name="Atlas" hidden="1">{#N/A,#N/A,FALSE,"１";#N/A,#N/A,FALSE,"２";#N/A,#N/A,FALSE,"３";#N/A,#N/A,FALSE,"４"}</definedName>
    <definedName name="attach" localSheetId="23" hidden="1">{"AnnualRentRoll",#N/A,FALSE,"RentRoll"}</definedName>
    <definedName name="attach" localSheetId="18" hidden="1">{"AnnualRentRoll",#N/A,FALSE,"RentRoll"}</definedName>
    <definedName name="attach" localSheetId="24" hidden="1">{"AnnualRentRoll",#N/A,FALSE,"RentRoll"}</definedName>
    <definedName name="attach" hidden="1">{"AnnualRentRoll",#N/A,FALSE,"RentRoll"}</definedName>
    <definedName name="b_1" localSheetId="23" hidden="1">{"MonthlyRentRoll",#N/A,FALSE,"RentRoll"}</definedName>
    <definedName name="b_1" localSheetId="18" hidden="1">{"MonthlyRentRoll",#N/A,FALSE,"RentRoll"}</definedName>
    <definedName name="b_1" localSheetId="24" hidden="1">{"MonthlyRentRoll",#N/A,FALSE,"RentRoll"}</definedName>
    <definedName name="b_1" hidden="1">{"MonthlyRentRoll",#N/A,FALSE,"RentRoll"}</definedName>
    <definedName name="b\" localSheetId="23" hidden="1">{#N/A,#N/A,FALSE,"Summary";#N/A,#N/A,FALSE,"GM Sum";#N/A,#N/A,FALSE,"Ext Shops";#N/A,#N/A,FALSE,"Lost Shops";#N/A,#N/A,FALSE,"Reloc Shops";#N/A,#N/A,FALSE,"Not Affected";#N/A,#N/A,FALSE,"MDbase"}</definedName>
    <definedName name="b\" localSheetId="18" hidden="1">{#N/A,#N/A,FALSE,"Summary";#N/A,#N/A,FALSE,"GM Sum";#N/A,#N/A,FALSE,"Ext Shops";#N/A,#N/A,FALSE,"Lost Shops";#N/A,#N/A,FALSE,"Reloc Shops";#N/A,#N/A,FALSE,"Not Affected";#N/A,#N/A,FALSE,"MDbase"}</definedName>
    <definedName name="b\" localSheetId="24"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3" hidden="1">{#N/A,#N/A,FALSE,"5YRASSPl - consol'd";#N/A,#N/A,FALSE,"5YRASSPl - hotel";#N/A,#N/A,FALSE,"5YRASSPl - excl htl";#N/A,#N/A,FALSE,"VarReport";#N/A,#N/A,FALSE,"Sensitivity";#N/A,#N/A,FALSE,"House View ";#N/A,#N/A,FALSE,"KPI"}</definedName>
    <definedName name="ban" localSheetId="18" hidden="1">{#N/A,#N/A,FALSE,"5YRASSPl - consol'd";#N/A,#N/A,FALSE,"5YRASSPl - hotel";#N/A,#N/A,FALSE,"5YRASSPl - excl htl";#N/A,#N/A,FALSE,"VarReport";#N/A,#N/A,FALSE,"Sensitivity";#N/A,#N/A,FALSE,"House View ";#N/A,#N/A,FALSE,"KPI"}</definedName>
    <definedName name="ban" localSheetId="24"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3" hidden="1">{#N/A,#N/A,FALSE,"Outgoings";#N/A,#N/A,FALSE,"Expenses";#N/A,#N/A,FALSE,"Income(Non Rent)";#N/A,#N/A,FALSE,"Rent-Page2";#N/A,#N/A,FALSE,"Rent-Page1";#N/A,#N/A,FALSE,"Overview-Page2";#N/A,#N/A,FALSE,"Overview-Page1";#N/A,#N/A,FALSE,"Index"}</definedName>
    <definedName name="bbbsf" localSheetId="18" hidden="1">{#N/A,#N/A,FALSE,"Outgoings";#N/A,#N/A,FALSE,"Expenses";#N/A,#N/A,FALSE,"Income(Non Rent)";#N/A,#N/A,FALSE,"Rent-Page2";#N/A,#N/A,FALSE,"Rent-Page1";#N/A,#N/A,FALSE,"Overview-Page2";#N/A,#N/A,FALSE,"Overview-Page1";#N/A,#N/A,FALSE,"Index"}</definedName>
    <definedName name="bbbsf" localSheetId="24"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3" hidden="1">{#N/A,#N/A,FALSE,"이태원철근"}</definedName>
    <definedName name="BC" localSheetId="18" hidden="1">{#N/A,#N/A,FALSE,"이태원철근"}</definedName>
    <definedName name="BC" localSheetId="24" hidden="1">{#N/A,#N/A,FALSE,"이태원철근"}</definedName>
    <definedName name="BC" hidden="1">{#N/A,#N/A,FALSE,"이태원철근"}</definedName>
    <definedName name="bcglappli" localSheetId="23" hidden="1">{#N/A,#N/A,FALSE,"Summary"}</definedName>
    <definedName name="bcglappli" localSheetId="18" hidden="1">{#N/A,#N/A,FALSE,"Summary"}</definedName>
    <definedName name="bcglappli" localSheetId="24" hidden="1">{#N/A,#N/A,FALSE,"Summary"}</definedName>
    <definedName name="bcglappli" hidden="1">{#N/A,#N/A,FALSE,"Summary"}</definedName>
    <definedName name="Beachwood" localSheetId="23" hidden="1">{"p",#N/A,FALSE,"Sheet1";"p 2",#N/A,FALSE,"Sheet1";"p 3",#N/A,FALSE,"Sheet1"}</definedName>
    <definedName name="Beachwood" localSheetId="18" hidden="1">{"p",#N/A,FALSE,"Sheet1";"p 2",#N/A,FALSE,"Sheet1";"p 3",#N/A,FALSE,"Sheet1"}</definedName>
    <definedName name="Beachwood" localSheetId="24" hidden="1">{"p",#N/A,FALSE,"Sheet1";"p 2",#N/A,FALSE,"Sheet1";"p 3",#N/A,FALSE,"Sheet1"}</definedName>
    <definedName name="Beachwood" hidden="1">{"p",#N/A,FALSE,"Sheet1";"p 2",#N/A,FALSE,"Sheet1";"p 3",#N/A,FALSE,"Sheet1"}</definedName>
    <definedName name="Beachwood_1" localSheetId="23" hidden="1">{"p",#N/A,FALSE,"Sheet1";"p 2",#N/A,FALSE,"Sheet1";"p 3",#N/A,FALSE,"Sheet1"}</definedName>
    <definedName name="Beachwood_1" localSheetId="18" hidden="1">{"p",#N/A,FALSE,"Sheet1";"p 2",#N/A,FALSE,"Sheet1";"p 3",#N/A,FALSE,"Sheet1"}</definedName>
    <definedName name="Beachwood_1" localSheetId="24"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3" hidden="1">{#N/A,#N/A,FALSE,"이태원철근"}</definedName>
    <definedName name="BI" localSheetId="18" hidden="1">{#N/A,#N/A,FALSE,"이태원철근"}</definedName>
    <definedName name="BI" localSheetId="24" hidden="1">{#N/A,#N/A,FALSE,"이태원철근"}</definedName>
    <definedName name="BI" hidden="1">{#N/A,#N/A,FALSE,"이태원철근"}</definedName>
    <definedName name="b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3" hidden="1">{#N/A,#N/A,FALSE,"Aging Summary";#N/A,#N/A,FALSE,"Ratio Analysis";#N/A,#N/A,FALSE,"Test 120 Day Accts";#N/A,#N/A,FALSE,"Tickmarks"}</definedName>
    <definedName name="bn" localSheetId="18" hidden="1">{#N/A,#N/A,FALSE,"Aging Summary";#N/A,#N/A,FALSE,"Ratio Analysis";#N/A,#N/A,FALSE,"Test 120 Day Accts";#N/A,#N/A,FALSE,"Tickmarks"}</definedName>
    <definedName name="bn" localSheetId="24" hidden="1">{#N/A,#N/A,FALSE,"Aging Summary";#N/A,#N/A,FALSE,"Ratio Analysis";#N/A,#N/A,FALSE,"Test 120 Day Accts";#N/A,#N/A,FALSE,"Tickmarks"}</definedName>
    <definedName name="bn" hidden="1">{#N/A,#N/A,FALSE,"Aging Summary";#N/A,#N/A,FALSE,"Ratio Analysis";#N/A,#N/A,FALSE,"Test 120 Day Accts";#N/A,#N/A,FALSE,"Tickmarks"}</definedName>
    <definedName name="bnvbcn" localSheetId="23" hidden="1">{#N/A,#N/A,FALSE,"Cover";#N/A,#N/A,FALSE,"Target Vacancies";#N/A,#N/A,FALSE,"Report1";#N/A,#N/A,FALSE,"Report1RGM";#N/A,#N/A,FALSE,"Report6";#N/A,#N/A,FALSE,"Report9";#N/A,#N/A,FALSE,"Report10";#N/A,#N/A,FALSE,"Report11";#N/A,#N/A,FALSE,"Report13";#N/A,#N/A,FALSE,"Report13RGM"}</definedName>
    <definedName name="bnvbcn" localSheetId="18" hidden="1">{#N/A,#N/A,FALSE,"Cover";#N/A,#N/A,FALSE,"Target Vacancies";#N/A,#N/A,FALSE,"Report1";#N/A,#N/A,FALSE,"Report1RGM";#N/A,#N/A,FALSE,"Report6";#N/A,#N/A,FALSE,"Report9";#N/A,#N/A,FALSE,"Report10";#N/A,#N/A,FALSE,"Report11";#N/A,#N/A,FALSE,"Report13";#N/A,#N/A,FALSE,"Report13RGM"}</definedName>
    <definedName name="bnvbcn" localSheetId="24"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3" hidden="1">{#N/A,#N/A,FALSE,"동부"}</definedName>
    <definedName name="BU별" localSheetId="18" hidden="1">{#N/A,#N/A,FALSE,"동부"}</definedName>
    <definedName name="BU별" localSheetId="24" hidden="1">{#N/A,#N/A,FALSE,"동부"}</definedName>
    <definedName name="BU별" hidden="1">{#N/A,#N/A,FALSE,"동부"}</definedName>
    <definedName name="bv" localSheetId="23" hidden="1">{#N/A,#N/A,FALSE,"1.CRITERIA";#N/A,#N/A,FALSE,"2.IS";#N/A,#N/A,FALSE,"3.BS";#N/A,#N/A,FALSE,"4.PER PL";#N/A,#N/A,FALSE,"5.INVESTMENT";#N/A,#N/A,FALSE,"6.공문";#N/A,#N/A,FALSE,"7.netinvest"}</definedName>
    <definedName name="bv" localSheetId="18" hidden="1">{#N/A,#N/A,FALSE,"1.CRITERIA";#N/A,#N/A,FALSE,"2.IS";#N/A,#N/A,FALSE,"3.BS";#N/A,#N/A,FALSE,"4.PER PL";#N/A,#N/A,FALSE,"5.INVESTMENT";#N/A,#N/A,FALSE,"6.공문";#N/A,#N/A,FALSE,"7.netinvest"}</definedName>
    <definedName name="bv" localSheetId="24"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3" hidden="1">{"ELECT JOURNAL 1",#N/A,FALSE,"ELECTRICITY";"ELECT JOURNAL 2",#N/A,FALSE,"ELECTRICITY";"ELECT SCHEDULE",#N/A,FALSE,"ELECTRICITY";"WORKSHEET",#N/A,FALSE,"ELECTRICITY"}</definedName>
    <definedName name="ca" localSheetId="18" hidden="1">{"ELECT JOURNAL 1",#N/A,FALSE,"ELECTRICITY";"ELECT JOURNAL 2",#N/A,FALSE,"ELECTRICITY";"ELECT SCHEDULE",#N/A,FALSE,"ELECTRICITY";"WORKSHEET",#N/A,FALSE,"ELECTRICITY"}</definedName>
    <definedName name="ca" localSheetId="24"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3" hidden="1">{#N/A,#N/A,FALSE,"Overview-Page2";#N/A,#N/A,FALSE,"Overview-Page1"}</definedName>
    <definedName name="cbncccvvn" localSheetId="18" hidden="1">{#N/A,#N/A,FALSE,"Overview-Page2";#N/A,#N/A,FALSE,"Overview-Page1"}</definedName>
    <definedName name="cbncccvvn" localSheetId="24"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3" hidden="1">{"'용역비'!$A$4:$C$8"}</definedName>
    <definedName name="cgmh" localSheetId="18" hidden="1">{"'용역비'!$A$4:$C$8"}</definedName>
    <definedName name="cgmh" localSheetId="24" hidden="1">{"'용역비'!$A$4:$C$8"}</definedName>
    <definedName name="cgmh" hidden="1">{"'용역비'!$A$4:$C$8"}</definedName>
    <definedName name="charlee" localSheetId="23" hidden="1">{#N/A,#N/A,FALSE,"1Executive Summary";#N/A,#N/A,FALSE,"2Assumptions (Input)";#N/A,#N/A,FALSE,"3Cash Flow Analysis";#N/A,#N/A,FALSE,"4Year One Financial Summary";#N/A,#N/A,FALSE,"5Value Matrix";#N/A,#N/A,FALSE,"Greenline Form Page 1";#N/A,#N/A,FALSE,"Greenline Form Page 2"}</definedName>
    <definedName name="charlee" localSheetId="18" hidden="1">{#N/A,#N/A,FALSE,"1Executive Summary";#N/A,#N/A,FALSE,"2Assumptions (Input)";#N/A,#N/A,FALSE,"3Cash Flow Analysis";#N/A,#N/A,FALSE,"4Year One Financial Summary";#N/A,#N/A,FALSE,"5Value Matrix";#N/A,#N/A,FALSE,"Greenline Form Page 1";#N/A,#N/A,FALSE,"Greenline Form Page 2"}</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3" hidden="1">{#N/A,#N/A,FALSE,"1Executive Summary";#N/A,#N/A,FALSE,"2Assumptions (Input)";#N/A,#N/A,FALSE,"3Cash Flow Analysis";#N/A,#N/A,FALSE,"4Year One Financial Summary";#N/A,#N/A,FALSE,"5Value Matrix";#N/A,#N/A,FALSE,"Greenline Form Page 1";#N/A,#N/A,FALSE,"Greenline Form Page 2"}</definedName>
    <definedName name="chuck" localSheetId="18" hidden="1">{#N/A,#N/A,FALSE,"1Executive Summary";#N/A,#N/A,FALSE,"2Assumptions (Input)";#N/A,#N/A,FALSE,"3Cash Flow Analysis";#N/A,#N/A,FALSE,"4Year One Financial Summary";#N/A,#N/A,FALSE,"5Value Matrix";#N/A,#N/A,FALSE,"Greenline Form Page 1";#N/A,#N/A,FALSE,"Greenline Form Page 2"}</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3" hidden="1">{#N/A,#N/A,FALSE,"단축1";#N/A,#N/A,FALSE,"단축2";#N/A,#N/A,FALSE,"단축3";#N/A,#N/A,FALSE,"장축";#N/A,#N/A,FALSE,"4WD"}</definedName>
    <definedName name="ci" localSheetId="18" hidden="1">{#N/A,#N/A,FALSE,"단축1";#N/A,#N/A,FALSE,"단축2";#N/A,#N/A,FALSE,"단축3";#N/A,#N/A,FALSE,"장축";#N/A,#N/A,FALSE,"4WD"}</definedName>
    <definedName name="ci" localSheetId="24"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3" hidden="1">{#N/A,#N/A,FALSE,"Income(Non Rent)"}</definedName>
    <definedName name="cnbujy" localSheetId="18" hidden="1">{#N/A,#N/A,FALSE,"Income(Non Rent)"}</definedName>
    <definedName name="cnbujy" localSheetId="24" hidden="1">{#N/A,#N/A,FALSE,"Income(Non Rent)"}</definedName>
    <definedName name="cnbujy" hidden="1">{#N/A,#N/A,FALSE,"Income(Non Rent)"}</definedName>
    <definedName name="cntksdtj" localSheetId="23" hidden="1">{#N/A,#N/A,FALSE,"견적갑지";#N/A,#N/A,FALSE,"총괄표";#N/A,#N/A,FALSE,"철골공사";#N/A,#N/A,FALSE,"토목공사";#N/A,#N/A,FALSE,"판넬전기공사"}</definedName>
    <definedName name="cntksdtj" localSheetId="18" hidden="1">{#N/A,#N/A,FALSE,"견적갑지";#N/A,#N/A,FALSE,"총괄표";#N/A,#N/A,FALSE,"철골공사";#N/A,#N/A,FALSE,"토목공사";#N/A,#N/A,FALSE,"판넬전기공사"}</definedName>
    <definedName name="cntksdtj" localSheetId="24"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3" hidden="1">{"AnnualRentRoll",#N/A,FALSE,"RentRoll"}</definedName>
    <definedName name="conm" localSheetId="18" hidden="1">{"AnnualRentRoll",#N/A,FALSE,"RentRoll"}</definedName>
    <definedName name="conm" localSheetId="24" hidden="1">{"AnnualRentRoll",#N/A,FALSE,"RentRoll"}</definedName>
    <definedName name="conm" hidden="1">{"AnnualRentRoll",#N/A,FALSE,"RentRoll"}</definedName>
    <definedName name="CONTROL" localSheetId="23" hidden="1">{"'PROFORMA'!$A$1:$H$120"}</definedName>
    <definedName name="CONTROL" localSheetId="18" hidden="1">{"'PROFORMA'!$A$1:$H$120"}</definedName>
    <definedName name="CONTROL" localSheetId="24" hidden="1">{"'PROFORMA'!$A$1:$H$120"}</definedName>
    <definedName name="CONTROL" hidden="1">{"'PROFORMA'!$A$1:$H$120"}</definedName>
    <definedName name="copy" localSheetId="23" hidden="1">{#N/A,#N/A,FALSE,"OperatingAssumptions"}</definedName>
    <definedName name="copy" localSheetId="18" hidden="1">{#N/A,#N/A,FALSE,"OperatingAssumptions"}</definedName>
    <definedName name="copy" localSheetId="24" hidden="1">{#N/A,#N/A,FALSE,"OperatingAssumptions"}</definedName>
    <definedName name="copy" hidden="1">{#N/A,#N/A,FALSE,"OperatingAssumptions"}</definedName>
    <definedName name="Costs" localSheetId="23" hidden="1">{"Current Draw",#N/A,FALSE,"Sheet1"}</definedName>
    <definedName name="Costs" localSheetId="18" hidden="1">{"Current Draw",#N/A,FALSE,"Sheet1"}</definedName>
    <definedName name="Costs" localSheetId="24" hidden="1">{"Current Draw",#N/A,FALSE,"Sheet1"}</definedName>
    <definedName name="Costs" hidden="1">{"Current Draw",#N/A,FALSE,"Sheet1"}</definedName>
    <definedName name="cp" localSheetId="23" hidden="1">{#N/A,#N/A,TRUE,"Capex Summ";#N/A,#N/A,TRUE,"Essential Works.tw";#N/A,#N/A,TRUE,"Desirable Works.tw";#N/A,#N/A,TRUE,"Essential Works.rt";#N/A,#N/A,TRUE,"Desirable Works.rt";#N/A,#N/A,TRUE,"Mthly";#N/A,#N/A,TRUE,"Essential Works.ht";#N/A,#N/A,TRUE,"Desirable Works.ht";#N/A,#N/A,TRUE,"Incentives"}</definedName>
    <definedName name="cp" localSheetId="18" hidden="1">{#N/A,#N/A,TRUE,"Capex Summ";#N/A,#N/A,TRUE,"Essential Works.tw";#N/A,#N/A,TRUE,"Desirable Works.tw";#N/A,#N/A,TRUE,"Essential Works.rt";#N/A,#N/A,TRUE,"Desirable Works.rt";#N/A,#N/A,TRUE,"Mthly";#N/A,#N/A,TRUE,"Essential Works.ht";#N/A,#N/A,TRUE,"Desirable Works.ht";#N/A,#N/A,TRUE,"Incentives"}</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3" hidden="1">{"'7'!$B$15:$D$32"}</definedName>
    <definedName name="cs" localSheetId="18" hidden="1">{"'7'!$B$15:$D$32"}</definedName>
    <definedName name="cs" localSheetId="24" hidden="1">{"'7'!$B$15:$D$32"}</definedName>
    <definedName name="cs" hidden="1">{"'7'!$B$15:$D$32"}</definedName>
    <definedName name="CY2007년" localSheetId="23" hidden="1">{#N/A,#N/A,FALSE,"97년 투자계획 세부내역 "}</definedName>
    <definedName name="CY2007년" localSheetId="18" hidden="1">{#N/A,#N/A,FALSE,"97년 투자계획 세부내역 "}</definedName>
    <definedName name="CY2007년" localSheetId="24" hidden="1">{#N/A,#N/A,FALSE,"97년 투자계획 세부내역 "}</definedName>
    <definedName name="CY2007년" hidden="1">{#N/A,#N/A,FALSE,"97년 투자계획 세부내역 "}</definedName>
    <definedName name="D" localSheetId="23" hidden="1">{#N/A,#N/A,FALSE,"Summary";#N/A,#N/A,FALSE,"GM Sum";#N/A,#N/A,FALSE,"Ext Shops";#N/A,#N/A,FALSE,"Lost Shops";#N/A,#N/A,FALSE,"Reloc Shops";#N/A,#N/A,FALSE,"Not Affected";#N/A,#N/A,FALSE,"MDbase"}</definedName>
    <definedName name="D" localSheetId="18" hidden="1">{#N/A,#N/A,FALSE,"Summary";#N/A,#N/A,FALSE,"GM Sum";#N/A,#N/A,FALSE,"Ext Shops";#N/A,#N/A,FALSE,"Lost Shops";#N/A,#N/A,FALSE,"Reloc Shops";#N/A,#N/A,FALSE,"Not Affected";#N/A,#N/A,FALSE,"MDbase"}</definedName>
    <definedName name="D" localSheetId="24"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3" hidden="1">{#N/A,#N/A,FALSE,"동부"}</definedName>
    <definedName name="DAEWOOINS" localSheetId="18" hidden="1">{#N/A,#N/A,FALSE,"동부"}</definedName>
    <definedName name="DAEWOOINS" localSheetId="24" hidden="1">{#N/A,#N/A,FALSE,"동부"}</definedName>
    <definedName name="DAEWOOINS" hidden="1">{#N/A,#N/A,FALSE,"동부"}</definedName>
    <definedName name="dafs" localSheetId="23" hidden="1">{#N/A,#N/A,FALSE,"Outgoings";#N/A,#N/A,FALSE,"Expenses";#N/A,#N/A,FALSE,"Income(Non Rent)";#N/A,#N/A,FALSE,"Rent";#N/A,#N/A,FALSE,"Profit";#N/A,#N/A,FALSE,"Overview-Page2";#N/A,#N/A,FALSE,"Overview-Page1";#N/A,#N/A,FALSE,"Index"}</definedName>
    <definedName name="dafs" localSheetId="18" hidden="1">{#N/A,#N/A,FALSE,"Outgoings";#N/A,#N/A,FALSE,"Expenses";#N/A,#N/A,FALSE,"Income(Non Rent)";#N/A,#N/A,FALSE,"Rent";#N/A,#N/A,FALSE,"Profit";#N/A,#N/A,FALSE,"Overview-Page2";#N/A,#N/A,FALSE,"Overview-Page1";#N/A,#N/A,FALSE,"Index"}</definedName>
    <definedName name="dafs" localSheetId="24"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3">BlankMacro1</definedName>
    <definedName name="dafsd" localSheetId="18">BlankMacro1</definedName>
    <definedName name="dafsd" localSheetId="24">BlankMacro1</definedName>
    <definedName name="dafsd" localSheetId="1">BlankMacro1</definedName>
    <definedName name="dafsd">BlankMacro1</definedName>
    <definedName name="dasdf" localSheetId="23" hidden="1">{#N/A,#N/A,FALSE,"이력서&amp;자기소개서"}</definedName>
    <definedName name="dasdf" localSheetId="18" hidden="1">{#N/A,#N/A,FALSE,"이력서&amp;자기소개서"}</definedName>
    <definedName name="dasdf" localSheetId="24" hidden="1">{#N/A,#N/A,FALSE,"이력서&amp;자기소개서"}</definedName>
    <definedName name="dasdf" hidden="1">{#N/A,#N/A,FALSE,"이력서&amp;자기소개서"}</definedName>
    <definedName name="dddd" localSheetId="23" hidden="1">{#N/A,#N/A,FALSE,"BS";#N/A,#N/A,FALSE,"PL";#N/A,#N/A,FALSE,"A";#N/A,#N/A,FALSE,"B";#N/A,#N/A,FALSE,"B1";#N/A,#N/A,FALSE,"C";#N/A,#N/A,FALSE,"C1";#N/A,#N/A,FALSE,"C2";#N/A,#N/A,FALSE,"D";#N/A,#N/A,FALSE,"E";#N/A,#N/A,FALSE,"F";#N/A,#N/A,FALSE,"AA";#N/A,#N/A,FALSE,"BB";#N/A,#N/A,FALSE,"CC";#N/A,#N/A,FALSE,"DD";#N/A,#N/A,FALSE,"EE";#N/A,#N/A,FALSE,"FF";#N/A,#N/A,FALSE,"PL10";#N/A,#N/A,FALSE,"PL20";#N/A,#N/A,FALSE,"PL30"}</definedName>
    <definedName name="dddd" localSheetId="18" hidden="1">{#N/A,#N/A,FALSE,"BS";#N/A,#N/A,FALSE,"PL";#N/A,#N/A,FALSE,"A";#N/A,#N/A,FALSE,"B";#N/A,#N/A,FALSE,"B1";#N/A,#N/A,FALSE,"C";#N/A,#N/A,FALSE,"C1";#N/A,#N/A,FALSE,"C2";#N/A,#N/A,FALSE,"D";#N/A,#N/A,FALSE,"E";#N/A,#N/A,FALSE,"F";#N/A,#N/A,FALSE,"AA";#N/A,#N/A,FALSE,"BB";#N/A,#N/A,FALSE,"CC";#N/A,#N/A,FALSE,"DD";#N/A,#N/A,FALSE,"EE";#N/A,#N/A,FALSE,"FF";#N/A,#N/A,FALSE,"PL10";#N/A,#N/A,FALSE,"PL20";#N/A,#N/A,FALSE,"PL30"}</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3" hidden="1">{#N/A,#N/A,FALSE,"BS";#N/A,#N/A,FALSE,"PL";#N/A,#N/A,FALSE,"A";#N/A,#N/A,FALSE,"B";#N/A,#N/A,FALSE,"B1";#N/A,#N/A,FALSE,"C";#N/A,#N/A,FALSE,"C1";#N/A,#N/A,FALSE,"C2";#N/A,#N/A,FALSE,"D";#N/A,#N/A,FALSE,"E";#N/A,#N/A,FALSE,"F";#N/A,#N/A,FALSE,"AA";#N/A,#N/A,FALSE,"BB";#N/A,#N/A,FALSE,"CC";#N/A,#N/A,FALSE,"DD";#N/A,#N/A,FALSE,"EE";#N/A,#N/A,FALSE,"FF";#N/A,#N/A,FALSE,"PL10";#N/A,#N/A,FALSE,"PL20";#N/A,#N/A,FALSE,"PL30"}</definedName>
    <definedName name="dddd_1" localSheetId="18"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3" hidden="1">{#N/A,#N/A,FALSE,"CAPREIT"}</definedName>
    <definedName name="dddddd" localSheetId="18" hidden="1">{#N/A,#N/A,FALSE,"CAPREIT"}</definedName>
    <definedName name="dddddd" localSheetId="24" hidden="1">{#N/A,#N/A,FALSE,"CAPREIT"}</definedName>
    <definedName name="dddddd" hidden="1">{#N/A,#N/A,FALSE,"CAPREIT"}</definedName>
    <definedName name="ddddddd" localSheetId="23" hidden="1">{#N/A,#N/A,FALSE,"CAPREIT"}</definedName>
    <definedName name="ddddddd" localSheetId="18" hidden="1">{#N/A,#N/A,FALSE,"CAPREIT"}</definedName>
    <definedName name="ddddddd" localSheetId="24" hidden="1">{#N/A,#N/A,FALSE,"CAPREIT"}</definedName>
    <definedName name="ddddddd" hidden="1">{#N/A,#N/A,FALSE,"CAPREIT"}</definedName>
    <definedName name="DDDDDDDDDD" localSheetId="23" hidden="1">{#N/A,#N/A,TRUE,"Y생산";#N/A,#N/A,TRUE,"Y판매";#N/A,#N/A,TRUE,"Y총물량";#N/A,#N/A,TRUE,"Y능력";#N/A,#N/A,TRUE,"YKD"}</definedName>
    <definedName name="DDDDDDDDDD" localSheetId="18" hidden="1">{#N/A,#N/A,TRUE,"Y생산";#N/A,#N/A,TRUE,"Y판매";#N/A,#N/A,TRUE,"Y총물량";#N/A,#N/A,TRUE,"Y능력";#N/A,#N/A,TRUE,"YKD"}</definedName>
    <definedName name="DDDDDDDDDD" localSheetId="24" hidden="1">{#N/A,#N/A,TRUE,"Y생산";#N/A,#N/A,TRUE,"Y판매";#N/A,#N/A,TRUE,"Y총물량";#N/A,#N/A,TRUE,"Y능력";#N/A,#N/A,TRUE,"YKD"}</definedName>
    <definedName name="DDDDDDDDDD" hidden="1">{#N/A,#N/A,TRUE,"Y생산";#N/A,#N/A,TRUE,"Y판매";#N/A,#N/A,TRUE,"Y총물량";#N/A,#N/A,TRUE,"Y능력";#N/A,#N/A,TRUE,"YKD"}</definedName>
    <definedName name="DDDDDDDDDD_1" localSheetId="23" hidden="1">{#N/A,#N/A,TRUE,"Y생산";#N/A,#N/A,TRUE,"Y판매";#N/A,#N/A,TRUE,"Y총물량";#N/A,#N/A,TRUE,"Y능력";#N/A,#N/A,TRUE,"YKD"}</definedName>
    <definedName name="DDDDDDDDDD_1" localSheetId="18" hidden="1">{#N/A,#N/A,TRUE,"Y생산";#N/A,#N/A,TRUE,"Y판매";#N/A,#N/A,TRUE,"Y총물량";#N/A,#N/A,TRUE,"Y능력";#N/A,#N/A,TRUE,"YKD"}</definedName>
    <definedName name="DDDDDDDDDD_1" localSheetId="24"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3" hidden="1">{"CF",#N/A,FALSE,"Cash Flow";"RET",#N/A,FALSE,"Returns";"NPV",#N/A,FALSE,"Values";"ASMPT",#N/A,FALSE,"Assumptions"}</definedName>
    <definedName name="ddwaterfall" localSheetId="18" hidden="1">{"CF",#N/A,FALSE,"Cash Flow";"RET",#N/A,FALSE,"Returns";"NPV",#N/A,FALSE,"Values";"ASMPT",#N/A,FALSE,"Assumptions"}</definedName>
    <definedName name="ddwaterfall" localSheetId="24" hidden="1">{"CF",#N/A,FALSE,"Cash Flow";"RET",#N/A,FALSE,"Returns";"NPV",#N/A,FALSE,"Values";"ASMPT",#N/A,FALSE,"Assumptions"}</definedName>
    <definedName name="ddwaterfall" hidden="1">{"CF",#N/A,FALSE,"Cash Flow";"RET",#N/A,FALSE,"Returns";"NPV",#N/A,FALSE,"Values";"ASMPT",#N/A,FALSE,"Assumptions"}</definedName>
    <definedName name="DF" localSheetId="23" hidden="1">{#N/A,#N/A,FALSE,"Aging Summary";#N/A,#N/A,FALSE,"Ratio Analysis";#N/A,#N/A,FALSE,"Test 120 Day Accts";#N/A,#N/A,FALSE,"Tickmarks"}</definedName>
    <definedName name="DF" localSheetId="18" hidden="1">{#N/A,#N/A,FALSE,"Aging Summary";#N/A,#N/A,FALSE,"Ratio Analysis";#N/A,#N/A,FALSE,"Test 120 Day Accts";#N/A,#N/A,FALSE,"Tickmarks"}</definedName>
    <definedName name="DF" localSheetId="24" hidden="1">{#N/A,#N/A,FALSE,"Aging Summary";#N/A,#N/A,FALSE,"Ratio Analysis";#N/A,#N/A,FALSE,"Test 120 Day Accts";#N/A,#N/A,FALSE,"Tickmarks"}</definedName>
    <definedName name="DF" hidden="1">{#N/A,#N/A,FALSE,"Aging Summary";#N/A,#N/A,FALSE,"Ratio Analysis";#N/A,#N/A,FALSE,"Test 120 Day Accts";#N/A,#N/A,FALSE,"Tickmarks"}</definedName>
    <definedName name="DFASDFDS"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3" hidden="1">{"Stab",#N/A,FALSE,"stab";"stabpm",#N/A,FALSE,"stabpm"}</definedName>
    <definedName name="dfasfsd" localSheetId="18" hidden="1">{"Stab",#N/A,FALSE,"stab";"stabpm",#N/A,FALSE,"stabpm"}</definedName>
    <definedName name="dfasfsd" localSheetId="24" hidden="1">{"Stab",#N/A,FALSE,"stab";"stabpm",#N/A,FALSE,"stabpm"}</definedName>
    <definedName name="dfasfsd" hidden="1">{"Stab",#N/A,FALSE,"stab";"stabpm",#N/A,FALSE,"stabpm"}</definedName>
    <definedName name="DFDF" localSheetId="23" hidden="1">{#N/A,#N/A,FALSE,"Aging Summary";#N/A,#N/A,FALSE,"Ratio Analysis";#N/A,#N/A,FALSE,"Test 120 Day Accts";#N/A,#N/A,FALSE,"Tickmarks"}</definedName>
    <definedName name="DFDF" localSheetId="18" hidden="1">{#N/A,#N/A,FALSE,"Aging Summary";#N/A,#N/A,FALSE,"Ratio Analysis";#N/A,#N/A,FALSE,"Test 120 Day Accts";#N/A,#N/A,FALSE,"Tickmarks"}</definedName>
    <definedName name="DFDF" localSheetId="24" hidden="1">{#N/A,#N/A,FALSE,"Aging Summary";#N/A,#N/A,FALSE,"Ratio Analysis";#N/A,#N/A,FALSE,"Test 120 Day Accts";#N/A,#N/A,FALSE,"Tickmarks"}</definedName>
    <definedName name="DFDF" hidden="1">{#N/A,#N/A,FALSE,"Aging Summary";#N/A,#N/A,FALSE,"Ratio Analysis";#N/A,#N/A,FALSE,"Test 120 Day Accts";#N/A,#N/A,FALSE,"Tickmarks"}</definedName>
    <definedName name="df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3" hidden="1">{"'Firr(선)'!$AS$1:$AY$62","'Firr(사)'!$AS$1:$AY$62","'Firr(회)'!$AS$1:$AY$62","'Firr(선)'!$L$1:$V$62","'Firr(사)'!$L$1:$V$62","'Firr(회)'!$L$1:$V$62"}</definedName>
    <definedName name="DFF" localSheetId="18" hidden="1">{"'Firr(선)'!$AS$1:$AY$62","'Firr(사)'!$AS$1:$AY$62","'Firr(회)'!$AS$1:$AY$62","'Firr(선)'!$L$1:$V$62","'Firr(사)'!$L$1:$V$62","'Firr(회)'!$L$1:$V$62"}</definedName>
    <definedName name="DFF" localSheetId="24" hidden="1">{"'Firr(선)'!$AS$1:$AY$62","'Firr(사)'!$AS$1:$AY$62","'Firr(회)'!$AS$1:$AY$62","'Firr(선)'!$L$1:$V$62","'Firr(사)'!$L$1:$V$62","'Firr(회)'!$L$1:$V$62"}</definedName>
    <definedName name="DFF" hidden="1">{"'Firr(선)'!$AS$1:$AY$62","'Firr(사)'!$AS$1:$AY$62","'Firr(회)'!$AS$1:$AY$62","'Firr(선)'!$L$1:$V$62","'Firr(사)'!$L$1:$V$62","'Firr(회)'!$L$1:$V$62"}</definedName>
    <definedName name="dfhrtrt" localSheetId="23" hidden="1">{"State",#N/A,FALSE,"state";"Trust",#N/A,FALSE,"trust";"Alpha",#N/A,FALSE,"alpha";"RGM",#N/A,FALSE,"rgm";"Stab",#N/A,FALSE,"stab"}</definedName>
    <definedName name="dfhrtrt" localSheetId="18" hidden="1">{"State",#N/A,FALSE,"state";"Trust",#N/A,FALSE,"trust";"Alpha",#N/A,FALSE,"alpha";"RGM",#N/A,FALSE,"rgm";"Stab",#N/A,FALSE,"stab"}</definedName>
    <definedName name="dfhrtrt" localSheetId="24" hidden="1">{"State",#N/A,FALSE,"state";"Trust",#N/A,FALSE,"trust";"Alpha",#N/A,FALSE,"alpha";"RGM",#N/A,FALSE,"rgm";"Stab",#N/A,FALSE,"stab"}</definedName>
    <definedName name="dfhrtrt" hidden="1">{"State",#N/A,FALSE,"state";"Trust",#N/A,FALSE,"trust";"Alpha",#N/A,FALSE,"alpha";"RGM",#N/A,FALSE,"rgm";"Stab",#N/A,FALSE,"stab"}</definedName>
    <definedName name="dfjkls" localSheetId="23" hidden="1">{"AnnualRentRoll",#N/A,FALSE,"RentRoll"}</definedName>
    <definedName name="dfjkls" localSheetId="18" hidden="1">{"AnnualRentRoll",#N/A,FALSE,"RentRoll"}</definedName>
    <definedName name="dfjkls" localSheetId="24" hidden="1">{"AnnualRentRoll",#N/A,FALSE,"RentRoll"}</definedName>
    <definedName name="dfjkls" hidden="1">{"AnnualRentRoll",#N/A,FALSE,"RentRoll"}</definedName>
    <definedName name="dfjr" localSheetId="23" hidden="1">{#N/A,#N/A,TRUE,"Summary";"AnnualRentRoll",#N/A,TRUE,"RentRoll";#N/A,#N/A,TRUE,"ExitStratigy";#N/A,#N/A,TRUE,"OperatingAssumptions"}</definedName>
    <definedName name="dfjr" localSheetId="18" hidden="1">{#N/A,#N/A,TRUE,"Summary";"AnnualRentRoll",#N/A,TRUE,"RentRoll";#N/A,#N/A,TRUE,"ExitStratigy";#N/A,#N/A,TRUE,"OperatingAssumptions"}</definedName>
    <definedName name="dfjr" localSheetId="24" hidden="1">{#N/A,#N/A,TRUE,"Summary";"AnnualRentRoll",#N/A,TRUE,"RentRoll";#N/A,#N/A,TRUE,"ExitStratigy";#N/A,#N/A,TRUE,"OperatingAssumptions"}</definedName>
    <definedName name="dfjr" hidden="1">{#N/A,#N/A,TRUE,"Summary";"AnnualRentRoll",#N/A,TRUE,"RentRoll";#N/A,#N/A,TRUE,"ExitStratigy";#N/A,#N/A,TRUE,"OperatingAssumptions"}</definedName>
    <definedName name="DFL" localSheetId="23" hidden="1">{#N/A,#N/A,TRUE,"Capex Summ";#N/A,#N/A,TRUE,"Essential Works.tw";#N/A,#N/A,TRUE,"Desirable Works.tw";#N/A,#N/A,TRUE,"Essential Works.rt";#N/A,#N/A,TRUE,"Desirable Works.rt";#N/A,#N/A,TRUE,"Mthly";#N/A,#N/A,TRUE,"Essential Works.ht";#N/A,#N/A,TRUE,"Desirable Works.ht";#N/A,#N/A,TRUE,"Incentives"}</definedName>
    <definedName name="DFL" localSheetId="18" hidden="1">{#N/A,#N/A,TRUE,"Capex Summ";#N/A,#N/A,TRUE,"Essential Works.tw";#N/A,#N/A,TRUE,"Desirable Works.tw";#N/A,#N/A,TRUE,"Essential Works.rt";#N/A,#N/A,TRUE,"Desirable Works.rt";#N/A,#N/A,TRUE,"Mthly";#N/A,#N/A,TRUE,"Essential Works.ht";#N/A,#N/A,TRUE,"Desirable Works.ht";#N/A,#N/A,TRUE,"Incentives"}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3" hidden="1">{"MonthlyRentRoll",#N/A,FALSE,"RentRoll"}</definedName>
    <definedName name="dfsru" localSheetId="18" hidden="1">{"MonthlyRentRoll",#N/A,FALSE,"RentRoll"}</definedName>
    <definedName name="dfsru" localSheetId="24" hidden="1">{"MonthlyRentRoll",#N/A,FALSE,"RentRoll"}</definedName>
    <definedName name="dfsru" hidden="1">{"MonthlyRentRoll",#N/A,FALSE,"RentRoll"}</definedName>
    <definedName name="DFS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3" hidden="1">{"RetSum1",#N/A,FALSE,"Returns Summary";"RetSum2",#N/A,FALSE,"Returns Summary"}</definedName>
    <definedName name="dgf" localSheetId="18" hidden="1">{"RetSum1",#N/A,FALSE,"Returns Summary";"RetSum2",#N/A,FALSE,"Returns Summary"}</definedName>
    <definedName name="dgf" localSheetId="24" hidden="1">{"RetSum1",#N/A,FALSE,"Returns Summary";"RetSum2",#N/A,FALSE,"Returns Summary"}</definedName>
    <definedName name="dgf" hidden="1">{"RetSum1",#N/A,FALSE,"Returns Summary";"RetSum2",#N/A,FALSE,"Returns Summary"}</definedName>
    <definedName name="dhg" localSheetId="23" hidden="1">{#N/A,#N/A,FALSE,"Data Input";#N/A,#N/A,FALSE,"1. Income";#N/A,#N/A,FALSE,"2. Rates &amp; Taxes";#N/A,#N/A,FALSE,"3. Extended Trade";#N/A,#N/A,FALSE,"4. Non Recoverable Expenses";#N/A,#N/A,FALSE,"5. Recoverable Expenses";#N/A,#N/A,FALSE,"6. Cleaning"}</definedName>
    <definedName name="dhg" localSheetId="18" hidden="1">{#N/A,#N/A,FALSE,"Data Input";#N/A,#N/A,FALSE,"1. Income";#N/A,#N/A,FALSE,"2. Rates &amp; Taxes";#N/A,#N/A,FALSE,"3. Extended Trade";#N/A,#N/A,FALSE,"4. Non Recoverable Expenses";#N/A,#N/A,FALSE,"5. Recoverable Expenses";#N/A,#N/A,FALSE,"6. Cleaning"}</definedName>
    <definedName name="dhg" localSheetId="24"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3" hidden="1">{"'용역비'!$A$4:$C$8"}</definedName>
    <definedName name="dhj" localSheetId="18" hidden="1">{"'용역비'!$A$4:$C$8"}</definedName>
    <definedName name="dhj" localSheetId="24" hidden="1">{"'용역비'!$A$4:$C$8"}</definedName>
    <definedName name="dhj" hidden="1">{"'용역비'!$A$4:$C$8"}</definedName>
    <definedName name="DIV" localSheetId="23" hidden="1">{#N/A,#N/A,FALSE,"97년 투자계획 세부내역 "}</definedName>
    <definedName name="DIV" localSheetId="18" hidden="1">{#N/A,#N/A,FALSE,"97년 투자계획 세부내역 "}</definedName>
    <definedName name="DIV" localSheetId="24" hidden="1">{#N/A,#N/A,FALSE,"97년 투자계획 세부내역 "}</definedName>
    <definedName name="DIV" hidden="1">{#N/A,#N/A,FALSE,"97년 투자계획 세부내역 "}</definedName>
    <definedName name="DJQAN" localSheetId="23" hidden="1">{#N/A,#N/A,TRUE,"대 차 대 조 표"}</definedName>
    <definedName name="DJQAN" localSheetId="18" hidden="1">{#N/A,#N/A,TRUE,"대 차 대 조 표"}</definedName>
    <definedName name="DJQAN" localSheetId="24" hidden="1">{#N/A,#N/A,TRUE,"대 차 대 조 표"}</definedName>
    <definedName name="DJQAN" hidden="1">{#N/A,#N/A,TRUE,"대 차 대 조 표"}</definedName>
    <definedName name="DJQAN_1" localSheetId="23" hidden="1">{#N/A,#N/A,TRUE,"대 차 대 조 표"}</definedName>
    <definedName name="DJQAN_1" localSheetId="18" hidden="1">{#N/A,#N/A,TRUE,"대 차 대 조 표"}</definedName>
    <definedName name="DJQAN_1" localSheetId="24" hidden="1">{#N/A,#N/A,TRUE,"대 차 대 조 표"}</definedName>
    <definedName name="DJQAN_1" hidden="1">{#N/A,#N/A,TRUE,"대 차 대 조 표"}</definedName>
    <definedName name="djrt" localSheetId="23" hidden="1">{#N/A,#N/A,FALSE,"Data Input";#N/A,#N/A,FALSE,"1. Income";#N/A,#N/A,FALSE,"2. Rates &amp; Taxes";#N/A,#N/A,FALSE,"3. Extended Trade";#N/A,#N/A,FALSE,"4. Non Recoverable Expenses";#N/A,#N/A,FALSE,"5. Recoverable Expenses";#N/A,#N/A,FALSE,"6. Cleaning"}</definedName>
    <definedName name="djrt" localSheetId="18" hidden="1">{#N/A,#N/A,FALSE,"Data Input";#N/A,#N/A,FALSE,"1. Income";#N/A,#N/A,FALSE,"2. Rates &amp; Taxes";#N/A,#N/A,FALSE,"3. Extended Trade";#N/A,#N/A,FALSE,"4. Non Recoverable Expenses";#N/A,#N/A,FALSE,"5. Recoverable Expenses";#N/A,#N/A,FALSE,"6. Cleaning"}</definedName>
    <definedName name="djrt" localSheetId="24"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3" hidden="1">{#N/A,#N/A,FALSE,"1.CRITERIA";#N/A,#N/A,FALSE,"2.IS";#N/A,#N/A,FALSE,"3.BS";#N/A,#N/A,FALSE,"4.PER PL";#N/A,#N/A,FALSE,"5.INVESTMENT";#N/A,#N/A,FALSE,"6.공문";#N/A,#N/A,FALSE,"7.netinvest"}</definedName>
    <definedName name="dkd" localSheetId="18" hidden="1">{#N/A,#N/A,FALSE,"1.CRITERIA";#N/A,#N/A,FALSE,"2.IS";#N/A,#N/A,FALSE,"3.BS";#N/A,#N/A,FALSE,"4.PER PL";#N/A,#N/A,FALSE,"5.INVESTMENT";#N/A,#N/A,FALSE,"6.공문";#N/A,#N/A,FALSE,"7.netinvest"}</definedName>
    <definedName name="dkd" localSheetId="24"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3" hidden="1">{#N/A,#N/A,FALSE,"BS";#N/A,#N/A,FALSE,"PL";#N/A,#N/A,FALSE,"A";#N/A,#N/A,FALSE,"B";#N/A,#N/A,FALSE,"B1";#N/A,#N/A,FALSE,"C";#N/A,#N/A,FALSE,"C1";#N/A,#N/A,FALSE,"C2";#N/A,#N/A,FALSE,"D";#N/A,#N/A,FALSE,"E";#N/A,#N/A,FALSE,"F";#N/A,#N/A,FALSE,"AA";#N/A,#N/A,FALSE,"BB";#N/A,#N/A,FALSE,"CC";#N/A,#N/A,FALSE,"DD";#N/A,#N/A,FALSE,"EE";#N/A,#N/A,FALSE,"FF";#N/A,#N/A,FALSE,"PL10";#N/A,#N/A,FALSE,"PL20";#N/A,#N/A,FALSE,"PL30"}</definedName>
    <definedName name="dkdhdk" localSheetId="18" hidden="1">{#N/A,#N/A,FALSE,"BS";#N/A,#N/A,FALSE,"PL";#N/A,#N/A,FALSE,"A";#N/A,#N/A,FALSE,"B";#N/A,#N/A,FALSE,"B1";#N/A,#N/A,FALSE,"C";#N/A,#N/A,FALSE,"C1";#N/A,#N/A,FALSE,"C2";#N/A,#N/A,FALSE,"D";#N/A,#N/A,FALSE,"E";#N/A,#N/A,FALSE,"F";#N/A,#N/A,FALSE,"AA";#N/A,#N/A,FALSE,"BB";#N/A,#N/A,FALSE,"CC";#N/A,#N/A,FALSE,"DD";#N/A,#N/A,FALSE,"EE";#N/A,#N/A,FALSE,"FF";#N/A,#N/A,FALSE,"PL10";#N/A,#N/A,FALSE,"PL20";#N/A,#N/A,FALSE,"PL30"}</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3" hidden="1">{#N/A,#N/A,FALSE,"BS";#N/A,#N/A,FALSE,"PL";#N/A,#N/A,FALSE,"처분";#N/A,#N/A,FALSE,"현금";#N/A,#N/A,FALSE,"매출";#N/A,#N/A,FALSE,"원가";#N/A,#N/A,FALSE,"경영"}</definedName>
    <definedName name="dkdjd" localSheetId="18" hidden="1">{#N/A,#N/A,FALSE,"BS";#N/A,#N/A,FALSE,"PL";#N/A,#N/A,FALSE,"처분";#N/A,#N/A,FALSE,"현금";#N/A,#N/A,FALSE,"매출";#N/A,#N/A,FALSE,"원가";#N/A,#N/A,FALSE,"경영"}</definedName>
    <definedName name="dkdjd" localSheetId="24"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3" hidden="1">{"'미착금액'!$A$4:$G$14"}</definedName>
    <definedName name="dkdk" localSheetId="18" hidden="1">{"'미착금액'!$A$4:$G$14"}</definedName>
    <definedName name="dkdk" localSheetId="24" hidden="1">{"'미착금액'!$A$4:$G$14"}</definedName>
    <definedName name="dkdk" hidden="1">{"'미착금액'!$A$4:$G$14"}</definedName>
    <definedName name="dkemf" localSheetId="23" hidden="1">{"'7'!$B$15:$D$32"}</definedName>
    <definedName name="dkemf" localSheetId="18" hidden="1">{"'7'!$B$15:$D$32"}</definedName>
    <definedName name="dkemf" localSheetId="24" hidden="1">{"'7'!$B$15:$D$32"}</definedName>
    <definedName name="dkemf" hidden="1">{"'7'!$B$15:$D$32"}</definedName>
    <definedName name="DKJLF" localSheetId="23" hidden="1">{#N/A,#N/A,TRUE,"일정"}</definedName>
    <definedName name="DKJLF" localSheetId="18" hidden="1">{#N/A,#N/A,TRUE,"일정"}</definedName>
    <definedName name="DKJLF" localSheetId="24" hidden="1">{#N/A,#N/A,TRUE,"일정"}</definedName>
    <definedName name="DKJLF" hidden="1">{#N/A,#N/A,TRUE,"일정"}</definedName>
    <definedName name="dkskslfjklsd" localSheetId="23" hidden="1">{#N/A,#N/A,FALSE,"1.CRITERIA";#N/A,#N/A,FALSE,"2.IS";#N/A,#N/A,FALSE,"3.BS";#N/A,#N/A,FALSE,"4.PER PL";#N/A,#N/A,FALSE,"5.INVESTMENT";#N/A,#N/A,FALSE,"6.공문";#N/A,#N/A,FALSE,"7.netinvest"}</definedName>
    <definedName name="dkskslfjklsd" localSheetId="18" hidden="1">{#N/A,#N/A,FALSE,"1.CRITERIA";#N/A,#N/A,FALSE,"2.IS";#N/A,#N/A,FALSE,"3.BS";#N/A,#N/A,FALSE,"4.PER PL";#N/A,#N/A,FALSE,"5.INVESTMENT";#N/A,#N/A,FALSE,"6.공문";#N/A,#N/A,FALSE,"7.netinvest"}</definedName>
    <definedName name="dkskslfjklsd" localSheetId="24"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3" hidden="1">{#N/A,#N/A,FALSE,"이력서&amp;자기소개서"}</definedName>
    <definedName name="dlfma" localSheetId="18" hidden="1">{#N/A,#N/A,FALSE,"이력서&amp;자기소개서"}</definedName>
    <definedName name="dlfma" localSheetId="24" hidden="1">{#N/A,#N/A,FALSE,"이력서&amp;자기소개서"}</definedName>
    <definedName name="dlfma" hidden="1">{#N/A,#N/A,FALSE,"이력서&amp;자기소개서"}</definedName>
    <definedName name="dlkfajldjf" localSheetId="23" hidden="1">{#N/A,#N/A,FALSE,"지침";#N/A,#N/A,FALSE,"환경분석";#N/A,#N/A,FALSE,"Sheet16"}</definedName>
    <definedName name="dlkfajldjf" localSheetId="18" hidden="1">{#N/A,#N/A,FALSE,"지침";#N/A,#N/A,FALSE,"환경분석";#N/A,#N/A,FALSE,"Sheet16"}</definedName>
    <definedName name="dlkfajldjf" localSheetId="24" hidden="1">{#N/A,#N/A,FALSE,"지침";#N/A,#N/A,FALSE,"환경분석";#N/A,#N/A,FALSE,"Sheet16"}</definedName>
    <definedName name="dlkfajldjf" hidden="1">{#N/A,#N/A,FALSE,"지침";#N/A,#N/A,FALSE,"환경분석";#N/A,#N/A,FALSE,"Sheet16"}</definedName>
    <definedName name="DNFL" localSheetId="23" hidden="1">{#N/A,#N/A,FALSE,"동부"}</definedName>
    <definedName name="DNFL" localSheetId="18" hidden="1">{#N/A,#N/A,FALSE,"동부"}</definedName>
    <definedName name="DNFL" localSheetId="24" hidden="1">{#N/A,#N/A,FALSE,"동부"}</definedName>
    <definedName name="DNFL" hidden="1">{#N/A,#N/A,FALSE,"동부"}</definedName>
    <definedName name="DPFLSDPFL"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3" hidden="1">{#N/A,#N/A,FALSE,"이력서&amp;자기소개서"}</definedName>
    <definedName name="dsafdadsfadsfa" localSheetId="18" hidden="1">{#N/A,#N/A,FALSE,"이력서&amp;자기소개서"}</definedName>
    <definedName name="dsafdadsfadsfa" localSheetId="24" hidden="1">{#N/A,#N/A,FALSE,"이력서&amp;자기소개서"}</definedName>
    <definedName name="dsafdadsfadsfa" hidden="1">{#N/A,#N/A,FALSE,"이력서&amp;자기소개서"}</definedName>
    <definedName name="dsd" localSheetId="23" hidden="1">{"Actual",#N/A,FALSE,"(価格)";"Market",#N/A,FALSE,"(価格)";"Plan",#N/A,FALSE,"(価格)"}</definedName>
    <definedName name="dsd" localSheetId="18" hidden="1">{"Actual",#N/A,FALSE,"(価格)";"Market",#N/A,FALSE,"(価格)";"Plan",#N/A,FALSE,"(価格)"}</definedName>
    <definedName name="dsd" localSheetId="24" hidden="1">{"Actual",#N/A,FALSE,"(価格)";"Market",#N/A,FALSE,"(価格)";"Plan",#N/A,FALSE,"(価格)"}</definedName>
    <definedName name="dsd" hidden="1">{"Actual",#N/A,FALSE,"(価格)";"Market",#N/A,FALSE,"(価格)";"Plan",#N/A,FALSE,"(価格)"}</definedName>
    <definedName name="dsfkljsd" localSheetId="23" hidden="1">{#N/A,#N/A,TRUE,"Capex Summ";#N/A,#N/A,TRUE,"Essential Works.tw";#N/A,#N/A,TRUE,"Desirable Works.tw";#N/A,#N/A,TRUE,"Essential Works.rt";#N/A,#N/A,TRUE,"Desirable Works.rt";#N/A,#N/A,TRUE,"Mthly";#N/A,#N/A,TRUE,"Essential Works.ht";#N/A,#N/A,TRUE,"Desirable Works.ht";#N/A,#N/A,TRUE,"Incentives"}</definedName>
    <definedName name="dsfkljsd" localSheetId="18" hidden="1">{#N/A,#N/A,TRUE,"Capex Summ";#N/A,#N/A,TRUE,"Essential Works.tw";#N/A,#N/A,TRUE,"Desirable Works.tw";#N/A,#N/A,TRUE,"Essential Works.rt";#N/A,#N/A,TRUE,"Desirable Works.rt";#N/A,#N/A,TRUE,"Mthly";#N/A,#N/A,TRUE,"Essential Works.ht";#N/A,#N/A,TRUE,"Desirable Works.ht";#N/A,#N/A,TRUE,"Incentives"}</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3" hidden="1">{#N/A,#N/A,FALSE,"5YRASSPl - consol'd";#N/A,#N/A,FALSE,"5YRASSPl - hotel";#N/A,#N/A,FALSE,"5YRASSPl - excl htl";#N/A,#N/A,FALSE,"VarReport";#N/A,#N/A,FALSE,"Sensitivity";#N/A,#N/A,FALSE,"House View ";#N/A,#N/A,FALSE,"KPI"}</definedName>
    <definedName name="dsgsdgsd" localSheetId="18" hidden="1">{#N/A,#N/A,FALSE,"5YRASSPl - consol'd";#N/A,#N/A,FALSE,"5YRASSPl - hotel";#N/A,#N/A,FALSE,"5YRASSPl - excl htl";#N/A,#N/A,FALSE,"VarReport";#N/A,#N/A,FALSE,"Sensitivity";#N/A,#N/A,FALSE,"House View ";#N/A,#N/A,FALSE,"KPI"}</definedName>
    <definedName name="dsgsdgsd" localSheetId="24"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3" hidden="1">{#N/A,#N/A,FALSE,"Menu";#N/A,#N/A,FALSE,"Sch A";#N/A,#N/A,FALSE,"Print Dummy";#N/A,#N/A,FALSE,"Sch B";#N/A,#N/A,FALSE,"Sch C";#N/A,#N/A,FALSE,"Sch D";#N/A,#N/A,FALSE,"Sch E";#N/A,#N/A,FALSE,"Sch F";#N/A,#N/A,FALSE,"Sch G";#N/A,#N/A,FALSE,"Sch H";#N/A,#N/A,FALSE,"Sch I";#N/A,#N/A,FALSE,"Sch J"}</definedName>
    <definedName name="dummy" localSheetId="18" hidden="1">{#N/A,#N/A,FALSE,"Menu";#N/A,#N/A,FALSE,"Sch A";#N/A,#N/A,FALSE,"Print Dummy";#N/A,#N/A,FALSE,"Sch B";#N/A,#N/A,FALSE,"Sch C";#N/A,#N/A,FALSE,"Sch D";#N/A,#N/A,FALSE,"Sch E";#N/A,#N/A,FALSE,"Sch F";#N/A,#N/A,FALSE,"Sch G";#N/A,#N/A,FALSE,"Sch H";#N/A,#N/A,FALSE,"Sch I";#N/A,#N/A,FALSE,"Sch J"}</definedName>
    <definedName name="dummy" localSheetId="24"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3" hidden="1">{"'용역비'!$A$4:$C$8"}</definedName>
    <definedName name="DW" localSheetId="18" hidden="1">{"'용역비'!$A$4:$C$8"}</definedName>
    <definedName name="DW" localSheetId="24" hidden="1">{"'용역비'!$A$4:$C$8"}</definedName>
    <definedName name="DW" hidden="1">{"'용역비'!$A$4:$C$8"}</definedName>
    <definedName name="ee" localSheetId="23" hidden="1">{#N/A,#N/A,FALSE,"단가표지"}</definedName>
    <definedName name="ee" localSheetId="18" hidden="1">{#N/A,#N/A,FALSE,"단가표지"}</definedName>
    <definedName name="ee" localSheetId="24" hidden="1">{#N/A,#N/A,FALSE,"단가표지"}</definedName>
    <definedName name="ee" hidden="1">{#N/A,#N/A,FALSE,"단가표지"}</definedName>
    <definedName name="EE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3" hidden="1">{#N/A,#N/A,FALSE,"Balance sheet";#N/A,#N/A,FALSE,"Income statement";#N/A,#N/A,FALSE,"FFO statement"}</definedName>
    <definedName name="eeee" localSheetId="18" hidden="1">{#N/A,#N/A,FALSE,"Balance sheet";#N/A,#N/A,FALSE,"Income statement";#N/A,#N/A,FALSE,"FFO statement"}</definedName>
    <definedName name="eeee" localSheetId="24" hidden="1">{#N/A,#N/A,FALSE,"Balance sheet";#N/A,#N/A,FALSE,"Income statement";#N/A,#N/A,FALSE,"FFO statement"}</definedName>
    <definedName name="eeee" hidden="1">{#N/A,#N/A,FALSE,"Balance sheet";#N/A,#N/A,FALSE,"Income statement";#N/A,#N/A,FALSE,"FFO statement"}</definedName>
    <definedName name="eeeeeeee" localSheetId="23" hidden="1">{#N/A,#N/A,FALSE,"Balance sheet";#N/A,#N/A,FALSE,"FAD";#N/A,#N/A,FALSE,"Cashflow";#N/A,#N/A,FALSE,"NAV";#N/A,#N/A,FALSE,"Notes 1-5";#N/A,#N/A,FALSE,"Notes 6-"}</definedName>
    <definedName name="eeeeeeee" localSheetId="18" hidden="1">{#N/A,#N/A,FALSE,"Balance sheet";#N/A,#N/A,FALSE,"FAD";#N/A,#N/A,FALSE,"Cashflow";#N/A,#N/A,FALSE,"NAV";#N/A,#N/A,FALSE,"Notes 1-5";#N/A,#N/A,FALSE,"Notes 6-"}</definedName>
    <definedName name="eeeeeeee" localSheetId="24"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3" hidden="1">{"'용역비'!$A$4:$C$8"}</definedName>
    <definedName name="EFG" localSheetId="18" hidden="1">{"'용역비'!$A$4:$C$8"}</definedName>
    <definedName name="EFG" localSheetId="24" hidden="1">{"'용역비'!$A$4:$C$8"}</definedName>
    <definedName name="EFG" hidden="1">{"'용역비'!$A$4:$C$8"}</definedName>
    <definedName name="EGE" localSheetId="23" hidden="1">{"'용역비'!$A$4:$C$8"}</definedName>
    <definedName name="EGE" localSheetId="18" hidden="1">{"'용역비'!$A$4:$C$8"}</definedName>
    <definedName name="EGE" localSheetId="24" hidden="1">{"'용역비'!$A$4:$C$8"}</definedName>
    <definedName name="EGE" hidden="1">{"'용역비'!$A$4:$C$8"}</definedName>
    <definedName name="ej" localSheetId="23" hidden="1">{"'용역비'!$A$4:$C$8"}</definedName>
    <definedName name="ej" localSheetId="18" hidden="1">{"'용역비'!$A$4:$C$8"}</definedName>
    <definedName name="ej" localSheetId="24" hidden="1">{"'용역비'!$A$4:$C$8"}</definedName>
    <definedName name="ej" hidden="1">{"'용역비'!$A$4:$C$8"}</definedName>
    <definedName name="Elect2" localSheetId="23" hidden="1">{#N/A,#N/A,FALSE,"Data Input";#N/A,#N/A,FALSE,"1. Income";#N/A,#N/A,FALSE,"2. Rates &amp; Taxes";#N/A,#N/A,FALSE,"3. Extended Trade";#N/A,#N/A,FALSE,"4. Non Recoverable Expenses";#N/A,#N/A,FALSE,"5. Recoverable Expenses";#N/A,#N/A,FALSE,"6. Cleaning"}</definedName>
    <definedName name="Elect2" localSheetId="18" hidden="1">{#N/A,#N/A,FALSE,"Data Input";#N/A,#N/A,FALSE,"1. Income";#N/A,#N/A,FALSE,"2. Rates &amp; Taxes";#N/A,#N/A,FALSE,"3. Extended Trade";#N/A,#N/A,FALSE,"4. Non Recoverable Expenses";#N/A,#N/A,FALSE,"5. Recoverable Expenses";#N/A,#N/A,FALSE,"6. Cleaning"}</definedName>
    <definedName name="Elect2" localSheetId="24"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3" hidden="1">{#N/A,#N/A,FALSE,"1.CRITERIA";#N/A,#N/A,FALSE,"2.IS";#N/A,#N/A,FALSE,"3.BS";#N/A,#N/A,FALSE,"4.PER PL";#N/A,#N/A,FALSE,"5.INVESTMENT";#N/A,#N/A,FALSE,"6.공문";#N/A,#N/A,FALSE,"7.netinvest"}</definedName>
    <definedName name="ELSK" localSheetId="18" hidden="1">{#N/A,#N/A,FALSE,"1.CRITERIA";#N/A,#N/A,FALSE,"2.IS";#N/A,#N/A,FALSE,"3.BS";#N/A,#N/A,FALSE,"4.PER PL";#N/A,#N/A,FALSE,"5.INVESTMENT";#N/A,#N/A,FALSE,"6.공문";#N/A,#N/A,FALSE,"7.netinvest"}</definedName>
    <definedName name="ELSK" localSheetId="24"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3" hidden="1">{"AnnualRentRoll",#N/A,FALSE,"RentRoll"}</definedName>
    <definedName name="erifu" localSheetId="18" hidden="1">{"AnnualRentRoll",#N/A,FALSE,"RentRoll"}</definedName>
    <definedName name="erifu" localSheetId="24" hidden="1">{"AnnualRentRoll",#N/A,FALSE,"RentRoll"}</definedName>
    <definedName name="erifu" hidden="1">{"AnnualRentRoll",#N/A,FALSE,"RentRoll"}</definedName>
    <definedName name="eriuf" localSheetId="23" hidden="1">{#N/A,#N/A,FALSE,"Summary"}</definedName>
    <definedName name="eriuf" localSheetId="18" hidden="1">{#N/A,#N/A,FALSE,"Summary"}</definedName>
    <definedName name="eriuf" localSheetId="24" hidden="1">{#N/A,#N/A,FALSE,"Summary"}</definedName>
    <definedName name="eriuf" hidden="1">{#N/A,#N/A,FALSE,"Summary"}</definedName>
    <definedName name="erjkfu" localSheetId="23" hidden="1">{#N/A,#N/A,FALSE,"LoanAssumptions"}</definedName>
    <definedName name="erjkfu" localSheetId="18" hidden="1">{#N/A,#N/A,FALSE,"LoanAssumptions"}</definedName>
    <definedName name="erjkfu" localSheetId="24" hidden="1">{#N/A,#N/A,FALSE,"LoanAssumptions"}</definedName>
    <definedName name="erjkfu" hidden="1">{#N/A,#N/A,FALSE,"LoanAssumptions"}</definedName>
    <definedName name="erkju" localSheetId="23" hidden="1">{#N/A,#N/A,FALSE,"LoanAssumptions"}</definedName>
    <definedName name="erkju" localSheetId="18" hidden="1">{#N/A,#N/A,FALSE,"LoanAssumptions"}</definedName>
    <definedName name="erkju" localSheetId="24" hidden="1">{#N/A,#N/A,FALSE,"LoanAssumptions"}</definedName>
    <definedName name="erkju" hidden="1">{#N/A,#N/A,FALSE,"LoanAssumptions"}</definedName>
    <definedName name="erlkjf" localSheetId="23" hidden="1">{"AnnualRentRoll",#N/A,FALSE,"RentRoll"}</definedName>
    <definedName name="erlkjf" localSheetId="18" hidden="1">{"AnnualRentRoll",#N/A,FALSE,"RentRoll"}</definedName>
    <definedName name="erlkjf" localSheetId="24" hidden="1">{"AnnualRentRoll",#N/A,FALSE,"RentRoll"}</definedName>
    <definedName name="erlkjf" hidden="1">{"AnnualRentRoll",#N/A,FALSE,"RentRoll"}</definedName>
    <definedName name="erlkjuf" localSheetId="23" hidden="1">{"MonthlyRentRoll",#N/A,FALSE,"RentRoll"}</definedName>
    <definedName name="erlkjuf" localSheetId="18" hidden="1">{"MonthlyRentRoll",#N/A,FALSE,"RentRoll"}</definedName>
    <definedName name="erlkjuf" localSheetId="24" hidden="1">{"MonthlyRentRoll",#N/A,FALSE,"RentRoll"}</definedName>
    <definedName name="erlkjuf" hidden="1">{"MonthlyRentRoll",#N/A,FALSE,"RentRoll"}</definedName>
    <definedName name="Err_Chk_10_Hdg" hidden="1">"Update Heading"</definedName>
    <definedName name="errrr" localSheetId="23" hidden="1">{"AnnualRentRoll",#N/A,FALSE,"RentRoll"}</definedName>
    <definedName name="errrr" localSheetId="18" hidden="1">{"AnnualRentRoll",#N/A,FALSE,"RentRoll"}</definedName>
    <definedName name="errrr" localSheetId="24" hidden="1">{"AnnualRentRoll",#N/A,FALSE,"RentRoll"}</definedName>
    <definedName name="errrr" hidden="1">{"AnnualRentRoll",#N/A,FALSE,"RentRoll"}</definedName>
    <definedName name="ertyertye" localSheetId="23" hidden="1">{"'용역비'!$A$4:$C$8"}</definedName>
    <definedName name="ertyertye" localSheetId="18" hidden="1">{"'용역비'!$A$4:$C$8"}</definedName>
    <definedName name="ertyertye" localSheetId="24" hidden="1">{"'용역비'!$A$4:$C$8"}</definedName>
    <definedName name="ertyertye" hidden="1">{"'용역비'!$A$4:$C$8"}</definedName>
    <definedName name="erukffffffffff" localSheetId="23" hidden="1">{"AnnualRentRoll",#N/A,FALSE,"RentRoll"}</definedName>
    <definedName name="erukffffffffff" localSheetId="18" hidden="1">{"AnnualRentRoll",#N/A,FALSE,"RentRoll"}</definedName>
    <definedName name="erukffffffffff" localSheetId="24" hidden="1">{"AnnualRentRoll",#N/A,FALSE,"RentRoll"}</definedName>
    <definedName name="erukffffffffff" hidden="1">{"AnnualRentRoll",#N/A,FALSE,"RentRoll"}</definedName>
    <definedName name="eruvvvv" localSheetId="23" hidden="1">{"AnnualRentRoll",#N/A,FALSE,"RentRoll"}</definedName>
    <definedName name="eruvvvv" localSheetId="18" hidden="1">{"AnnualRentRoll",#N/A,FALSE,"RentRoll"}</definedName>
    <definedName name="eruvvvv" localSheetId="24" hidden="1">{"AnnualRentRoll",#N/A,FALSE,"RentRoll"}</definedName>
    <definedName name="eruvvvv" hidden="1">{"AnnualRentRoll",#N/A,FALSE,"RentRoll"}</definedName>
    <definedName name="es">'A&amp;R'!$AM$34</definedName>
    <definedName name="ETYETY" localSheetId="23" hidden="1">{"'용역비'!$A$4:$C$8"}</definedName>
    <definedName name="ETYETY" localSheetId="18" hidden="1">{"'용역비'!$A$4:$C$8"}</definedName>
    <definedName name="ETYETY" localSheetId="24" hidden="1">{"'용역비'!$A$4:$C$8"}</definedName>
    <definedName name="ETYETY" hidden="1">{"'용역비'!$A$4:$C$8"}</definedName>
    <definedName name="etyj" localSheetId="23" hidden="1">{"'용역비'!$A$4:$C$8"}</definedName>
    <definedName name="etyj" localSheetId="18" hidden="1">{"'용역비'!$A$4:$C$8"}</definedName>
    <definedName name="etyj" localSheetId="24" hidden="1">{"'용역비'!$A$4:$C$8"}</definedName>
    <definedName name="etyj" hidden="1">{"'용역비'!$A$4:$C$8"}</definedName>
    <definedName name="etyjj" localSheetId="23" hidden="1">{"'용역비'!$A$4:$C$8"}</definedName>
    <definedName name="etyjj" localSheetId="18" hidden="1">{"'용역비'!$A$4:$C$8"}</definedName>
    <definedName name="etyjj" localSheetId="24" hidden="1">{"'용역비'!$A$4:$C$8"}</definedName>
    <definedName name="etyjj" hidden="1">{"'용역비'!$A$4:$C$8"}</definedName>
    <definedName name="ETYJTYJ" localSheetId="23" hidden="1">{"'용역비'!$A$4:$C$8"}</definedName>
    <definedName name="ETYJTYJ" localSheetId="18" hidden="1">{"'용역비'!$A$4:$C$8"}</definedName>
    <definedName name="ETYJTYJ" localSheetId="24" hidden="1">{"'용역비'!$A$4:$C$8"}</definedName>
    <definedName name="ETYJTYJ" hidden="1">{"'용역비'!$A$4:$C$8"}</definedName>
    <definedName name="EV__LASTREFTIME__" hidden="1">41179.6348611111</definedName>
    <definedName name="ex">'A&amp;R'!$AM$34</definedName>
    <definedName name="ExpandOutputs" localSheetId="23">REPORT!ExpandOutputs</definedName>
    <definedName name="ExpandOutputs" localSheetId="18">'Report-sj'!ExpandOutputs</definedName>
    <definedName name="ExpandOutputs" localSheetId="24">수정사항!ExpandOutputs</definedName>
    <definedName name="ExpandOutputs">[0]!ExpandOutputs</definedName>
    <definedName name="ExpandVPeriods" localSheetId="23">REPORT!ExpandVPeriods</definedName>
    <definedName name="ExpandVPeriods" localSheetId="18">'Report-sj'!ExpandVPeriods</definedName>
    <definedName name="ExpandVPeriods" localSheetId="24">수정사항!ExpandVPeriods</definedName>
    <definedName name="ExpandVPeriods">[0]!ExpandVPeriods</definedName>
    <definedName name="ExportFile" localSheetId="23">REPORT!ExportFile</definedName>
    <definedName name="ExportFile" localSheetId="18">'Report-sj'!ExportFile</definedName>
    <definedName name="ExportFile" localSheetId="24">수정사항!ExportFile</definedName>
    <definedName name="ExportFile">[0]!ExportFile</definedName>
    <definedName name="FD" localSheetId="23" hidden="1">{#N/A,#N/A,FALSE,"Aging Summary";#N/A,#N/A,FALSE,"Ratio Analysis";#N/A,#N/A,FALSE,"Test 120 Day Accts";#N/A,#N/A,FALSE,"Tickmarks"}</definedName>
    <definedName name="FD" localSheetId="18" hidden="1">{#N/A,#N/A,FALSE,"Aging Summary";#N/A,#N/A,FALSE,"Ratio Analysis";#N/A,#N/A,FALSE,"Test 120 Day Accts";#N/A,#N/A,FALSE,"Tickmarks"}</definedName>
    <definedName name="FD" localSheetId="24" hidden="1">{#N/A,#N/A,FALSE,"Aging Summary";#N/A,#N/A,FALSE,"Ratio Analysis";#N/A,#N/A,FALSE,"Test 120 Day Accts";#N/A,#N/A,FALSE,"Tickmarks"}</definedName>
    <definedName name="FD" hidden="1">{#N/A,#N/A,FALSE,"Aging Summary";#N/A,#N/A,FALSE,"Ratio Analysis";#N/A,#N/A,FALSE,"Test 120 Day Accts";#N/A,#N/A,FALSE,"Tickmarks"}</definedName>
    <definedName name="FDFD"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3" hidden="1">{#N/A,#N/A,FALSE,"CAPREIT"}</definedName>
    <definedName name="fdfdfd" localSheetId="18" hidden="1">{#N/A,#N/A,FALSE,"CAPREIT"}</definedName>
    <definedName name="fdfdfd" localSheetId="24" hidden="1">{#N/A,#N/A,FALSE,"CAPREIT"}</definedName>
    <definedName name="fdfdfd" hidden="1">{#N/A,#N/A,FALSE,"CAPREIT"}</definedName>
    <definedName name="fdfdfdf" localSheetId="23" hidden="1">{#N/A,#N/A,FALSE,"CAPREIT"}</definedName>
    <definedName name="fdfdfdf" localSheetId="18" hidden="1">{#N/A,#N/A,FALSE,"CAPREIT"}</definedName>
    <definedName name="fdfdfdf" localSheetId="24" hidden="1">{#N/A,#N/A,FALSE,"CAPREIT"}</definedName>
    <definedName name="fdfdfdf" hidden="1">{#N/A,#N/A,FALSE,"CAPREIT"}</definedName>
    <definedName name="ferudr" localSheetId="23" hidden="1">{#N/A,#N/A,FALSE,"OperatingAssumptions"}</definedName>
    <definedName name="ferudr" localSheetId="18" hidden="1">{#N/A,#N/A,FALSE,"OperatingAssumptions"}</definedName>
    <definedName name="ferudr" localSheetId="24" hidden="1">{#N/A,#N/A,FALSE,"OperatingAssumptions"}</definedName>
    <definedName name="ferudr" hidden="1">{#N/A,#N/A,FALSE,"OperatingAssumptions"}</definedName>
    <definedName name="ferul" localSheetId="23" hidden="1">{#N/A,#N/A,FALSE,"LoanAssumptions"}</definedName>
    <definedName name="ferul" localSheetId="18" hidden="1">{#N/A,#N/A,FALSE,"LoanAssumptions"}</definedName>
    <definedName name="ferul" localSheetId="24" hidden="1">{#N/A,#N/A,FALSE,"LoanAssumptions"}</definedName>
    <definedName name="ferul" hidden="1">{#N/A,#N/A,FALSE,"LoanAssumptions"}</definedName>
    <definedName name="ffff" localSheetId="23" hidden="1">{"AJD",#N/A,TRUE,"Summary";"AJD",#N/A,TRUE,"CFCONC-outputs";"AJD",#N/A,TRUE,"P&amp;LCONC-outputs";"AJD",#N/A,TRUE,"BSCONC-outputs";"AJD",#N/A,TRUE,"FSCONC-outputs"}</definedName>
    <definedName name="ffff" localSheetId="18" hidden="1">{"AJD",#N/A,TRUE,"Summary";"AJD",#N/A,TRUE,"CFCONC-outputs";"AJD",#N/A,TRUE,"P&amp;LCONC-outputs";"AJD",#N/A,TRUE,"BSCONC-outputs";"AJD",#N/A,TRUE,"FSCONC-outputs"}</definedName>
    <definedName name="ffff" localSheetId="24"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3" hidden="1">{"'Firr(선)'!$AS$1:$AY$62","'Firr(사)'!$AS$1:$AY$62","'Firr(회)'!$AS$1:$AY$62","'Firr(선)'!$L$1:$V$62","'Firr(사)'!$L$1:$V$62","'Firr(회)'!$L$1:$V$62"}</definedName>
    <definedName name="FGFDSG" localSheetId="18" hidden="1">{"'Firr(선)'!$AS$1:$AY$62","'Firr(사)'!$AS$1:$AY$62","'Firr(회)'!$AS$1:$AY$62","'Firr(선)'!$L$1:$V$62","'Firr(사)'!$L$1:$V$62","'Firr(회)'!$L$1:$V$62"}</definedName>
    <definedName name="FGFDSG" localSheetId="24" hidden="1">{"'Firr(선)'!$AS$1:$AY$62","'Firr(사)'!$AS$1:$AY$62","'Firr(회)'!$AS$1:$AY$62","'Firr(선)'!$L$1:$V$62","'Firr(사)'!$L$1:$V$62","'Firr(회)'!$L$1:$V$62"}</definedName>
    <definedName name="FGFDSG" hidden="1">{"'Firr(선)'!$AS$1:$AY$62","'Firr(사)'!$AS$1:$AY$62","'Firr(회)'!$AS$1:$AY$62","'Firr(선)'!$L$1:$V$62","'Firr(사)'!$L$1:$V$62","'Firr(회)'!$L$1:$V$62"}</definedName>
    <definedName name="FHG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3" hidden="1">{#N/A,#N/A,FALSE,"채권채무";#N/A,#N/A,FALSE,"control sheet"}</definedName>
    <definedName name="fila" localSheetId="18" hidden="1">{#N/A,#N/A,FALSE,"채권채무";#N/A,#N/A,FALSE,"control sheet"}</definedName>
    <definedName name="fila" localSheetId="24" hidden="1">{#N/A,#N/A,FALSE,"채권채무";#N/A,#N/A,FALSE,"control sheet"}</definedName>
    <definedName name="fila" hidden="1">{#N/A,#N/A,FALSE,"채권채무";#N/A,#N/A,FALSE,"control sheet"}</definedName>
    <definedName name="fill" hidden="1">#N/A</definedName>
    <definedName name="FK" localSheetId="23" hidden="1">{"'용역비'!$A$4:$C$8"}</definedName>
    <definedName name="FK" localSheetId="18" hidden="1">{"'용역비'!$A$4:$C$8"}</definedName>
    <definedName name="FK" localSheetId="24" hidden="1">{"'용역비'!$A$4:$C$8"}</definedName>
    <definedName name="FK" hidden="1">{"'용역비'!$A$4:$C$8"}</definedName>
    <definedName name="fljkod" localSheetId="23" hidden="1">{#N/A,#N/A,FALSE,"이력서&amp;자기소개서"}</definedName>
    <definedName name="fljkod" localSheetId="18" hidden="1">{#N/A,#N/A,FALSE,"이력서&amp;자기소개서"}</definedName>
    <definedName name="fljkod" localSheetId="24" hidden="1">{#N/A,#N/A,FALSE,"이력서&amp;자기소개서"}</definedName>
    <definedName name="fljkod" hidden="1">{#N/A,#N/A,FALSE,"이력서&amp;자기소개서"}</definedName>
    <definedName name="FM" localSheetId="23">REPORT!FM</definedName>
    <definedName name="FM" localSheetId="18">'Report-sj'!FM</definedName>
    <definedName name="FM" localSheetId="24">수정사항!FM</definedName>
    <definedName name="FM">[0]!FM</definedName>
    <definedName name="FM계약일할" localSheetId="23" hidden="1">{#N/A,#N/A,TRUE,"대 차 대 조 표"}</definedName>
    <definedName name="FM계약일할" localSheetId="18" hidden="1">{#N/A,#N/A,TRUE,"대 차 대 조 표"}</definedName>
    <definedName name="FM계약일할" localSheetId="24" hidden="1">{#N/A,#N/A,TRUE,"대 차 대 조 표"}</definedName>
    <definedName name="FM계약일할" hidden="1">{#N/A,#N/A,TRUE,"대 차 대 조 표"}</definedName>
    <definedName name="FM계약일할_1" localSheetId="23" hidden="1">{#N/A,#N/A,TRUE,"대 차 대 조 표"}</definedName>
    <definedName name="FM계약일할_1" localSheetId="18" hidden="1">{#N/A,#N/A,TRUE,"대 차 대 조 표"}</definedName>
    <definedName name="FM계약일할_1" localSheetId="24" hidden="1">{#N/A,#N/A,TRUE,"대 차 대 조 표"}</definedName>
    <definedName name="FM계약일할_1" hidden="1">{#N/A,#N/A,TRUE,"대 차 대 조 표"}</definedName>
    <definedName name="FoodCourt" localSheetId="23" hidden="1">{#N/A,#N/A,FALSE,"Menu";#N/A,#N/A,FALSE,"Sch A";#N/A,#N/A,FALSE,"Print Dummy";#N/A,#N/A,FALSE,"Sch B";#N/A,#N/A,FALSE,"Sch C";#N/A,#N/A,FALSE,"Sch D";#N/A,#N/A,FALSE,"Sch E";#N/A,#N/A,FALSE,"Sch F";#N/A,#N/A,FALSE,"Sch G";#N/A,#N/A,FALSE,"Sch H";#N/A,#N/A,FALSE,"Sch I";#N/A,#N/A,FALSE,"Sch J"}</definedName>
    <definedName name="FoodCourt" localSheetId="18" hidden="1">{#N/A,#N/A,FALSE,"Menu";#N/A,#N/A,FALSE,"Sch A";#N/A,#N/A,FALSE,"Print Dummy";#N/A,#N/A,FALSE,"Sch B";#N/A,#N/A,FALSE,"Sch C";#N/A,#N/A,FALSE,"Sch D";#N/A,#N/A,FALSE,"Sch E";#N/A,#N/A,FALSE,"Sch F";#N/A,#N/A,FALSE,"Sch G";#N/A,#N/A,FALSE,"Sch H";#N/A,#N/A,FALSE,"Sch I";#N/A,#N/A,FALSE,"Sch J"}</definedName>
    <definedName name="FoodCourt" localSheetId="24"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3" hidden="1">{"summary",#N/A,TRUE,"Focus";"interestexpense",#N/A,TRUE,"Focus";"interestincome",#N/A,TRUE,"Focus";"dividend",#N/A,TRUE,"Focus";"feeincome",#N/A,TRUE,"Focus";"gain",#N/A,TRUE,"Focus"}</definedName>
    <definedName name="fueki" localSheetId="18" hidden="1">{"summary",#N/A,TRUE,"Focus";"interestexpense",#N/A,TRUE,"Focus";"interestincome",#N/A,TRUE,"Focus";"dividend",#N/A,TRUE,"Focus";"feeincome",#N/A,TRUE,"Focus";"gain",#N/A,TRUE,"Focus"}</definedName>
    <definedName name="fueki" localSheetId="24"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3" hidden="1">{#N/A,#N/A,FALSE,"1Executive Summary";#N/A,#N/A,FALSE,"2Assumptions (Input)";#N/A,#N/A,FALSE,"3Cash Flow Analysis";#N/A,#N/A,FALSE,"4Year One Financial Summary";#N/A,#N/A,FALSE,"5Value Matrix";#N/A,#N/A,FALSE,"Greenline Form Page 1";#N/A,#N/A,FALSE,"Greenline Form Page 2"}</definedName>
    <definedName name="fulmer" localSheetId="18" hidden="1">{#N/A,#N/A,FALSE,"1Executive Summary";#N/A,#N/A,FALSE,"2Assumptions (Input)";#N/A,#N/A,FALSE,"3Cash Flow Analysis";#N/A,#N/A,FALSE,"4Year One Financial Summary";#N/A,#N/A,FALSE,"5Value Matrix";#N/A,#N/A,FALSE,"Greenline Form Page 1";#N/A,#N/A,FALSE,"Greenline Form Page 2"}</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3" hidden="1">{#N/A,#N/A,FALSE,"단축1";#N/A,#N/A,FALSE,"단축2";#N/A,#N/A,FALSE,"단축3";#N/A,#N/A,FALSE,"장축";#N/A,#N/A,FALSE,"4WD"}</definedName>
    <definedName name="FUYU" localSheetId="18" hidden="1">{#N/A,#N/A,FALSE,"단축1";#N/A,#N/A,FALSE,"단축2";#N/A,#N/A,FALSE,"단축3";#N/A,#N/A,FALSE,"장축";#N/A,#N/A,FALSE,"4WD"}</definedName>
    <definedName name="FUYU" localSheetId="24"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3" hidden="1">{#N/A,#N/A,FALSE,"동부"}</definedName>
    <definedName name="GFHT" localSheetId="18" hidden="1">{#N/A,#N/A,FALSE,"동부"}</definedName>
    <definedName name="GFHT" localSheetId="24" hidden="1">{#N/A,#N/A,FALSE,"동부"}</definedName>
    <definedName name="GFHT" hidden="1">{#N/A,#N/A,FALSE,"동부"}</definedName>
    <definedName name="gg_1" localSheetId="23" hidden="1">{#N/A,#N/A,FALSE,"Aging Summary";#N/A,#N/A,FALSE,"Ratio Analysis";#N/A,#N/A,FALSE,"Test 120 Day Accts";#N/A,#N/A,FALSE,"Tickmarks"}</definedName>
    <definedName name="gg_1" localSheetId="18" hidden="1">{#N/A,#N/A,FALSE,"Aging Summary";#N/A,#N/A,FALSE,"Ratio Analysis";#N/A,#N/A,FALSE,"Test 120 Day Accts";#N/A,#N/A,FALSE,"Tickmarks"}</definedName>
    <definedName name="gg_1" localSheetId="24" hidden="1">{#N/A,#N/A,FALSE,"Aging Summary";#N/A,#N/A,FALSE,"Ratio Analysis";#N/A,#N/A,FALSE,"Test 120 Day Accts";#N/A,#N/A,FALSE,"Tickmarks"}</definedName>
    <definedName name="gg_1" hidden="1">{#N/A,#N/A,FALSE,"Aging Summary";#N/A,#N/A,FALSE,"Ratio Analysis";#N/A,#N/A,FALSE,"Test 120 Day Accts";#N/A,#N/A,FALSE,"Tickmarks"}</definedName>
    <definedName name="GGG"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3" hidden="1">{"AJD",#N/A,TRUE,"Summary";"AJD",#N/A,TRUE,"CFCONC-outputs";"AJD",#N/A,TRUE,"P&amp;LCONC-outputs";"AJD",#N/A,TRUE,"BSCONC-outputs";"AJD",#N/A,TRUE,"FSCONC-outputs"}</definedName>
    <definedName name="GGGF" localSheetId="18" hidden="1">{"AJD",#N/A,TRUE,"Summary";"AJD",#N/A,TRUE,"CFCONC-outputs";"AJD",#N/A,TRUE,"P&amp;LCONC-outputs";"AJD",#N/A,TRUE,"BSCONC-outputs";"AJD",#N/A,TRUE,"FSCONC-outputs"}</definedName>
    <definedName name="GGGF" localSheetId="24"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3" hidden="1">{#N/A,#N/A,FALSE,"LoanAssumptions"}</definedName>
    <definedName name="gggs" localSheetId="18" hidden="1">{#N/A,#N/A,FALSE,"LoanAssumptions"}</definedName>
    <definedName name="gggs" localSheetId="24" hidden="1">{#N/A,#N/A,FALSE,"LoanAssumptions"}</definedName>
    <definedName name="gggs" hidden="1">{#N/A,#N/A,FALSE,"LoanAssumptions"}</definedName>
    <definedName name="GGGTR"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3" hidden="1">{#N/A,#N/A,FALSE,"동부"}</definedName>
    <definedName name="GHFDH" localSheetId="18" hidden="1">{#N/A,#N/A,FALSE,"동부"}</definedName>
    <definedName name="GHFDH" localSheetId="24" hidden="1">{#N/A,#N/A,FALSE,"동부"}</definedName>
    <definedName name="GHFDH" hidden="1">{#N/A,#N/A,FALSE,"동부"}</definedName>
    <definedName name="GHGF" localSheetId="23" hidden="1">{#N/A,#N/A,TRUE,"대 차 대 조 표"}</definedName>
    <definedName name="GHGF" localSheetId="18" hidden="1">{#N/A,#N/A,TRUE,"대 차 대 조 표"}</definedName>
    <definedName name="GHGF" localSheetId="24" hidden="1">{#N/A,#N/A,TRUE,"대 차 대 조 표"}</definedName>
    <definedName name="GHGF" hidden="1">{#N/A,#N/A,TRUE,"대 차 대 조 표"}</definedName>
    <definedName name="GHGHGH" localSheetId="23" hidden="1">{"'미착금액'!$A$4:$G$14"}</definedName>
    <definedName name="GHGHGH" localSheetId="18" hidden="1">{"'미착금액'!$A$4:$G$14"}</definedName>
    <definedName name="GHGHGH" localSheetId="24" hidden="1">{"'미착금액'!$A$4:$G$14"}</definedName>
    <definedName name="GHGHGH" hidden="1">{"'미착금액'!$A$4:$G$14"}</definedName>
    <definedName name="ghjghjghj" localSheetId="23" hidden="1">{#N/A,#N/A,FALSE,"Expenses"}</definedName>
    <definedName name="ghjghjghj" localSheetId="18" hidden="1">{#N/A,#N/A,FALSE,"Expenses"}</definedName>
    <definedName name="ghjghjghj" localSheetId="24" hidden="1">{#N/A,#N/A,FALSE,"Expenses"}</definedName>
    <definedName name="ghjghjghj" hidden="1">{#N/A,#N/A,FALSE,"Expenses"}</definedName>
    <definedName name="GL_Analysis_Jun"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3" hidden="1">{#N/A,#N/A,FALSE,"ExitStratigy"}</definedName>
    <definedName name="gs" localSheetId="18" hidden="1">{#N/A,#N/A,FALSE,"ExitStratigy"}</definedName>
    <definedName name="gs" localSheetId="24" hidden="1">{#N/A,#N/A,FALSE,"ExitStratigy"}</definedName>
    <definedName name="gs" hidden="1">{#N/A,#N/A,FALSE,"ExitStratigy"}</definedName>
    <definedName name="H" localSheetId="23" hidden="1">{"'용역비'!$A$4:$C$8"}</definedName>
    <definedName name="H" localSheetId="18" hidden="1">{"'용역비'!$A$4:$C$8"}</definedName>
    <definedName name="H" localSheetId="24" hidden="1">{"'용역비'!$A$4:$C$8"}</definedName>
    <definedName name="H" hidden="1">{"'용역비'!$A$4:$C$8"}</definedName>
    <definedName name="haha" localSheetId="23"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8"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3" hidden="1">{#N/A,#N/A,FALSE,"LoanAssumptions"}</definedName>
    <definedName name="hate" localSheetId="18" hidden="1">{#N/A,#N/A,FALSE,"LoanAssumptions"}</definedName>
    <definedName name="hate" localSheetId="24" hidden="1">{#N/A,#N/A,FALSE,"LoanAssumptions"}</definedName>
    <definedName name="hate" hidden="1">{#N/A,#N/A,FALSE,"LoanAssumptions"}</definedName>
    <definedName name="hbnotes" localSheetId="23" hidden="1">{#N/A,#N/A,TRUE,"MR Cover";#N/A,#N/A,TRUE,"MR Content";#N/A,#N/A,TRUE,"MR Exec Sum";#N/A,#N/A,TRUE,"MR Asset Performance";#N/A,#N/A,TRUE,"MR APIC Financials";#N/A,#N/A,TRUE,"MR REI Financials";#N/A,#N/A,TRUE,"MR Hedging";#N/A,#N/A,TRUE,"MR Risk Mgt";#N/A,#N/A,TRUE,"MR APIC Approved Exp"}</definedName>
    <definedName name="hbnotes" localSheetId="18" hidden="1">{#N/A,#N/A,TRUE,"MR Cover";#N/A,#N/A,TRUE,"MR Content";#N/A,#N/A,TRUE,"MR Exec Sum";#N/A,#N/A,TRUE,"MR Asset Performance";#N/A,#N/A,TRUE,"MR APIC Financials";#N/A,#N/A,TRUE,"MR REI Financials";#N/A,#N/A,TRUE,"MR Hedging";#N/A,#N/A,TRUE,"MR Risk Mgt";#N/A,#N/A,TRUE,"MR APIC Approved Exp"}</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3" hidden="1">{#N/A,#N/A,FALSE,"BS";#N/A,#N/A,FALSE,"PL";#N/A,#N/A,FALSE,"처분";#N/A,#N/A,FALSE,"현금";#N/A,#N/A,FALSE,"매출";#N/A,#N/A,FALSE,"원가";#N/A,#N/A,FALSE,"경영"}</definedName>
    <definedName name="hfksd" localSheetId="18" hidden="1">{#N/A,#N/A,FALSE,"BS";#N/A,#N/A,FALSE,"PL";#N/A,#N/A,FALSE,"처분";#N/A,#N/A,FALSE,"현금";#N/A,#N/A,FALSE,"매출";#N/A,#N/A,FALSE,"원가";#N/A,#N/A,FALSE,"경영"}</definedName>
    <definedName name="hfksd" localSheetId="24"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3" hidden="1">{#N/A,#N/A,TRUE,"대 차 대 조 표"}</definedName>
    <definedName name="hgc" localSheetId="18" hidden="1">{#N/A,#N/A,TRUE,"대 차 대 조 표"}</definedName>
    <definedName name="hgc" localSheetId="24" hidden="1">{#N/A,#N/A,TRUE,"대 차 대 조 표"}</definedName>
    <definedName name="hgc" hidden="1">{#N/A,#N/A,TRUE,"대 차 대 조 표"}</definedName>
    <definedName name="hgc_1" localSheetId="23" hidden="1">{#N/A,#N/A,TRUE,"대 차 대 조 표"}</definedName>
    <definedName name="hgc_1" localSheetId="18" hidden="1">{#N/A,#N/A,TRUE,"대 차 대 조 표"}</definedName>
    <definedName name="hgc_1" localSheetId="24" hidden="1">{#N/A,#N/A,TRUE,"대 차 대 조 표"}</definedName>
    <definedName name="hgc_1" hidden="1">{#N/A,#N/A,TRUE,"대 차 대 조 표"}</definedName>
    <definedName name="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3" hidden="1">{#N/A,#N/A,FALSE,"동부"}</definedName>
    <definedName name="HGFGF" localSheetId="18" hidden="1">{#N/A,#N/A,FALSE,"동부"}</definedName>
    <definedName name="HGFGF" localSheetId="24" hidden="1">{#N/A,#N/A,FALSE,"동부"}</definedName>
    <definedName name="HGFGF" hidden="1">{#N/A,#N/A,FALSE,"동부"}</definedName>
    <definedName name="hgfh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3" hidden="1">{"AnnualRentRoll",#N/A,FALSE,"RentRoll"}</definedName>
    <definedName name="hgkdj" localSheetId="18" hidden="1">{"AnnualRentRoll",#N/A,FALSE,"RentRoll"}</definedName>
    <definedName name="hgkdj" localSheetId="24" hidden="1">{"AnnualRentRoll",#N/A,FALSE,"RentRoll"}</definedName>
    <definedName name="hgkdj" hidden="1">{"AnnualRentRoll",#N/A,FALSE,"RentRoll"}</definedName>
    <definedName name="hgkdj_1" localSheetId="23" hidden="1">{"AnnualRentRoll",#N/A,FALSE,"RentRoll"}</definedName>
    <definedName name="hgkdj_1" localSheetId="18" hidden="1">{"AnnualRentRoll",#N/A,FALSE,"RentRoll"}</definedName>
    <definedName name="hgkdj_1" localSheetId="24" hidden="1">{"AnnualRentRoll",#N/A,FALSE,"RentRoll"}</definedName>
    <definedName name="hgkdj_1" hidden="1">{"AnnualRentRoll",#N/A,FALSE,"RentRoll"}</definedName>
    <definedName name="hhh" localSheetId="23" hidden="1">{#N/A,#N/A,FALSE,"BS";#N/A,#N/A,FALSE,"PL";#N/A,#N/A,FALSE,"처분";#N/A,#N/A,FALSE,"현금";#N/A,#N/A,FALSE,"매출";#N/A,#N/A,FALSE,"원가";#N/A,#N/A,FALSE,"경영"}</definedName>
    <definedName name="hhh" localSheetId="18" hidden="1">{#N/A,#N/A,FALSE,"BS";#N/A,#N/A,FALSE,"PL";#N/A,#N/A,FALSE,"처분";#N/A,#N/A,FALSE,"현금";#N/A,#N/A,FALSE,"매출";#N/A,#N/A,FALSE,"원가";#N/A,#N/A,FALSE,"경영"}</definedName>
    <definedName name="hhh" localSheetId="24"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3" hidden="1">{#N/A,#N/A,FALSE,"BS";#N/A,#N/A,FALSE,"PL";#N/A,#N/A,FALSE,"처분";#N/A,#N/A,FALSE,"현금";#N/A,#N/A,FALSE,"매출";#N/A,#N/A,FALSE,"원가";#N/A,#N/A,FALSE,"경영"}</definedName>
    <definedName name="hhhh" localSheetId="18"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3" hidden="1">{#N/A,#N/A,FALSE,"１";#N/A,#N/A,FALSE,"２";#N/A,#N/A,FALSE,"３";#N/A,#N/A,FALSE,"４"}</definedName>
    <definedName name="hi" localSheetId="18" hidden="1">{#N/A,#N/A,FALSE,"１";#N/A,#N/A,FALSE,"２";#N/A,#N/A,FALSE,"３";#N/A,#N/A,FALSE,"４"}</definedName>
    <definedName name="hi" localSheetId="24" hidden="1">{#N/A,#N/A,FALSE,"１";#N/A,#N/A,FALSE,"２";#N/A,#N/A,FALSE,"３";#N/A,#N/A,FALSE,"４"}</definedName>
    <definedName name="hi" hidden="1">{#N/A,#N/A,FALSE,"１";#N/A,#N/A,FALSE,"２";#N/A,#N/A,FALSE,"３";#N/A,#N/A,FALSE,"４"}</definedName>
    <definedName name="HIGE" hidden="1">#N/A</definedName>
    <definedName name="hjdg" localSheetId="23" hidden="1">{#N/A,#N/A,FALSE,"PropertyInfo"}</definedName>
    <definedName name="hjdg" localSheetId="18" hidden="1">{#N/A,#N/A,FALSE,"PropertyInfo"}</definedName>
    <definedName name="hjdg" localSheetId="24" hidden="1">{#N/A,#N/A,FALSE,"PropertyInfo"}</definedName>
    <definedName name="hjdg" hidden="1">{#N/A,#N/A,FALSE,"PropertyInfo"}</definedName>
    <definedName name="hjdg_1" localSheetId="23" hidden="1">{#N/A,#N/A,FALSE,"PropertyInfo"}</definedName>
    <definedName name="hjdg_1" localSheetId="18" hidden="1">{#N/A,#N/A,FALSE,"PropertyInfo"}</definedName>
    <definedName name="hjdg_1" localSheetId="24" hidden="1">{#N/A,#N/A,FALSE,"PropertyInfo"}</definedName>
    <definedName name="hjdg_1" hidden="1">{#N/A,#N/A,FALSE,"PropertyInfo"}</definedName>
    <definedName name="HK" localSheetId="23" hidden="1">{#N/A,#N/A,FALSE,"동부"}</definedName>
    <definedName name="HK" localSheetId="18" hidden="1">{#N/A,#N/A,FALSE,"동부"}</definedName>
    <definedName name="HK" localSheetId="24" hidden="1">{#N/A,#N/A,FALSE,"동부"}</definedName>
    <definedName name="HK" hidden="1">{#N/A,#N/A,FALSE,"동부"}</definedName>
    <definedName name="hr" localSheetId="23" hidden="1">{"MonthlyRentRoll",#N/A,FALSE,"RentRoll"}</definedName>
    <definedName name="hr" localSheetId="18" hidden="1">{"MonthlyRentRoll",#N/A,FALSE,"RentRoll"}</definedName>
    <definedName name="hr" localSheetId="24" hidden="1">{"MonthlyRentRoll",#N/A,FALSE,"RentRoll"}</definedName>
    <definedName name="hr" hidden="1">{"MonthlyRentRoll",#N/A,FALSE,"RentRoll"}</definedName>
    <definedName name="HSR" localSheetId="23" hidden="1">{"'용역비'!$A$4:$C$8"}</definedName>
    <definedName name="HSR" localSheetId="18" hidden="1">{"'용역비'!$A$4:$C$8"}</definedName>
    <definedName name="HSR" localSheetId="24" hidden="1">{"'용역비'!$A$4:$C$8"}</definedName>
    <definedName name="HSR" hidden="1">{"'용역비'!$A$4:$C$8"}</definedName>
    <definedName name="HTML_CodePage">949</definedName>
    <definedName name="HTML_Control" localSheetId="23">{"'Sheet1'!$E$7"}</definedName>
    <definedName name="HTML_Control" localSheetId="18">{"'Sheet1'!$E$7"}</definedName>
    <definedName name="HTML_Control" localSheetId="24">{"'Sheet1'!$E$7"}</definedName>
    <definedName name="HTML_Control">{"'Sheet1'!$E$7"}</definedName>
    <definedName name="HTML_Control1" localSheetId="23" hidden="1">{"'Report9'!$B$1:$AD$57"}</definedName>
    <definedName name="HTML_Control1" localSheetId="18" hidden="1">{"'Report9'!$B$1:$AD$57"}</definedName>
    <definedName name="HTML_Control1" localSheetId="24"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3" hidden="1">{"'용역비'!$A$4:$C$8"}</definedName>
    <definedName name="I" localSheetId="18" hidden="1">{"'용역비'!$A$4:$C$8"}</definedName>
    <definedName name="I" localSheetId="24" hidden="1">{"'용역비'!$A$4:$C$8"}</definedName>
    <definedName name="I" hidden="1">{"'용역비'!$A$4:$C$8"}</definedName>
    <definedName name="ic" localSheetId="23" hidden="1">{#N/A,#N/A,FALSE,"단축1";#N/A,#N/A,FALSE,"단축2";#N/A,#N/A,FALSE,"단축3";#N/A,#N/A,FALSE,"장축";#N/A,#N/A,FALSE,"4WD"}</definedName>
    <definedName name="ic" localSheetId="18" hidden="1">{#N/A,#N/A,FALSE,"단축1";#N/A,#N/A,FALSE,"단축2";#N/A,#N/A,FALSE,"단축3";#N/A,#N/A,FALSE,"장축";#N/A,#N/A,FALSE,"4WD"}</definedName>
    <definedName name="ic" localSheetId="24" hidden="1">{#N/A,#N/A,FALSE,"단축1";#N/A,#N/A,FALSE,"단축2";#N/A,#N/A,FALSE,"단축3";#N/A,#N/A,FALSE,"장축";#N/A,#N/A,FALSE,"4WD"}</definedName>
    <definedName name="ic" hidden="1">{#N/A,#N/A,FALSE,"단축1";#N/A,#N/A,FALSE,"단축2";#N/A,#N/A,FALSE,"단축3";#N/A,#N/A,FALSE,"장축";#N/A,#N/A,FALSE,"4WD"}</definedName>
    <definedName name="IGH" localSheetId="23" hidden="1">{#N/A,#N/A,TRUE,"대 차 대 조 표"}</definedName>
    <definedName name="IGH" localSheetId="18" hidden="1">{#N/A,#N/A,TRUE,"대 차 대 조 표"}</definedName>
    <definedName name="IGH" localSheetId="24" hidden="1">{#N/A,#N/A,TRUE,"대 차 대 조 표"}</definedName>
    <definedName name="IGH" hidden="1">{#N/A,#N/A,TRUE,"대 차 대 조 표"}</definedName>
    <definedName name="IIII" localSheetId="23" hidden="1">{"'용역비'!$A$4:$C$8"}</definedName>
    <definedName name="IIII" localSheetId="18" hidden="1">{"'용역비'!$A$4:$C$8"}</definedName>
    <definedName name="IIII" localSheetId="24" hidden="1">{"'용역비'!$A$4:$C$8"}</definedName>
    <definedName name="IIII" hidden="1">{"'용역비'!$A$4:$C$8"}</definedName>
    <definedName name="IIIII" localSheetId="23" hidden="1">{"'용역비'!$A$4:$C$8"}</definedName>
    <definedName name="IIIII" localSheetId="18" hidden="1">{"'용역비'!$A$4:$C$8"}</definedName>
    <definedName name="IIIII" localSheetId="24" hidden="1">{"'용역비'!$A$4:$C$8"}</definedName>
    <definedName name="IIIII" hidden="1">{"'용역비'!$A$4:$C$8"}</definedName>
    <definedName name="IIJELLS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3">REPORT!ImportFile</definedName>
    <definedName name="ImportFile" localSheetId="18">'Report-sj'!ImportFile</definedName>
    <definedName name="ImportFile" localSheetId="24">수정사항!ImportFile</definedName>
    <definedName name="ImportFile">[0]!ImportFile</definedName>
    <definedName name="info" localSheetId="23" hidden="1">{#N/A,#N/A,FALSE,"LoanAssumptions"}</definedName>
    <definedName name="info" localSheetId="18" hidden="1">{#N/A,#N/A,FALSE,"LoanAssumptions"}</definedName>
    <definedName name="info" localSheetId="24" hidden="1">{#N/A,#N/A,FALSE,"LoanAssumptions"}</definedName>
    <definedName name="info" hidden="1">{#N/A,#N/A,FALSE,"LoanAssumptions"}</definedName>
    <definedName name="IOI" localSheetId="23" hidden="1">{"'용역비'!$A$4:$C$8"}</definedName>
    <definedName name="IOI" localSheetId="18" hidden="1">{"'용역비'!$A$4:$C$8"}</definedName>
    <definedName name="IOI" localSheetId="24"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3" hidden="1">{"'용역비'!$A$4:$C$8"}</definedName>
    <definedName name="J" localSheetId="18" hidden="1">{"'용역비'!$A$4:$C$8"}</definedName>
    <definedName name="J" localSheetId="24" hidden="1">{"'용역비'!$A$4:$C$8"}</definedName>
    <definedName name="J" hidden="1">{"'용역비'!$A$4:$C$8"}</definedName>
    <definedName name="jd" localSheetId="23" hidden="1">{#N/A,#N/A,FALSE,"LoanAssumptions"}</definedName>
    <definedName name="jd" localSheetId="18" hidden="1">{#N/A,#N/A,FALSE,"LoanAssumptions"}</definedName>
    <definedName name="jd" localSheetId="24" hidden="1">{#N/A,#N/A,FALSE,"LoanAssumptions"}</definedName>
    <definedName name="jd" hidden="1">{#N/A,#N/A,FALSE,"LoanAssumptions"}</definedName>
    <definedName name="jd_1" localSheetId="23" hidden="1">{#N/A,#N/A,FALSE,"LoanAssumptions"}</definedName>
    <definedName name="jd_1" localSheetId="18" hidden="1">{#N/A,#N/A,FALSE,"LoanAssumptions"}</definedName>
    <definedName name="jd_1" localSheetId="24" hidden="1">{#N/A,#N/A,FALSE,"LoanAssumptions"}</definedName>
    <definedName name="jd_1" hidden="1">{#N/A,#N/A,FALSE,"LoanAssumptions"}</definedName>
    <definedName name="JDHD" localSheetId="23" hidden="1">{#N/A,#N/A,TRUE,"대 차 대 조 표"}</definedName>
    <definedName name="JDHD" localSheetId="18" hidden="1">{#N/A,#N/A,TRUE,"대 차 대 조 표"}</definedName>
    <definedName name="JDHD" localSheetId="24" hidden="1">{#N/A,#N/A,TRUE,"대 차 대 조 표"}</definedName>
    <definedName name="JDHD" hidden="1">{#N/A,#N/A,TRUE,"대 차 대 조 표"}</definedName>
    <definedName name="jdnd" localSheetId="23" hidden="1">{#N/A,#N/A,FALSE,"BS";#N/A,#N/A,FALSE,"PL";#N/A,#N/A,FALSE,"처분";#N/A,#N/A,FALSE,"현금";#N/A,#N/A,FALSE,"매출";#N/A,#N/A,FALSE,"원가";#N/A,#N/A,FALSE,"경영"}</definedName>
    <definedName name="jdnd" localSheetId="18" hidden="1">{#N/A,#N/A,FALSE,"BS";#N/A,#N/A,FALSE,"PL";#N/A,#N/A,FALSE,"처분";#N/A,#N/A,FALSE,"현금";#N/A,#N/A,FALSE,"매출";#N/A,#N/A,FALSE,"원가";#N/A,#N/A,FALSE,"경영"}</definedName>
    <definedName name="jdnd" localSheetId="24"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3" hidden="1">{"RetSum1",#N/A,FALSE,"Returns Summary";"RetSum2",#N/A,FALSE,"Returns Summary"}</definedName>
    <definedName name="jfk" localSheetId="18" hidden="1">{"RetSum1",#N/A,FALSE,"Returns Summary";"RetSum2",#N/A,FALSE,"Returns Summary"}</definedName>
    <definedName name="jfk" localSheetId="24" hidden="1">{"RetSum1",#N/A,FALSE,"Returns Summary";"RetSum2",#N/A,FALSE,"Returns Summary"}</definedName>
    <definedName name="jfk" hidden="1">{"RetSum1",#N/A,FALSE,"Returns Summary";"RetSum2",#N/A,FALSE,"Returns Summary"}</definedName>
    <definedName name="jgjghjghj" localSheetId="23" hidden="1">{#N/A,#N/A,TRUE,"Summary1";#N/A,#N/A,TRUE,"Summary2";#N/A,#N/A,TRUE,"Rec to feasi";#N/A,#N/A,TRUE,"Ext-Shops";#N/A,#N/A,TRUE,"Lost"}</definedName>
    <definedName name="jgjghjghj" localSheetId="18" hidden="1">{#N/A,#N/A,TRUE,"Summary1";#N/A,#N/A,TRUE,"Summary2";#N/A,#N/A,TRUE,"Rec to feasi";#N/A,#N/A,TRUE,"Ext-Shops";#N/A,#N/A,TRUE,"Lost"}</definedName>
    <definedName name="jgjghjghj" localSheetId="24" hidden="1">{#N/A,#N/A,TRUE,"Summary1";#N/A,#N/A,TRUE,"Summary2";#N/A,#N/A,TRUE,"Rec to feasi";#N/A,#N/A,TRUE,"Ext-Shops";#N/A,#N/A,TRUE,"Lost"}</definedName>
    <definedName name="jgjghjghj" hidden="1">{#N/A,#N/A,TRUE,"Summary1";#N/A,#N/A,TRUE,"Summary2";#N/A,#N/A,TRUE,"Rec to feasi";#N/A,#N/A,TRUE,"Ext-Shops";#N/A,#N/A,TRUE,"Lost"}</definedName>
    <definedName name="JHGD" localSheetId="23" hidden="1">{#N/A,#N/A,FALSE,"동부"}</definedName>
    <definedName name="JHGD" localSheetId="18" hidden="1">{#N/A,#N/A,FALSE,"동부"}</definedName>
    <definedName name="JHGD" localSheetId="24" hidden="1">{#N/A,#N/A,FALSE,"동부"}</definedName>
    <definedName name="JHGD" hidden="1">{#N/A,#N/A,FALSE,"동부"}</definedName>
    <definedName name="JHG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3" hidden="1">{#N/A,#N/A,FALSE,"동부"}</definedName>
    <definedName name="JHGT" localSheetId="18" hidden="1">{#N/A,#N/A,FALSE,"동부"}</definedName>
    <definedName name="JHGT" localSheetId="24" hidden="1">{#N/A,#N/A,FALSE,"동부"}</definedName>
    <definedName name="JHGT" hidden="1">{#N/A,#N/A,FALSE,"동부"}</definedName>
    <definedName name="JHJ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3" hidden="1">{#N/A,#N/A,TRUE,"Y생산";#N/A,#N/A,TRUE,"Y판매";#N/A,#N/A,TRUE,"Y총물량";#N/A,#N/A,TRUE,"Y능력";#N/A,#N/A,TRUE,"YKD"}</definedName>
    <definedName name="JJJJJJ" localSheetId="18" hidden="1">{#N/A,#N/A,TRUE,"Y생산";#N/A,#N/A,TRUE,"Y판매";#N/A,#N/A,TRUE,"Y총물량";#N/A,#N/A,TRUE,"Y능력";#N/A,#N/A,TRUE,"YKD"}</definedName>
    <definedName name="JJJJJJ" localSheetId="24" hidden="1">{#N/A,#N/A,TRUE,"Y생산";#N/A,#N/A,TRUE,"Y판매";#N/A,#N/A,TRUE,"Y총물량";#N/A,#N/A,TRUE,"Y능력";#N/A,#N/A,TRUE,"YKD"}</definedName>
    <definedName name="JJJJJJ" hidden="1">{#N/A,#N/A,TRUE,"Y생산";#N/A,#N/A,TRUE,"Y판매";#N/A,#N/A,TRUE,"Y총물량";#N/A,#N/A,TRUE,"Y능력";#N/A,#N/A,TRUE,"YKD"}</definedName>
    <definedName name="JJSU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3" hidden="1">{#N/A,#N/A,FALSE,"이력서&amp;자기소개서"}</definedName>
    <definedName name="jkljk" localSheetId="18" hidden="1">{#N/A,#N/A,FALSE,"이력서&amp;자기소개서"}</definedName>
    <definedName name="jkljk" localSheetId="24" hidden="1">{#N/A,#N/A,FALSE,"이력서&amp;자기소개서"}</definedName>
    <definedName name="jkljk" hidden="1">{#N/A,#N/A,FALSE,"이력서&amp;자기소개서"}</definedName>
    <definedName name="JSH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3" hidden="1">{#N/A,#N/A,FALSE,"BS";#N/A,#N/A,FALSE,"PL";#N/A,#N/A,FALSE,"A";#N/A,#N/A,FALSE,"B";#N/A,#N/A,FALSE,"B1";#N/A,#N/A,FALSE,"C";#N/A,#N/A,FALSE,"C1";#N/A,#N/A,FALSE,"C2";#N/A,#N/A,FALSE,"D";#N/A,#N/A,FALSE,"E";#N/A,#N/A,FALSE,"F";#N/A,#N/A,FALSE,"AA";#N/A,#N/A,FALSE,"BB";#N/A,#N/A,FALSE,"CC";#N/A,#N/A,FALSE,"DD";#N/A,#N/A,FALSE,"EE";#N/A,#N/A,FALSE,"FF";#N/A,#N/A,FALSE,"PL10";#N/A,#N/A,FALSE,"PL20";#N/A,#N/A,FALSE,"PL30"}</definedName>
    <definedName name="kdi" localSheetId="18" hidden="1">{#N/A,#N/A,FALSE,"BS";#N/A,#N/A,FALSE,"PL";#N/A,#N/A,FALSE,"A";#N/A,#N/A,FALSE,"B";#N/A,#N/A,FALSE,"B1";#N/A,#N/A,FALSE,"C";#N/A,#N/A,FALSE,"C1";#N/A,#N/A,FALSE,"C2";#N/A,#N/A,FALSE,"D";#N/A,#N/A,FALSE,"E";#N/A,#N/A,FALSE,"F";#N/A,#N/A,FALSE,"AA";#N/A,#N/A,FALSE,"BB";#N/A,#N/A,FALSE,"CC";#N/A,#N/A,FALSE,"DD";#N/A,#N/A,FALSE,"EE";#N/A,#N/A,FALSE,"FF";#N/A,#N/A,FALSE,"PL10";#N/A,#N/A,FALSE,"PL20";#N/A,#N/A,FALSE,"PL30"}</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3" hidden="1">{"Actual",#N/A,FALSE,"(価格)";"Market",#N/A,FALSE,"(価格)";"Plan",#N/A,FALSE,"(価格)"}</definedName>
    <definedName name="ki" localSheetId="18" hidden="1">{"Actual",#N/A,FALSE,"(価格)";"Market",#N/A,FALSE,"(価格)";"Plan",#N/A,FALSE,"(価格)"}</definedName>
    <definedName name="ki" localSheetId="24" hidden="1">{"Actual",#N/A,FALSE,"(価格)";"Market",#N/A,FALSE,"(価格)";"Plan",#N/A,FALSE,"(価格)"}</definedName>
    <definedName name="ki" hidden="1">{"Actual",#N/A,FALSE,"(価格)";"Market",#N/A,FALSE,"(価格)";"Plan",#N/A,FALSE,"(価格)"}</definedName>
    <definedName name="KIA" localSheetId="23" hidden="1">{#N/A,#N/A,FALSE,"단축1";#N/A,#N/A,FALSE,"단축2";#N/A,#N/A,FALSE,"단축3";#N/A,#N/A,FALSE,"장축";#N/A,#N/A,FALSE,"4WD"}</definedName>
    <definedName name="KIA" localSheetId="18" hidden="1">{#N/A,#N/A,FALSE,"단축1";#N/A,#N/A,FALSE,"단축2";#N/A,#N/A,FALSE,"단축3";#N/A,#N/A,FALSE,"장축";#N/A,#N/A,FALSE,"4WD"}</definedName>
    <definedName name="KIA" localSheetId="24" hidden="1">{#N/A,#N/A,FALSE,"단축1";#N/A,#N/A,FALSE,"단축2";#N/A,#N/A,FALSE,"단축3";#N/A,#N/A,FALSE,"장축";#N/A,#N/A,FALSE,"4WD"}</definedName>
    <definedName name="KIA" hidden="1">{#N/A,#N/A,FALSE,"단축1";#N/A,#N/A,FALSE,"단축2";#N/A,#N/A,FALSE,"단축3";#N/A,#N/A,FALSE,"장축";#N/A,#N/A,FALSE,"4WD"}</definedName>
    <definedName name="ｋｋ" localSheetId="23" hidden="1">{"summary",#N/A,TRUE,"Focus";"interestexpense",#N/A,TRUE,"Focus";"interestincome",#N/A,TRUE,"Focus";"dividend",#N/A,TRUE,"Focus";"feeincome",#N/A,TRUE,"Focus";"gain",#N/A,TRUE,"Focus"}</definedName>
    <definedName name="ｋｋ" localSheetId="18" hidden="1">{"summary",#N/A,TRUE,"Focus";"interestexpense",#N/A,TRUE,"Focus";"interestincome",#N/A,TRUE,"Focus";"dividend",#N/A,TRUE,"Focus";"feeincome",#N/A,TRUE,"Focus";"gain",#N/A,TRUE,"Focus"}</definedName>
    <definedName name="ｋｋ" localSheetId="24"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3" hidden="1">{"AJD",#N/A,TRUE,"Summary";"AJD",#N/A,TRUE,"CFCONC-outputs";"AJD",#N/A,TRUE,"P&amp;LCONC-outputs";"AJD",#N/A,TRUE,"BSCONC-outputs";"AJD",#N/A,TRUE,"FSCONC-outputs"}</definedName>
    <definedName name="KKKK" localSheetId="18" hidden="1">{"AJD",#N/A,TRUE,"Summary";"AJD",#N/A,TRUE,"CFCONC-outputs";"AJD",#N/A,TRUE,"P&amp;LCONC-outputs";"AJD",#N/A,TRUE,"BSCONC-outputs";"AJD",#N/A,TRUE,"FSCONC-outputs"}</definedName>
    <definedName name="KKKK" localSheetId="24"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3" hidden="1">{#N/A,#N/A,FALSE,"동부"}</definedName>
    <definedName name="KSJ_25" localSheetId="18" hidden="1">{#N/A,#N/A,FALSE,"동부"}</definedName>
    <definedName name="KSJ_25" localSheetId="24" hidden="1">{#N/A,#N/A,FALSE,"동부"}</definedName>
    <definedName name="KSJ_25" hidden="1">{#N/A,#N/A,FALSE,"동부"}</definedName>
    <definedName name="KSJ_25_1" localSheetId="23" hidden="1">{#N/A,#N/A,FALSE,"동부"}</definedName>
    <definedName name="KSJ_25_1" localSheetId="18" hidden="1">{#N/A,#N/A,FALSE,"동부"}</definedName>
    <definedName name="KSJ_25_1" localSheetId="24"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3" hidden="1">{#N/A,#N/A,FALSE,"동부"}</definedName>
    <definedName name="l" localSheetId="18" hidden="1">{#N/A,#N/A,FALSE,"동부"}</definedName>
    <definedName name="l" localSheetId="24" hidden="1">{#N/A,#N/A,FALSE,"동부"}</definedName>
    <definedName name="l" hidden="1">{#N/A,#N/A,FALSE,"동부"}</definedName>
    <definedName name="LAK"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3" hidden="1">{#N/A,#N/A,FALSE,"OperatingAssumptions"}</definedName>
    <definedName name="lhg" localSheetId="18" hidden="1">{#N/A,#N/A,FALSE,"OperatingAssumptions"}</definedName>
    <definedName name="lhg" localSheetId="24" hidden="1">{#N/A,#N/A,FALSE,"OperatingAssumptions"}</definedName>
    <definedName name="lhg" hidden="1">{#N/A,#N/A,FALSE,"OperatingAssumptions"}</definedName>
    <definedName name="li" localSheetId="23" hidden="1">{"'용역비'!$A$4:$C$8"}</definedName>
    <definedName name="li" localSheetId="18" hidden="1">{"'용역비'!$A$4:$C$8"}</definedName>
    <definedName name="li" localSheetId="24" hidden="1">{"'용역비'!$A$4:$C$8"}</definedName>
    <definedName name="li" hidden="1">{"'용역비'!$A$4:$C$8"}</definedName>
    <definedName name="LINE검토2" localSheetId="23" hidden="1">{#N/A,#N/A,TRUE,"Y생산";#N/A,#N/A,TRUE,"Y판매";#N/A,#N/A,TRUE,"Y총물량";#N/A,#N/A,TRUE,"Y능력";#N/A,#N/A,TRUE,"YKD"}</definedName>
    <definedName name="LINE검토2" localSheetId="18" hidden="1">{#N/A,#N/A,TRUE,"Y생산";#N/A,#N/A,TRUE,"Y판매";#N/A,#N/A,TRUE,"Y총물량";#N/A,#N/A,TRUE,"Y능력";#N/A,#N/A,TRUE,"YKD"}</definedName>
    <definedName name="LINE검토2" localSheetId="24" hidden="1">{#N/A,#N/A,TRUE,"Y생산";#N/A,#N/A,TRUE,"Y판매";#N/A,#N/A,TRUE,"Y총물량";#N/A,#N/A,TRUE,"Y능력";#N/A,#N/A,TRUE,"YKD"}</definedName>
    <definedName name="LINE검토2" hidden="1">{#N/A,#N/A,TRUE,"Y생산";#N/A,#N/A,TRUE,"Y판매";#N/A,#N/A,TRUE,"Y총물량";#N/A,#N/A,TRUE,"Y능력";#N/A,#N/A,TRUE,"YKD"}</definedName>
    <definedName name="ljklj" localSheetId="23" hidden="1">{#N/A,#N/A,FALSE,"Profit"}</definedName>
    <definedName name="ljklj" localSheetId="18" hidden="1">{#N/A,#N/A,FALSE,"Profit"}</definedName>
    <definedName name="ljklj" localSheetId="24" hidden="1">{#N/A,#N/A,FALSE,"Profit"}</definedName>
    <definedName name="ljklj" hidden="1">{#N/A,#N/A,FALSE,"Profit"}</definedName>
    <definedName name="ljlj" localSheetId="23" hidden="1">{"Trust",#N/A,FALSE,"trust";"TrustPM",#N/A,FALSE,"trustpm"}</definedName>
    <definedName name="ljlj" localSheetId="18" hidden="1">{"Trust",#N/A,FALSE,"trust";"TrustPM",#N/A,FALSE,"trustpm"}</definedName>
    <definedName name="ljlj" localSheetId="24" hidden="1">{"Trust",#N/A,FALSE,"trust";"TrustPM",#N/A,FALSE,"trustpm"}</definedName>
    <definedName name="ljlj" hidden="1">{"Trust",#N/A,FALSE,"trust";"TrustPM",#N/A,FALSE,"trustpm"}</definedName>
    <definedName name="lkrj" localSheetId="23" hidden="1">{"AnnualRentRoll",#N/A,FALSE,"RentRoll"}</definedName>
    <definedName name="lkrj" localSheetId="18" hidden="1">{"AnnualRentRoll",#N/A,FALSE,"RentRoll"}</definedName>
    <definedName name="lkrj" localSheetId="24" hidden="1">{"AnnualRentRoll",#N/A,FALSE,"RentRoll"}</definedName>
    <definedName name="lkrj" hidden="1">{"AnnualRentRoll",#N/A,FALSE,"RentRoll"}</definedName>
    <definedName name="ｌｌ" localSheetId="23" hidden="1">{"pond1",#N/A,FALSE,"Focus";"pond2",#N/A,FALSE,"Focus"}</definedName>
    <definedName name="ｌｌ" localSheetId="18" hidden="1">{"pond1",#N/A,FALSE,"Focus";"pond2",#N/A,FALSE,"Focus"}</definedName>
    <definedName name="ｌｌ" localSheetId="24" hidden="1">{"pond1",#N/A,FALSE,"Focus";"pond2",#N/A,FALSE,"Focus"}</definedName>
    <definedName name="ｌｌ" hidden="1">{"pond1",#N/A,FALSE,"Focus";"pond2",#N/A,FALSE,"Focus"}</definedName>
    <definedName name="LLDIEK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3" hidden="1">{#N/A,#N/A,FALSE,"LoanAssumptions"}</definedName>
    <definedName name="lo" localSheetId="18" hidden="1">{#N/A,#N/A,FALSE,"LoanAssumptions"}</definedName>
    <definedName name="lo" localSheetId="24" hidden="1">{#N/A,#N/A,FALSE,"LoanAssumptions"}</definedName>
    <definedName name="lo" hidden="1">{#N/A,#N/A,FALSE,"LoanAssumptions"}</definedName>
    <definedName name="lp" localSheetId="23" hidden="1">{"pond1",#N/A,FALSE,"Focus";"pond2",#N/A,FALSE,"Focus"}</definedName>
    <definedName name="lp" localSheetId="18" hidden="1">{"pond1",#N/A,FALSE,"Focus";"pond2",#N/A,FALSE,"Focus"}</definedName>
    <definedName name="lp" localSheetId="24" hidden="1">{"pond1",#N/A,FALSE,"Focus";"pond2",#N/A,FALSE,"Focus"}</definedName>
    <definedName name="lp" hidden="1">{"pond1",#N/A,FALSE,"Focus";"pond2",#N/A,FALSE,"Focus"}</definedName>
    <definedName name="MAN" hidden="1">#N/A</definedName>
    <definedName name="Marketing" localSheetId="23" hidden="1">{#N/A,#N/A,FALSE,"Menu";#N/A,#N/A,FALSE,"Sch A";#N/A,#N/A,FALSE,"Print Dummy";#N/A,#N/A,FALSE,"Sch B";#N/A,#N/A,FALSE,"Sch C";#N/A,#N/A,FALSE,"Sch D";#N/A,#N/A,FALSE,"Sch E";#N/A,#N/A,FALSE,"Sch F";#N/A,#N/A,FALSE,"Sch G";#N/A,#N/A,FALSE,"Sch H";#N/A,#N/A,FALSE,"Sch I";#N/A,#N/A,FALSE,"Sch J"}</definedName>
    <definedName name="Marketing" localSheetId="18" hidden="1">{#N/A,#N/A,FALSE,"Menu";#N/A,#N/A,FALSE,"Sch A";#N/A,#N/A,FALSE,"Print Dummy";#N/A,#N/A,FALSE,"Sch B";#N/A,#N/A,FALSE,"Sch C";#N/A,#N/A,FALSE,"Sch D";#N/A,#N/A,FALSE,"Sch E";#N/A,#N/A,FALSE,"Sch F";#N/A,#N/A,FALSE,"Sch G";#N/A,#N/A,FALSE,"Sch H";#N/A,#N/A,FALSE,"Sch I";#N/A,#N/A,FALSE,"Sch J"}</definedName>
    <definedName name="Marketing" localSheetId="24"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3" hidden="1">{#N/A,#N/A,FALSE,"Menu";#N/A,#N/A,FALSE,"Sch A";#N/A,#N/A,FALSE,"Print Dummy";#N/A,#N/A,FALSE,"Sch B";#N/A,#N/A,FALSE,"Sch C";#N/A,#N/A,FALSE,"Sch D";#N/A,#N/A,FALSE,"Sch E";#N/A,#N/A,FALSE,"Sch F";#N/A,#N/A,FALSE,"Sch G";#N/A,#N/A,FALSE,"Sch H";#N/A,#N/A,FALSE,"Sch I";#N/A,#N/A,FALSE,"Sch J"}</definedName>
    <definedName name="Marketing1" localSheetId="18"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3" hidden="1">{#N/A,#N/A,FALSE,"Menu";#N/A,#N/A,FALSE,"Sch A";#N/A,#N/A,FALSE,"Print Dummy";#N/A,#N/A,FALSE,"Sch B";#N/A,#N/A,FALSE,"Sch C";#N/A,#N/A,FALSE,"Sch D";#N/A,#N/A,FALSE,"Sch E";#N/A,#N/A,FALSE,"Sch F";#N/A,#N/A,FALSE,"Sch G";#N/A,#N/A,FALSE,"Sch H";#N/A,#N/A,FALSE,"Sch I";#N/A,#N/A,FALSE,"Sch J"}</definedName>
    <definedName name="Marketing2" localSheetId="18"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3" hidden="1">{#N/A,#N/A,FALSE,"Menu";#N/A,#N/A,FALSE,"Sch A";#N/A,#N/A,FALSE,"Print Dummy";#N/A,#N/A,FALSE,"Sch B";#N/A,#N/A,FALSE,"Sch C";#N/A,#N/A,FALSE,"Sch D";#N/A,#N/A,FALSE,"Sch E";#N/A,#N/A,FALSE,"Sch F";#N/A,#N/A,FALSE,"Sch G";#N/A,#N/A,FALSE,"Sch H";#N/A,#N/A,FALSE,"Sch I";#N/A,#N/A,FALSE,"Sch J"}</definedName>
    <definedName name="Marketing3" localSheetId="18"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3" hidden="1">{#N/A,#N/A,FALSE,"Menu";#N/A,#N/A,FALSE,"Sch A";#N/A,#N/A,FALSE,"Print Dummy";#N/A,#N/A,FALSE,"Sch B";#N/A,#N/A,FALSE,"Sch C";#N/A,#N/A,FALSE,"Sch D";#N/A,#N/A,FALSE,"Sch E";#N/A,#N/A,FALSE,"Sch F";#N/A,#N/A,FALSE,"Sch G";#N/A,#N/A,FALSE,"Sch H";#N/A,#N/A,FALSE,"Sch I";#N/A,#N/A,FALSE,"Sch J"}</definedName>
    <definedName name="Marketing4" localSheetId="18"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3" hidden="1">{#N/A,#N/A,FALSE,"Menu";#N/A,#N/A,FALSE,"Sch A";#N/A,#N/A,FALSE,"Print Dummy";#N/A,#N/A,FALSE,"Sch B";#N/A,#N/A,FALSE,"Sch C";#N/A,#N/A,FALSE,"Sch D";#N/A,#N/A,FALSE,"Sch E";#N/A,#N/A,FALSE,"Sch F";#N/A,#N/A,FALSE,"Sch G";#N/A,#N/A,FALSE,"Sch H";#N/A,#N/A,FALSE,"Sch I";#N/A,#N/A,FALSE,"Sch J"}</definedName>
    <definedName name="Marketing5" localSheetId="18"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3" hidden="1">{#N/A,#N/A,FALSE,"Menu";#N/A,#N/A,FALSE,"Sch A";#N/A,#N/A,FALSE,"Print Dummy";#N/A,#N/A,FALSE,"Sch B";#N/A,#N/A,FALSE,"Sch C";#N/A,#N/A,FALSE,"Sch D";#N/A,#N/A,FALSE,"Sch E";#N/A,#N/A,FALSE,"Sch F";#N/A,#N/A,FALSE,"Sch G";#N/A,#N/A,FALSE,"Sch H";#N/A,#N/A,FALSE,"Sch I";#N/A,#N/A,FALSE,"Sch J"}</definedName>
    <definedName name="Marketing6" localSheetId="18"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3" hidden="1">{"AnnualRentRoll",#N/A,FALSE,"RentRoll"}</definedName>
    <definedName name="mhy" localSheetId="18" hidden="1">{"AnnualRentRoll",#N/A,FALSE,"RentRoll"}</definedName>
    <definedName name="mhy" localSheetId="24" hidden="1">{"AnnualRentRoll",#N/A,FALSE,"RentRoll"}</definedName>
    <definedName name="mhy" hidden="1">{"AnnualRentRoll",#N/A,FALSE,"RentRoll"}</definedName>
    <definedName name="minamisenba" localSheetId="23" hidden="1">{#N/A,#N/A,FALSE,"１";#N/A,#N/A,FALSE,"２";#N/A,#N/A,FALSE,"３";#N/A,#N/A,FALSE,"４"}</definedName>
    <definedName name="minamisenba" localSheetId="18" hidden="1">{#N/A,#N/A,FALSE,"１";#N/A,#N/A,FALSE,"２";#N/A,#N/A,FALSE,"３";#N/A,#N/A,FALSE,"４"}</definedName>
    <definedName name="minamisenba" localSheetId="24" hidden="1">{#N/A,#N/A,FALSE,"１";#N/A,#N/A,FALSE,"２";#N/A,#N/A,FALSE,"３";#N/A,#N/A,FALSE,"４"}</definedName>
    <definedName name="minamisenba" hidden="1">{#N/A,#N/A,FALSE,"１";#N/A,#N/A,FALSE,"２";#N/A,#N/A,FALSE,"３";#N/A,#N/A,FALSE,"４"}</definedName>
    <definedName name="Miscjnl4" localSheetId="23" hidden="1">{#N/A,#N/A,FALSE,"Data Input";#N/A,#N/A,FALSE,"1. Income";#N/A,#N/A,FALSE,"2. Rates &amp; Taxes";#N/A,#N/A,FALSE,"3. Extended Trade";#N/A,#N/A,FALSE,"4. Non Recoverable Expenses";#N/A,#N/A,FALSE,"5. Recoverable Expenses";#N/A,#N/A,FALSE,"6. Cleaning"}</definedName>
    <definedName name="Miscjnl4" localSheetId="18" hidden="1">{#N/A,#N/A,FALSE,"Data Input";#N/A,#N/A,FALSE,"1. Income";#N/A,#N/A,FALSE,"2. Rates &amp; Taxes";#N/A,#N/A,FALSE,"3. Extended Trade";#N/A,#N/A,FALSE,"4. Non Recoverable Expenses";#N/A,#N/A,FALSE,"5. Recoverable Expenses";#N/A,#N/A,FALSE,"6. Cleaning"}</definedName>
    <definedName name="Miscjnl4" localSheetId="24"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3" hidden="1">{#N/A,#N/A,FALSE,"OperatingAssumptions"}</definedName>
    <definedName name="mki" localSheetId="18" hidden="1">{#N/A,#N/A,FALSE,"OperatingAssumptions"}</definedName>
    <definedName name="mki" localSheetId="24" hidden="1">{#N/A,#N/A,FALSE,"OperatingAssumptions"}</definedName>
    <definedName name="mki" hidden="1">{#N/A,#N/A,FALSE,"OperatingAssumptions"}</definedName>
    <definedName name="mkl" localSheetId="23" hidden="1">{#N/A,#N/A,TRUE,"Y생산";#N/A,#N/A,TRUE,"Y판매";#N/A,#N/A,TRUE,"Y총물량";#N/A,#N/A,TRUE,"Y능력";#N/A,#N/A,TRUE,"YKD"}</definedName>
    <definedName name="mkl" localSheetId="18" hidden="1">{#N/A,#N/A,TRUE,"Y생산";#N/A,#N/A,TRUE,"Y판매";#N/A,#N/A,TRUE,"Y총물량";#N/A,#N/A,TRUE,"Y능력";#N/A,#N/A,TRUE,"YKD"}</definedName>
    <definedName name="mkl" localSheetId="24" hidden="1">{#N/A,#N/A,TRUE,"Y생산";#N/A,#N/A,TRUE,"Y판매";#N/A,#N/A,TRUE,"Y총물량";#N/A,#N/A,TRUE,"Y능력";#N/A,#N/A,TRUE,"YKD"}</definedName>
    <definedName name="mkl" hidden="1">{#N/A,#N/A,TRUE,"Y생산";#N/A,#N/A,TRUE,"Y판매";#N/A,#N/A,TRUE,"Y총물량";#N/A,#N/A,TRUE,"Y능력";#N/A,#N/A,TRUE,"YKD"}</definedName>
    <definedName name="mkl_1" localSheetId="23" hidden="1">{#N/A,#N/A,TRUE,"Y생산";#N/A,#N/A,TRUE,"Y판매";#N/A,#N/A,TRUE,"Y총물량";#N/A,#N/A,TRUE,"Y능력";#N/A,#N/A,TRUE,"YKD"}</definedName>
    <definedName name="mkl_1" localSheetId="18" hidden="1">{#N/A,#N/A,TRUE,"Y생산";#N/A,#N/A,TRUE,"Y판매";#N/A,#N/A,TRUE,"Y총물량";#N/A,#N/A,TRUE,"Y능력";#N/A,#N/A,TRUE,"YKD"}</definedName>
    <definedName name="mkl_1" localSheetId="24" hidden="1">{#N/A,#N/A,TRUE,"Y생산";#N/A,#N/A,TRUE,"Y판매";#N/A,#N/A,TRUE,"Y총물량";#N/A,#N/A,TRUE,"Y능력";#N/A,#N/A,TRUE,"YKD"}</definedName>
    <definedName name="mkl_1" hidden="1">{#N/A,#N/A,TRUE,"Y생산";#N/A,#N/A,TRUE,"Y판매";#N/A,#N/A,TRUE,"Y총물량";#N/A,#N/A,TRUE,"Y능력";#N/A,#N/A,TRUE,"YKD"}</definedName>
    <definedName name="mmm"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3" hidden="1">{"Actual",#N/A,FALSE,"(価格)";"Market",#N/A,FALSE,"(価格)";"Plan",#N/A,FALSE,"(価格)"}</definedName>
    <definedName name="mokuji" localSheetId="18" hidden="1">{"Actual",#N/A,FALSE,"(価格)";"Market",#N/A,FALSE,"(価格)";"Plan",#N/A,FALSE,"(価格)"}</definedName>
    <definedName name="mokuji" localSheetId="24" hidden="1">{"Actual",#N/A,FALSE,"(価格)";"Market",#N/A,FALSE,"(価格)";"Plan",#N/A,FALSE,"(価格)"}</definedName>
    <definedName name="mokuji" hidden="1">{"Actual",#N/A,FALSE,"(価格)";"Market",#N/A,FALSE,"(価格)";"Plan",#N/A,FALSE,"(価格)"}</definedName>
    <definedName name="mort3" localSheetId="23"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8"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3" hidden="1">{#N/A,#N/A,FALSE,"BS";#N/A,#N/A,FALSE,"PL";#N/A,#N/A,FALSE,"처분";#N/A,#N/A,FALSE,"현금";#N/A,#N/A,FALSE,"매출";#N/A,#N/A,FALSE,"원가";#N/A,#N/A,FALSE,"경영"}</definedName>
    <definedName name="MP" localSheetId="18" hidden="1">{#N/A,#N/A,FALSE,"BS";#N/A,#N/A,FALSE,"PL";#N/A,#N/A,FALSE,"처분";#N/A,#N/A,FALSE,"현금";#N/A,#N/A,FALSE,"매출";#N/A,#N/A,FALSE,"원가";#N/A,#N/A,FALSE,"경영"}</definedName>
    <definedName name="MP" localSheetId="24"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3" hidden="1">{#N/A,#N/A,FALSE,"asset plan";#N/A,#N/A,FALSE,"Mgmt Report";#N/A,#N/A,FALSE,"sensitivities (2)";#N/A,#N/A,FALSE,"sensitivities";#N/A,#N/A,FALSE,"let up 10  Mort";#N/A,#N/A,FALSE,"let up 12 Mort";#N/A,#N/A,FALSE,"Capex";#N/A,#N/A,FALSE,"Capex Cashflow (2)";#N/A,#N/A,FALSE,"Capex Cashflow (3)";#N/A,#N/A,FALSE,"House View";#N/A,#N/A,FALSE,"kpi"}</definedName>
    <definedName name="ms" localSheetId="18" hidden="1">{#N/A,#N/A,FALSE,"asset plan";#N/A,#N/A,FALSE,"Mgmt Report";#N/A,#N/A,FALSE,"sensitivities (2)";#N/A,#N/A,FALSE,"sensitivities";#N/A,#N/A,FALSE,"let up 10  Mort";#N/A,#N/A,FALSE,"let up 12 Mort";#N/A,#N/A,FALSE,"Capex";#N/A,#N/A,FALSE,"Capex Cashflow (2)";#N/A,#N/A,FALSE,"Capex Cashflow (3)";#N/A,#N/A,FALSE,"House View";#N/A,#N/A,FALSE,"kpi"}</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3" hidden="1">{"Actual",#N/A,FALSE,"(価格)";"Market",#N/A,FALSE,"(価格)";"Plan",#N/A,FALSE,"(価格)"}</definedName>
    <definedName name="mtb" localSheetId="18" hidden="1">{"Actual",#N/A,FALSE,"(価格)";"Market",#N/A,FALSE,"(価格)";"Plan",#N/A,FALSE,"(価格)"}</definedName>
    <definedName name="mtb" localSheetId="24" hidden="1">{"Actual",#N/A,FALSE,"(価格)";"Market",#N/A,FALSE,"(価格)";"Plan",#N/A,FALSE,"(価格)"}</definedName>
    <definedName name="mtb" hidden="1">{"Actual",#N/A,FALSE,"(価格)";"Market",#N/A,FALSE,"(価格)";"Plan",#N/A,FALSE,"(価格)"}</definedName>
    <definedName name="ｍｔｂ2" localSheetId="23" hidden="1">{"ｹﾝﾄ（M)",#N/A,FALSE,"収支・日割";"ｹﾝﾄ（RD)",#N/A,FALSE,"収支・日割";"ｹﾝﾄ（PMC)",#N/A,FALSE,"収支・日割"}</definedName>
    <definedName name="ｍｔｂ2" localSheetId="18" hidden="1">{"ｹﾝﾄ（M)",#N/A,FALSE,"収支・日割";"ｹﾝﾄ（RD)",#N/A,FALSE,"収支・日割";"ｹﾝﾄ（PMC)",#N/A,FALSE,"収支・日割"}</definedName>
    <definedName name="ｍｔｂ2" localSheetId="24" hidden="1">{"ｹﾝﾄ（M)",#N/A,FALSE,"収支・日割";"ｹﾝﾄ（RD)",#N/A,FALSE,"収支・日割";"ｹﾝﾄ（PMC)",#N/A,FALSE,"収支・日割"}</definedName>
    <definedName name="ｍｔｂ2" hidden="1">{"ｹﾝﾄ（M)",#N/A,FALSE,"収支・日割";"ｹﾝﾄ（RD)",#N/A,FALSE,"収支・日割";"ｹﾝﾄ（PMC)",#N/A,FALSE,"収支・日割"}</definedName>
    <definedName name="n"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3" hidden="1">{#N/A,#N/A,FALSE,"Outgoings"}</definedName>
    <definedName name="ncbnvnvc" localSheetId="18" hidden="1">{#N/A,#N/A,FALSE,"Outgoings"}</definedName>
    <definedName name="ncbnvnvc" localSheetId="24" hidden="1">{#N/A,#N/A,FALSE,"Outgoings"}</definedName>
    <definedName name="ncbnvnvc" hidden="1">{#N/A,#N/A,FALSE,"Outgoings"}</definedName>
    <definedName name="ncnbcvvcnb" localSheetId="23" hidden="1">{#N/A,#N/A,FALSE,"Summary1";#N/A,#N/A,FALSE,"Summary2";#N/A,#N/A,FALSE,"Variation";#N/A,#N/A,FALSE,"Ext-Shops";#N/A,#N/A,FALSE,"Lost"}</definedName>
    <definedName name="ncnbcvvcnb" localSheetId="18" hidden="1">{#N/A,#N/A,FALSE,"Summary1";#N/A,#N/A,FALSE,"Summary2";#N/A,#N/A,FALSE,"Variation";#N/A,#N/A,FALSE,"Ext-Shops";#N/A,#N/A,FALSE,"Lost"}</definedName>
    <definedName name="ncnbcvvcnb" localSheetId="24" hidden="1">{#N/A,#N/A,FALSE,"Summary1";#N/A,#N/A,FALSE,"Summary2";#N/A,#N/A,FALSE,"Variation";#N/A,#N/A,FALSE,"Ext-Shops";#N/A,#N/A,FALSE,"Lost"}</definedName>
    <definedName name="ncnbcvvcnb" hidden="1">{#N/A,#N/A,FALSE,"Summary1";#N/A,#N/A,FALSE,"Summary2";#N/A,#N/A,FALSE,"Variation";#N/A,#N/A,FALSE,"Ext-Shops";#N/A,#N/A,FALSE,"Lost"}</definedName>
    <definedName name="ncncbncvncvbn" localSheetId="23" hidden="1">{"State",#N/A,FALSE,"state";"StatePM",#N/A,FALSE,"statepm"}</definedName>
    <definedName name="ncncbncvncvbn" localSheetId="18" hidden="1">{"State",#N/A,FALSE,"state";"StatePM",#N/A,FALSE,"statepm"}</definedName>
    <definedName name="ncncbncvncvbn" localSheetId="24" hidden="1">{"State",#N/A,FALSE,"state";"StatePM",#N/A,FALSE,"statepm"}</definedName>
    <definedName name="ncncbncvncvbn" hidden="1">{"State",#N/A,FALSE,"state";"StatePM",#N/A,FALSE,"statepm"}</definedName>
    <definedName name="ncvbncmh" localSheetId="23" hidden="1">{#N/A,#N/A,FALSE,"Cover";#N/A,#N/A,FALSE,"Detail_Commit";#N/A,#N/A,FALSE,"Target Vacancies";#N/A,#N/A,FALSE,"Report1";#N/A,#N/A,FALSE,"Report1RGM";#N/A,#N/A,FALSE,"Report6";#N/A,#N/A,FALSE,"Report6RGM";#N/A,#N/A,FALSE,"Report9";#N/A,#N/A,FALSE,"Report10";#N/A,#N/A,FALSE,"Report11";#N/A,#N/A,FALSE,"Report13";#N/A,#N/A,FALSE,"Report13RGM"}</definedName>
    <definedName name="ncvbncmh" localSheetId="18" hidden="1">{#N/A,#N/A,FALSE,"Cover";#N/A,#N/A,FALSE,"Detail_Commit";#N/A,#N/A,FALSE,"Target Vacancies";#N/A,#N/A,FALSE,"Report1";#N/A,#N/A,FALSE,"Report1RGM";#N/A,#N/A,FALSE,"Report6";#N/A,#N/A,FALSE,"Report6RGM";#N/A,#N/A,FALSE,"Report9";#N/A,#N/A,FALSE,"Report10";#N/A,#N/A,FALSE,"Report11";#N/A,#N/A,FALSE,"Report13";#N/A,#N/A,FALSE,"Report13RGM"}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3" hidden="1">{#N/A,#N/A,FALSE,"CCTV"}</definedName>
    <definedName name="NEWNAME" localSheetId="18" hidden="1">{#N/A,#N/A,FALSE,"CCTV"}</definedName>
    <definedName name="NEWNAME" localSheetId="24" hidden="1">{#N/A,#N/A,FALSE,"CCTV"}</definedName>
    <definedName name="NEWNAME" hidden="1">{#N/A,#N/A,FALSE,"CCTV"}</definedName>
    <definedName name="Nitin" hidden="1">#N/A</definedName>
    <definedName name="njhnj" localSheetId="23" hidden="1">{#N/A,#N/A,TRUE,"Summary";#N/A,#N/A,TRUE,"Project Shops";#N/A,#N/A,TRUE,"Foodcourt";#N/A,#N/A,TRUE,"REMIX SHOPS"}</definedName>
    <definedName name="njhnj" localSheetId="18" hidden="1">{#N/A,#N/A,TRUE,"Summary";#N/A,#N/A,TRUE,"Project Shops";#N/A,#N/A,TRUE,"Foodcourt";#N/A,#N/A,TRUE,"REMIX SHOPS"}</definedName>
    <definedName name="njhnj" localSheetId="24" hidden="1">{#N/A,#N/A,TRUE,"Summary";#N/A,#N/A,TRUE,"Project Shops";#N/A,#N/A,TRUE,"Foodcourt";#N/A,#N/A,TRUE,"REMIX SHOPS"}</definedName>
    <definedName name="njhnj" hidden="1">{#N/A,#N/A,TRUE,"Summary";#N/A,#N/A,TRUE,"Project Shops";#N/A,#N/A,TRUE,"Foodcourt";#N/A,#N/A,TRUE,"REMIX SHOPS"}</definedName>
    <definedName name="njk"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3" hidden="1">{"CF",#N/A,FALSE,"Cash Flow";"RET",#N/A,FALSE,"Returns";"NPV",#N/A,FALSE,"Values";"ASMPT",#N/A,FALSE,"Assumptions"}</definedName>
    <definedName name="nn" localSheetId="18" hidden="1">{"CF",#N/A,FALSE,"Cash Flow";"RET",#N/A,FALSE,"Returns";"NPV",#N/A,FALSE,"Values";"ASMPT",#N/A,FALSE,"Assumptions"}</definedName>
    <definedName name="nn" localSheetId="24" hidden="1">{"CF",#N/A,FALSE,"Cash Flow";"RET",#N/A,FALSE,"Returns";"NPV",#N/A,FALSE,"Values";"ASMPT",#N/A,FALSE,"Assumptions"}</definedName>
    <definedName name="nn" hidden="1">{"CF",#N/A,FALSE,"Cash Flow";"RET",#N/A,FALSE,"Returns";"NPV",#N/A,FALSE,"Values";"ASMPT",#N/A,FALSE,"Assumptions"}</definedName>
    <definedName name="nnn" localSheetId="23" hidden="1">{#N/A,#N/A,FALSE,"동부"}</definedName>
    <definedName name="nnn" localSheetId="18" hidden="1">{#N/A,#N/A,FALSE,"동부"}</definedName>
    <definedName name="nnn" localSheetId="24" hidden="1">{#N/A,#N/A,FALSE,"동부"}</definedName>
    <definedName name="nnn" hidden="1">{#N/A,#N/A,FALSE,"동부"}</definedName>
    <definedName name="November"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3" hidden="1">{#N/A,#N/A,FALSE,"Index"}</definedName>
    <definedName name="nvnvbn" localSheetId="18" hidden="1">{#N/A,#N/A,FALSE,"Index"}</definedName>
    <definedName name="nvnvbn" localSheetId="24" hidden="1">{#N/A,#N/A,FALSE,"Index"}</definedName>
    <definedName name="nvnvbn" hidden="1">{#N/A,#N/A,FALSE,"Index"}</definedName>
    <definedName name="o" localSheetId="23" hidden="1">{#N/A,#N/A,FALSE,"동부"}</definedName>
    <definedName name="o" localSheetId="18" hidden="1">{#N/A,#N/A,FALSE,"동부"}</definedName>
    <definedName name="o" localSheetId="24" hidden="1">{#N/A,#N/A,FALSE,"동부"}</definedName>
    <definedName name="o" hidden="1">{#N/A,#N/A,FALSE,"동부"}</definedName>
    <definedName name="Office10"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3" hidden="1">{#N/A,#N/A,FALSE,"5YRASSPl - consol'd";#N/A,#N/A,FALSE,"5YRASSPl - hotel";#N/A,#N/A,FALSE,"5YRASSPl - excl htl";#N/A,#N/A,FALSE,"VarReport";#N/A,#N/A,FALSE,"Sensitivity";#N/A,#N/A,FALSE,"House View ";#N/A,#N/A,FALSE,"KPI"}</definedName>
    <definedName name="Office12" localSheetId="18" hidden="1">{#N/A,#N/A,FALSE,"5YRASSPl - consol'd";#N/A,#N/A,FALSE,"5YRASSPl - hotel";#N/A,#N/A,FALSE,"5YRASSPl - excl htl";#N/A,#N/A,FALSE,"VarReport";#N/A,#N/A,FALSE,"Sensitivity";#N/A,#N/A,FALSE,"House View ";#N/A,#N/A,FALSE,"KPI"}</definedName>
    <definedName name="Office12" localSheetId="24"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3" hidden="1">{#N/A,#N/A,FALSE,"5YRASSPl - consol'd";#N/A,#N/A,FALSE,"5YRASSPl - hotel";#N/A,#N/A,FALSE,"5YRASSPl - excl htl";#N/A,#N/A,FALSE,"VarReport";#N/A,#N/A,FALSE,"Sensitivity";#N/A,#N/A,FALSE,"House View ";#N/A,#N/A,FALSE,"KPI"}</definedName>
    <definedName name="Office2" localSheetId="18"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3" hidden="1">{#N/A,#N/A,TRUE,"Capex Summ";#N/A,#N/A,TRUE,"Essential Works.tw";#N/A,#N/A,TRUE,"Desirable Works.tw";#N/A,#N/A,TRUE,"Essential Works.rt";#N/A,#N/A,TRUE,"Desirable Works.rt";#N/A,#N/A,TRUE,"Mthly";#N/A,#N/A,TRUE,"Essential Works.ht";#N/A,#N/A,TRUE,"Desirable Works.ht";#N/A,#N/A,TRUE,"Incentives"}</definedName>
    <definedName name="Office3" localSheetId="18" hidden="1">{#N/A,#N/A,TRUE,"Capex Summ";#N/A,#N/A,TRUE,"Essential Works.tw";#N/A,#N/A,TRUE,"Desirable Works.tw";#N/A,#N/A,TRUE,"Essential Works.rt";#N/A,#N/A,TRUE,"Desirable Works.rt";#N/A,#N/A,TRUE,"Mthly";#N/A,#N/A,TRUE,"Essential Works.ht";#N/A,#N/A,TRUE,"Desirable Works.ht";#N/A,#N/A,TRUE,"Incentives"}</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3" hidden="1">{#N/A,#N/A,FALSE,"5YRASSPl - consol'd";#N/A,#N/A,FALSE,"5YRASSPl - hotel";#N/A,#N/A,FALSE,"5YRASSPl - excl htl";#N/A,#N/A,FALSE,"VarReport";#N/A,#N/A,FALSE,"Sensitivity";#N/A,#N/A,FALSE,"House View ";#N/A,#N/A,FALSE,"KPI"}</definedName>
    <definedName name="Office5" localSheetId="18" hidden="1">{#N/A,#N/A,FALSE,"5YRASSPl - consol'd";#N/A,#N/A,FALSE,"5YRASSPl - hotel";#N/A,#N/A,FALSE,"5YRASSPl - excl htl";#N/A,#N/A,FALSE,"VarReport";#N/A,#N/A,FALSE,"Sensitivity";#N/A,#N/A,FALSE,"House View ";#N/A,#N/A,FALSE,"KPI"}</definedName>
    <definedName name="Office5" localSheetId="24"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3" hidden="1">{#N/A,#N/A,TRUE,"Capex Summ";#N/A,#N/A,TRUE,"Essential Works.tw";#N/A,#N/A,TRUE,"Desirable Works.tw";#N/A,#N/A,TRUE,"Essential Works.rt";#N/A,#N/A,TRUE,"Desirable Works.rt";#N/A,#N/A,TRUE,"Mthly";#N/A,#N/A,TRUE,"Essential Works.ht";#N/A,#N/A,TRUE,"Desirable Works.ht";#N/A,#N/A,TRUE,"Incentives"}</definedName>
    <definedName name="Office9" localSheetId="18" hidden="1">{#N/A,#N/A,TRUE,"Capex Summ";#N/A,#N/A,TRUE,"Essential Works.tw";#N/A,#N/A,TRUE,"Desirable Works.tw";#N/A,#N/A,TRUE,"Essential Works.rt";#N/A,#N/A,TRUE,"Desirable Works.rt";#N/A,#N/A,TRUE,"Mthly";#N/A,#N/A,TRUE,"Essential Works.ht";#N/A,#N/A,TRUE,"Desirable Works.ht";#N/A,#N/A,TRUE,"Incentives"}</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3" hidden="1">{"'용역비'!$A$4:$C$8"}</definedName>
    <definedName name="OIL" localSheetId="18" hidden="1">{"'용역비'!$A$4:$C$8"}</definedName>
    <definedName name="OIL" localSheetId="24" hidden="1">{"'용역비'!$A$4:$C$8"}</definedName>
    <definedName name="OIL" hidden="1">{"'용역비'!$A$4:$C$8"}</definedName>
    <definedName name="olp" localSheetId="23" hidden="1">{"AJD",#N/A,TRUE,"Summary";"AJD",#N/A,TRUE,"CFCONC-outputs";"AJD",#N/A,TRUE,"P&amp;LCONC-outputs";"AJD",#N/A,TRUE,"BSCONC-outputs";"AJD",#N/A,TRUE,"FSCONC-outputs"}</definedName>
    <definedName name="olp" localSheetId="18" hidden="1">{"AJD",#N/A,TRUE,"Summary";"AJD",#N/A,TRUE,"CFCONC-outputs";"AJD",#N/A,TRUE,"P&amp;LCONC-outputs";"AJD",#N/A,TRUE,"BSCONC-outputs";"AJD",#N/A,TRUE,"FSCONC-outputs"}</definedName>
    <definedName name="olp" localSheetId="24"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3" hidden="1">{"AnnualRentRoll",#N/A,FALSE,"RentRoll"}</definedName>
    <definedName name="ono" localSheetId="18" hidden="1">{"AnnualRentRoll",#N/A,FALSE,"RentRoll"}</definedName>
    <definedName name="ono" localSheetId="24" hidden="1">{"AnnualRentRoll",#N/A,FALSE,"RentRoll"}</definedName>
    <definedName name="ono" hidden="1">{"AnnualRentRoll",#N/A,FALSE,"RentRoll"}</definedName>
    <definedName name="oo" localSheetId="23" hidden="1">{"ｹﾝﾄ（M)",#N/A,FALSE,"収支・日割";"ｹﾝﾄ（RD)",#N/A,FALSE,"収支・日割";"ｹﾝﾄ（PMC)",#N/A,FALSE,"収支・日割"}</definedName>
    <definedName name="oo" localSheetId="18" hidden="1">{"ｹﾝﾄ（M)",#N/A,FALSE,"収支・日割";"ｹﾝﾄ（RD)",#N/A,FALSE,"収支・日割";"ｹﾝﾄ（PMC)",#N/A,FALSE,"収支・日割"}</definedName>
    <definedName name="oo" localSheetId="24" hidden="1">{"ｹﾝﾄ（M)",#N/A,FALSE,"収支・日割";"ｹﾝﾄ（RD)",#N/A,FALSE,"収支・日割";"ｹﾝﾄ（PMC)",#N/A,FALSE,"収支・日割"}</definedName>
    <definedName name="oo" hidden="1">{"ｹﾝﾄ（M)",#N/A,FALSE,"収支・日割";"ｹﾝﾄ（RD)",#N/A,FALSE,"収支・日割";"ｹﾝﾄ（PMC)",#N/A,FALSE,"収支・日割"}</definedName>
    <definedName name="oonnoo" localSheetId="23" hidden="1">{#N/A,#N/A,FALSE,"LoanAssumptions"}</definedName>
    <definedName name="oonnoo" localSheetId="18" hidden="1">{#N/A,#N/A,FALSE,"LoanAssumptions"}</definedName>
    <definedName name="oonnoo" localSheetId="24" hidden="1">{#N/A,#N/A,FALSE,"LoanAssumptions"}</definedName>
    <definedName name="oonnoo" hidden="1">{#N/A,#N/A,FALSE,"LoanAssumptions"}</definedName>
    <definedName name="ooo" localSheetId="23" hidden="1">{#N/A,#N/A,TRUE,"대 차 대 조 표"}</definedName>
    <definedName name="ooo" localSheetId="18" hidden="1">{#N/A,#N/A,TRUE,"대 차 대 조 표"}</definedName>
    <definedName name="ooo" localSheetId="24" hidden="1">{#N/A,#N/A,TRUE,"대 차 대 조 표"}</definedName>
    <definedName name="ooo" hidden="1">{#N/A,#N/A,TRUE,"대 차 대 조 표"}</definedName>
    <definedName name="ooonnnooo" localSheetId="23" hidden="1">{"AnnualRentRoll",#N/A,FALSE,"RentRoll"}</definedName>
    <definedName name="ooonnnooo" localSheetId="18" hidden="1">{"AnnualRentRoll",#N/A,FALSE,"RentRoll"}</definedName>
    <definedName name="ooonnnooo" localSheetId="24" hidden="1">{"AnnualRentRoll",#N/A,FALSE,"RentRoll"}</definedName>
    <definedName name="ooonnnooo" hidden="1">{"AnnualRentRoll",#N/A,FALSE,"RentRoll"}</definedName>
    <definedName name="ooonnnoooo" localSheetId="23" hidden="1">{"page1",#N/A,FALSE,"Sheet1";"page2",#N/A,FALSE,"Sheet1"}</definedName>
    <definedName name="ooonnnoooo" localSheetId="18" hidden="1">{"page1",#N/A,FALSE,"Sheet1";"page2",#N/A,FALSE,"Sheet1"}</definedName>
    <definedName name="ooonnnoooo" localSheetId="24" hidden="1">{"page1",#N/A,FALSE,"Sheet1";"page2",#N/A,FALSE,"Sheet1"}</definedName>
    <definedName name="ooonnnoooo" hidden="1">{"page1",#N/A,FALSE,"Sheet1";"page2",#N/A,FALSE,"Sheet1"}</definedName>
    <definedName name="oooonnnnoooo" localSheetId="23" hidden="1">{#N/A,#N/A,TRUE,"Summary";"AnnualRentRoll",#N/A,TRUE,"RentRoll";#N/A,#N/A,TRUE,"ExitStratigy";#N/A,#N/A,TRUE,"OperatingAssumptions"}</definedName>
    <definedName name="oooonnnnoooo" localSheetId="18" hidden="1">{#N/A,#N/A,TRUE,"Summary";"AnnualRentRoll",#N/A,TRUE,"RentRoll";#N/A,#N/A,TRUE,"ExitStratigy";#N/A,#N/A,TRUE,"OperatingAssumptions"}</definedName>
    <definedName name="oooonnnnoooo" localSheetId="24"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3" hidden="1">{#N/A,#N/A,FALSE,"지침";#N/A,#N/A,FALSE,"환경분석";#N/A,#N/A,FALSE,"Sheet16"}</definedName>
    <definedName name="opo" localSheetId="18" hidden="1">{#N/A,#N/A,FALSE,"지침";#N/A,#N/A,FALSE,"환경분석";#N/A,#N/A,FALSE,"Sheet16"}</definedName>
    <definedName name="opo" localSheetId="24" hidden="1">{#N/A,#N/A,FALSE,"지침";#N/A,#N/A,FALSE,"환경분석";#N/A,#N/A,FALSE,"Sheet16"}</definedName>
    <definedName name="opo" hidden="1">{#N/A,#N/A,FALSE,"지침";#N/A,#N/A,FALSE,"환경분석";#N/A,#N/A,FALSE,"Sheet16"}</definedName>
    <definedName name="ouy" localSheetId="23" hidden="1">{#N/A,#N/A,FALSE,"ExitStratigy"}</definedName>
    <definedName name="ouy" localSheetId="18" hidden="1">{#N/A,#N/A,FALSE,"ExitStratigy"}</definedName>
    <definedName name="ouy" localSheetId="24" hidden="1">{#N/A,#N/A,FALSE,"ExitStratigy"}</definedName>
    <definedName name="ouy" hidden="1">{#N/A,#N/A,FALSE,"ExitStratigy"}</definedName>
    <definedName name="pd3policy" localSheetId="23" hidden="1">{"AnnualRentRoll",#N/A,FALSE,"RentRoll"}</definedName>
    <definedName name="pd3policy" localSheetId="18" hidden="1">{"AnnualRentRoll",#N/A,FALSE,"RentRoll"}</definedName>
    <definedName name="pd3policy" localSheetId="24" hidden="1">{"AnnualRentRoll",#N/A,FALSE,"RentRoll"}</definedName>
    <definedName name="pd3policy" hidden="1">{"AnnualRentRoll",#N/A,FALSE,"RentRoll"}</definedName>
    <definedName name="pdappli" localSheetId="23" hidden="1">{#N/A,#N/A,TRUE,"Summary";"AnnualRentRoll",#N/A,TRUE,"RentRoll";#N/A,#N/A,TRUE,"ExitStratigy";#N/A,#N/A,TRUE,"OperatingAssumptions"}</definedName>
    <definedName name="pdappli" localSheetId="18" hidden="1">{#N/A,#N/A,TRUE,"Summary";"AnnualRentRoll",#N/A,TRUE,"RentRoll";#N/A,#N/A,TRUE,"ExitStratigy";#N/A,#N/A,TRUE,"OperatingAssumptions"}</definedName>
    <definedName name="pdappli" localSheetId="24"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3" hidden="1">{#N/A,#N/A,FALSE,"LoanAssumptions"}</definedName>
    <definedName name="pdpdpd" localSheetId="18" hidden="1">{#N/A,#N/A,FALSE,"LoanAssumptions"}</definedName>
    <definedName name="pdpdpd" localSheetId="24" hidden="1">{#N/A,#N/A,FALSE,"LoanAssumptions"}</definedName>
    <definedName name="pdpdpd" hidden="1">{#N/A,#N/A,FALSE,"LoanAssumptions"}</definedName>
    <definedName name="pmfee" localSheetId="23">REPORT!pmfee</definedName>
    <definedName name="pmfee" localSheetId="18">'Report-sj'!pmfee</definedName>
    <definedName name="pmfee" localSheetId="24">수정사항!pmfee</definedName>
    <definedName name="pmfee">[0]!pmfee</definedName>
    <definedName name="PMFee0607" localSheetId="23" hidden="1">{"賃貸事例比較法",#N/A,FALSE,"Sheet2";"賃貸条件",#N/A,FALSE,"Sheet2"}</definedName>
    <definedName name="PMFee0607" localSheetId="18" hidden="1">{"賃貸事例比較法",#N/A,FALSE,"Sheet2";"賃貸条件",#N/A,FALSE,"Sheet2"}</definedName>
    <definedName name="PMFee0607" localSheetId="24" hidden="1">{"賃貸事例比較法",#N/A,FALSE,"Sheet2";"賃貸条件",#N/A,FALSE,"Sheet2"}</definedName>
    <definedName name="PMFee0607" hidden="1">{"賃貸事例比較法",#N/A,FALSE,"Sheet2";"賃貸条件",#N/A,FALSE,"Sheet2"}</definedName>
    <definedName name="PM팀인원" localSheetId="23" hidden="1">{#N/A,#N/A,TRUE,"대 차 대 조 표"}</definedName>
    <definedName name="PM팀인원" localSheetId="18" hidden="1">{#N/A,#N/A,TRUE,"대 차 대 조 표"}</definedName>
    <definedName name="PM팀인원" localSheetId="24" hidden="1">{#N/A,#N/A,TRUE,"대 차 대 조 표"}</definedName>
    <definedName name="PM팀인원" hidden="1">{#N/A,#N/A,TRUE,"대 차 대 조 표"}</definedName>
    <definedName name="PPK" localSheetId="23" hidden="1">{#N/A,#N/A,FALSE,"96 3월물량표";#N/A,#N/A,FALSE,"96 4월물량표";#N/A,#N/A,FALSE,"96 5월물량표"}</definedName>
    <definedName name="PPK" localSheetId="18" hidden="1">{#N/A,#N/A,FALSE,"96 3월물량표";#N/A,#N/A,FALSE,"96 4월물량표";#N/A,#N/A,FALSE,"96 5월물량표"}</definedName>
    <definedName name="PPK" localSheetId="24"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#REF!</definedName>
    <definedName name="ProImportExport.ImportFile" localSheetId="23">REPORT!ProImportExport.ImportFile</definedName>
    <definedName name="ProImportExport.ImportFile" localSheetId="18">'Report-sj'!ProImportExport.ImportFile</definedName>
    <definedName name="ProImportExport.ImportFile" localSheetId="24">수정사항!ProImportExport.ImportFile</definedName>
    <definedName name="ProImportExport.ImportFile">[0]!ProImportExport.ImportFile</definedName>
    <definedName name="ProImportExport.SaveNewFile" localSheetId="23">REPORT!ProImportExport.SaveNewFile</definedName>
    <definedName name="ProImportExport.SaveNewFile" localSheetId="18">'Report-sj'!ProImportExport.SaveNewFile</definedName>
    <definedName name="ProImportExport.SaveNewFile" localSheetId="24">수정사항!ProImportExport.SaveNewFile</definedName>
    <definedName name="ProImportExport.SaveNewFile">[0]!ProImportExport.SaveNewFile</definedName>
    <definedName name="py">'A&amp;R'!$K$14</definedName>
    <definedName name="q234562456" localSheetId="23" hidden="1">{"'용역비'!$A$4:$C$8"}</definedName>
    <definedName name="q234562456" localSheetId="18" hidden="1">{"'용역비'!$A$4:$C$8"}</definedName>
    <definedName name="q234562456" localSheetId="24" hidden="1">{"'용역비'!$A$4:$C$8"}</definedName>
    <definedName name="q234562456" hidden="1">{"'용역비'!$A$4:$C$8"}</definedName>
    <definedName name="QA" localSheetId="23" hidden="1">{"'용역비'!$A$4:$C$8"}</definedName>
    <definedName name="QA" localSheetId="18" hidden="1">{"'용역비'!$A$4:$C$8"}</definedName>
    <definedName name="QA" localSheetId="24" hidden="1">{"'용역비'!$A$4:$C$8"}</definedName>
    <definedName name="QA" hidden="1">{"'용역비'!$A$4:$C$8"}</definedName>
    <definedName name="qappp" localSheetId="23" hidden="1">{#N/A,#N/A,FALSE,"5YRASSPl - consol'd";#N/A,#N/A,FALSE,"5YRASSPl - hotel";#N/A,#N/A,FALSE,"5YRASSPl - excl htl";#N/A,#N/A,FALSE,"VarReport";#N/A,#N/A,FALSE,"Sensitivity";#N/A,#N/A,FALSE,"House View ";#N/A,#N/A,FALSE,"KPI"}</definedName>
    <definedName name="qappp" localSheetId="18" hidden="1">{#N/A,#N/A,FALSE,"5YRASSPl - consol'd";#N/A,#N/A,FALSE,"5YRASSPl - hotel";#N/A,#N/A,FALSE,"5YRASSPl - excl htl";#N/A,#N/A,FALSE,"VarReport";#N/A,#N/A,FALSE,"Sensitivity";#N/A,#N/A,FALSE,"House View ";#N/A,#N/A,FALSE,"KPI"}</definedName>
    <definedName name="qappp" localSheetId="24"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3" hidden="1">{"Actual",#N/A,FALSE,"(価格)";"Market",#N/A,FALSE,"(価格)";"Plan",#N/A,FALSE,"(価格)"}</definedName>
    <definedName name="qpp" localSheetId="18" hidden="1">{"Actual",#N/A,FALSE,"(価格)";"Market",#N/A,FALSE,"(価格)";"Plan",#N/A,FALSE,"(価格)"}</definedName>
    <definedName name="qpp" localSheetId="24" hidden="1">{"Actual",#N/A,FALSE,"(価格)";"Market",#N/A,FALSE,"(価格)";"Plan",#N/A,FALSE,"(価格)"}</definedName>
    <definedName name="qpp" hidden="1">{"Actual",#N/A,FALSE,"(価格)";"Market",#N/A,FALSE,"(価格)";"Plan",#N/A,FALSE,"(価格)"}</definedName>
    <definedName name="qq" localSheetId="23" hidden="1">{#N/A,#N/A,FALSE,"단가표지"}</definedName>
    <definedName name="qq" localSheetId="18" hidden="1">{#N/A,#N/A,FALSE,"단가표지"}</definedName>
    <definedName name="qq" localSheetId="24" hidden="1">{#N/A,#N/A,FALSE,"단가표지"}</definedName>
    <definedName name="qq" hidden="1">{#N/A,#N/A,FALSE,"단가표지"}</definedName>
    <definedName name="QQQ" localSheetId="23" hidden="1">{#N/A,#N/A,FALSE,"동부"}</definedName>
    <definedName name="QQQ" localSheetId="18" hidden="1">{#N/A,#N/A,FALSE,"동부"}</definedName>
    <definedName name="QQQ" localSheetId="24" hidden="1">{#N/A,#N/A,FALSE,"동부"}</definedName>
    <definedName name="QQQ" hidden="1">{#N/A,#N/A,FALSE,"동부"}</definedName>
    <definedName name="QQQAAASSS" localSheetId="23" hidden="1">{#N/A,#N/A,TRUE,"Y생산";#N/A,#N/A,TRUE,"Y판매";#N/A,#N/A,TRUE,"Y총물량";#N/A,#N/A,TRUE,"Y능력";#N/A,#N/A,TRUE,"YKD"}</definedName>
    <definedName name="QQQAAASSS" localSheetId="18" hidden="1">{#N/A,#N/A,TRUE,"Y생산";#N/A,#N/A,TRUE,"Y판매";#N/A,#N/A,TRUE,"Y총물량";#N/A,#N/A,TRUE,"Y능력";#N/A,#N/A,TRUE,"YKD"}</definedName>
    <definedName name="QQQAAASSS" localSheetId="24" hidden="1">{#N/A,#N/A,TRUE,"Y생산";#N/A,#N/A,TRUE,"Y판매";#N/A,#N/A,TRUE,"Y총물량";#N/A,#N/A,TRUE,"Y능력";#N/A,#N/A,TRUE,"YKD"}</definedName>
    <definedName name="QQQAAASSS" hidden="1">{#N/A,#N/A,TRUE,"Y생산";#N/A,#N/A,TRUE,"Y판매";#N/A,#N/A,TRUE,"Y총물량";#N/A,#N/A,TRUE,"Y능력";#N/A,#N/A,TRUE,"YKD"}</definedName>
    <definedName name="QQQAAASSS_1" localSheetId="23" hidden="1">{#N/A,#N/A,TRUE,"Y생산";#N/A,#N/A,TRUE,"Y판매";#N/A,#N/A,TRUE,"Y총물량";#N/A,#N/A,TRUE,"Y능력";#N/A,#N/A,TRUE,"YKD"}</definedName>
    <definedName name="QQQAAASSS_1" localSheetId="18" hidden="1">{#N/A,#N/A,TRUE,"Y생산";#N/A,#N/A,TRUE,"Y판매";#N/A,#N/A,TRUE,"Y총물량";#N/A,#N/A,TRUE,"Y능력";#N/A,#N/A,TRUE,"YKD"}</definedName>
    <definedName name="QQQAAASSS_1" localSheetId="24" hidden="1">{#N/A,#N/A,TRUE,"Y생산";#N/A,#N/A,TRUE,"Y판매";#N/A,#N/A,TRUE,"Y총물량";#N/A,#N/A,TRUE,"Y능력";#N/A,#N/A,TRUE,"YKD"}</definedName>
    <definedName name="QQQAAASSS_1" hidden="1">{#N/A,#N/A,TRUE,"Y생산";#N/A,#N/A,TRUE,"Y판매";#N/A,#N/A,TRUE,"Y총물량";#N/A,#N/A,TRUE,"Y능력";#N/A,#N/A,TRUE,"YKD"}</definedName>
    <definedName name="qqqqq" localSheetId="23" hidden="1">{#N/A,#N/A,TRUE,"대 차 대 조 표"}</definedName>
    <definedName name="qqqqq" localSheetId="18" hidden="1">{#N/A,#N/A,TRUE,"대 차 대 조 표"}</definedName>
    <definedName name="qqqqq" localSheetId="24" hidden="1">{#N/A,#N/A,TRUE,"대 차 대 조 표"}</definedName>
    <definedName name="qqqqq" hidden="1">{#N/A,#N/A,TRUE,"대 차 대 조 표"}</definedName>
    <definedName name="QQQQQQQ" localSheetId="23" hidden="1">{#N/A,#N/A,TRUE,"Y생산";#N/A,#N/A,TRUE,"Y판매";#N/A,#N/A,TRUE,"Y총물량";#N/A,#N/A,TRUE,"Y능력";#N/A,#N/A,TRUE,"YKD"}</definedName>
    <definedName name="QQQQQQQ" localSheetId="18" hidden="1">{#N/A,#N/A,TRUE,"Y생산";#N/A,#N/A,TRUE,"Y판매";#N/A,#N/A,TRUE,"Y총물량";#N/A,#N/A,TRUE,"Y능력";#N/A,#N/A,TRUE,"YKD"}</definedName>
    <definedName name="QQQQQQQ" localSheetId="24" hidden="1">{#N/A,#N/A,TRUE,"Y생산";#N/A,#N/A,TRUE,"Y판매";#N/A,#N/A,TRUE,"Y총물량";#N/A,#N/A,TRUE,"Y능력";#N/A,#N/A,TRUE,"YKD"}</definedName>
    <definedName name="QQQQQQQ" hidden="1">{#N/A,#N/A,TRUE,"Y생산";#N/A,#N/A,TRUE,"Y판매";#N/A,#N/A,TRUE,"Y총물량";#N/A,#N/A,TRUE,"Y능력";#N/A,#N/A,TRUE,"YKD"}</definedName>
    <definedName name="QQQQQQQ_1" localSheetId="23" hidden="1">{#N/A,#N/A,TRUE,"Y생산";#N/A,#N/A,TRUE,"Y판매";#N/A,#N/A,TRUE,"Y총물량";#N/A,#N/A,TRUE,"Y능력";#N/A,#N/A,TRUE,"YKD"}</definedName>
    <definedName name="QQQQQQQ_1" localSheetId="18" hidden="1">{#N/A,#N/A,TRUE,"Y생산";#N/A,#N/A,TRUE,"Y판매";#N/A,#N/A,TRUE,"Y총물량";#N/A,#N/A,TRUE,"Y능력";#N/A,#N/A,TRUE,"YKD"}</definedName>
    <definedName name="QQQQQQQ_1" localSheetId="24" hidden="1">{#N/A,#N/A,TRUE,"Y생산";#N/A,#N/A,TRUE,"Y판매";#N/A,#N/A,TRUE,"Y총물량";#N/A,#N/A,TRUE,"Y능력";#N/A,#N/A,TRUE,"YKD"}</definedName>
    <definedName name="QQQQQQQ_1" hidden="1">{#N/A,#N/A,TRUE,"Y생산";#N/A,#N/A,TRUE,"Y판매";#N/A,#N/A,TRUE,"Y총물량";#N/A,#N/A,TRUE,"Y능력";#N/A,#N/A,TRUE,"YKD"}</definedName>
    <definedName name="qsq" localSheetId="23" hidden="1">{"Actual",#N/A,FALSE,"(価格)";"Market",#N/A,FALSE,"(価格)";"Plan",#N/A,FALSE,"(価格)"}</definedName>
    <definedName name="qsq" localSheetId="18" hidden="1">{"Actual",#N/A,FALSE,"(価格)";"Market",#N/A,FALSE,"(価格)";"Plan",#N/A,FALSE,"(価格)"}</definedName>
    <definedName name="qsq" localSheetId="24" hidden="1">{"Actual",#N/A,FALSE,"(価格)";"Market",#N/A,FALSE,"(価格)";"Plan",#N/A,FALSE,"(価格)"}</definedName>
    <definedName name="qsq" hidden="1">{"Actual",#N/A,FALSE,"(価格)";"Market",#N/A,FALSE,"(価格)";"Plan",#N/A,FALSE,"(価格)"}</definedName>
    <definedName name="qw" localSheetId="23" hidden="1">{#N/A,#N/A,FALSE,"단가표지"}</definedName>
    <definedName name="qw" localSheetId="18" hidden="1">{#N/A,#N/A,FALSE,"단가표지"}</definedName>
    <definedName name="qw" localSheetId="24" hidden="1">{#N/A,#N/A,FALSE,"단가표지"}</definedName>
    <definedName name="qw" hidden="1">{#N/A,#N/A,FALSE,"단가표지"}</definedName>
    <definedName name="qweq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3" hidden="1">{"'용역비'!$A$4:$C$8"}</definedName>
    <definedName name="qyk" localSheetId="18" hidden="1">{"'용역비'!$A$4:$C$8"}</definedName>
    <definedName name="qyk" localSheetId="24" hidden="1">{"'용역비'!$A$4:$C$8"}</definedName>
    <definedName name="qyk" hidden="1">{"'용역비'!$A$4:$C$8"}</definedName>
    <definedName name="R_COVER" localSheetId="23" hidden="1">{#N/A,#N/A,FALSE,"단축1";#N/A,#N/A,FALSE,"단축2";#N/A,#N/A,FALSE,"단축3";#N/A,#N/A,FALSE,"장축";#N/A,#N/A,FALSE,"4WD"}</definedName>
    <definedName name="R_COVER" localSheetId="18" hidden="1">{#N/A,#N/A,FALSE,"단축1";#N/A,#N/A,FALSE,"단축2";#N/A,#N/A,FALSE,"단축3";#N/A,#N/A,FALSE,"장축";#N/A,#N/A,FALSE,"4WD"}</definedName>
    <definedName name="R_COVER" localSheetId="24" hidden="1">{#N/A,#N/A,FALSE,"단축1";#N/A,#N/A,FALSE,"단축2";#N/A,#N/A,FALSE,"단축3";#N/A,#N/A,FALSE,"장축";#N/A,#N/A,FALSE,"4WD"}</definedName>
    <definedName name="R_COVER" hidden="1">{#N/A,#N/A,FALSE,"단축1";#N/A,#N/A,FALSE,"단축2";#N/A,#N/A,FALSE,"단축3";#N/A,#N/A,FALSE,"장축";#N/A,#N/A,FALSE,"4WD"}</definedName>
    <definedName name="Rates_Taxes" localSheetId="23" hidden="1">{#N/A,#N/A,FALSE,"Menu";#N/A,#N/A,FALSE,"Sch A";#N/A,#N/A,FALSE,"Print Dummy";#N/A,#N/A,FALSE,"Sch B";#N/A,#N/A,FALSE,"Sch C";#N/A,#N/A,FALSE,"Sch D";#N/A,#N/A,FALSE,"Sch E";#N/A,#N/A,FALSE,"Sch F";#N/A,#N/A,FALSE,"Sch G";#N/A,#N/A,FALSE,"Sch H";#N/A,#N/A,FALSE,"Sch I";#N/A,#N/A,FALSE,"Sch J"}</definedName>
    <definedName name="Rates_Taxes" localSheetId="18" hidden="1">{#N/A,#N/A,FALSE,"Menu";#N/A,#N/A,FALSE,"Sch A";#N/A,#N/A,FALSE,"Print Dummy";#N/A,#N/A,FALSE,"Sch B";#N/A,#N/A,FALSE,"Sch C";#N/A,#N/A,FALSE,"Sch D";#N/A,#N/A,FALSE,"Sch E";#N/A,#N/A,FALSE,"Sch F";#N/A,#N/A,FALSE,"Sch G";#N/A,#N/A,FALSE,"Sch H";#N/A,#N/A,FALSE,"Sch I";#N/A,#N/A,FALSE,"Sch J"}</definedName>
    <definedName name="Rates_Taxes" localSheetId="24"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3" hidden="1">{#N/A,#N/A,FALSE,"지침";#N/A,#N/A,FALSE,"환경분석";#N/A,#N/A,FALSE,"Sheet16"}</definedName>
    <definedName name="rdd" localSheetId="18" hidden="1">{#N/A,#N/A,FALSE,"지침";#N/A,#N/A,FALSE,"환경분석";#N/A,#N/A,FALSE,"Sheet16"}</definedName>
    <definedName name="rdd" localSheetId="24" hidden="1">{#N/A,#N/A,FALSE,"지침";#N/A,#N/A,FALSE,"환경분석";#N/A,#N/A,FALSE,"Sheet16"}</definedName>
    <definedName name="rdd" hidden="1">{#N/A,#N/A,FALSE,"지침";#N/A,#N/A,FALSE,"환경분석";#N/A,#N/A,FALSE,"Sheet16"}</definedName>
    <definedName name="recon2" localSheetId="23" hidden="1">{#N/A,#N/A,FALSE,"BS";#N/A,#N/A,FALSE,"PL";#N/A,#N/A,FALSE,"처분";#N/A,#N/A,FALSE,"현금";#N/A,#N/A,FALSE,"매출";#N/A,#N/A,FALSE,"원가";#N/A,#N/A,FALSE,"경영"}</definedName>
    <definedName name="recon2" localSheetId="18" hidden="1">{#N/A,#N/A,FALSE,"BS";#N/A,#N/A,FALSE,"PL";#N/A,#N/A,FALSE,"처분";#N/A,#N/A,FALSE,"현금";#N/A,#N/A,FALSE,"매출";#N/A,#N/A,FALSE,"원가";#N/A,#N/A,FALSE,"경영"}</definedName>
    <definedName name="recon2" localSheetId="24"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3" hidden="1">{#N/A,#N/A,FALSE,"동부"}</definedName>
    <definedName name="rent" localSheetId="18" hidden="1">{#N/A,#N/A,FALSE,"동부"}</definedName>
    <definedName name="rent" localSheetId="24" hidden="1">{#N/A,#N/A,FALSE,"동부"}</definedName>
    <definedName name="rent" hidden="1">{#N/A,#N/A,FALSE,"동부"}</definedName>
    <definedName name="rent111" localSheetId="23" hidden="1">{#N/A,#N/A,FALSE,"동부"}</definedName>
    <definedName name="rent111" localSheetId="18" hidden="1">{#N/A,#N/A,FALSE,"동부"}</definedName>
    <definedName name="rent111" localSheetId="24" hidden="1">{#N/A,#N/A,FALSE,"동부"}</definedName>
    <definedName name="rent111" hidden="1">{#N/A,#N/A,FALSE,"동부"}</definedName>
    <definedName name="rere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3" hidden="1">{"AnnualRentRoll",#N/A,FALSE,"RentRoll"}</definedName>
    <definedName name="reuf" localSheetId="18" hidden="1">{"AnnualRentRoll",#N/A,FALSE,"RentRoll"}</definedName>
    <definedName name="reuf" localSheetId="24" hidden="1">{"AnnualRentRoll",#N/A,FALSE,"RentRoll"}</definedName>
    <definedName name="reuf" hidden="1">{"AnnualRentRoll",#N/A,FALSE,"RentRoll"}</definedName>
    <definedName name="reufd" localSheetId="23" hidden="1">{"AnnualRentRoll",#N/A,FALSE,"RentRoll"}</definedName>
    <definedName name="reufd" localSheetId="18" hidden="1">{"AnnualRentRoll",#N/A,FALSE,"RentRoll"}</definedName>
    <definedName name="reufd" localSheetId="24" hidden="1">{"AnnualRentRoll",#N/A,FALSE,"RentRoll"}</definedName>
    <definedName name="reufd" hidden="1">{"AnnualRentRoll",#N/A,FALSE,"RentRoll"}</definedName>
    <definedName name="rewq" localSheetId="23" hidden="1">{"AnnualRentRoll",#N/A,FALSE,"RentRoll"}</definedName>
    <definedName name="rewq" localSheetId="18" hidden="1">{"AnnualRentRoll",#N/A,FALSE,"RentRoll"}</definedName>
    <definedName name="rewq" localSheetId="24" hidden="1">{"AnnualRentRoll",#N/A,FALSE,"RentRoll"}</definedName>
    <definedName name="rewq" hidden="1">{"AnnualRentRoll",#N/A,FALSE,"RentRoll"}</definedName>
    <definedName name="rewr" localSheetId="23" hidden="1">{#N/A,#N/A,FALSE,"이력서&amp;자기소개서"}</definedName>
    <definedName name="rewr" localSheetId="18" hidden="1">{#N/A,#N/A,FALSE,"이력서&amp;자기소개서"}</definedName>
    <definedName name="rewr" localSheetId="24" hidden="1">{#N/A,#N/A,FALSE,"이력서&amp;자기소개서"}</definedName>
    <definedName name="rewr" hidden="1">{#N/A,#N/A,FALSE,"이력서&amp;자기소개서"}</definedName>
    <definedName name="rewr_1" localSheetId="23" hidden="1">{#N/A,#N/A,FALSE,"이력서&amp;자기소개서"}</definedName>
    <definedName name="rewr_1" localSheetId="18" hidden="1">{#N/A,#N/A,FALSE,"이력서&amp;자기소개서"}</definedName>
    <definedName name="rewr_1" localSheetId="24" hidden="1">{#N/A,#N/A,FALSE,"이력서&amp;자기소개서"}</definedName>
    <definedName name="rewr_1" hidden="1">{#N/A,#N/A,FALSE,"이력서&amp;자기소개서"}</definedName>
    <definedName name="rewrs" localSheetId="23" hidden="1">{#N/A,#N/A,FALSE,"이력서&amp;자기소개서"}</definedName>
    <definedName name="rewrs" localSheetId="18" hidden="1">{#N/A,#N/A,FALSE,"이력서&amp;자기소개서"}</definedName>
    <definedName name="rewrs" localSheetId="24" hidden="1">{#N/A,#N/A,FALSE,"이력서&amp;자기소개서"}</definedName>
    <definedName name="rewrs" hidden="1">{#N/A,#N/A,FALSE,"이력서&amp;자기소개서"}</definedName>
    <definedName name="rff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3" hidden="1">{#N/A,#N/A,FALSE,"LoanAssumptions"}</definedName>
    <definedName name="rfuuuuu" localSheetId="18" hidden="1">{#N/A,#N/A,FALSE,"LoanAssumptions"}</definedName>
    <definedName name="rfuuuuu" localSheetId="24" hidden="1">{#N/A,#N/A,FALSE,"LoanAssumptions"}</definedName>
    <definedName name="rfuuuuu" hidden="1">{#N/A,#N/A,FALSE,"LoanAssumptions"}</definedName>
    <definedName name="RH" localSheetId="23" hidden="1">{"'용역비'!$A$4:$C$8"}</definedName>
    <definedName name="RH" localSheetId="18" hidden="1">{"'용역비'!$A$4:$C$8"}</definedName>
    <definedName name="RH" localSheetId="24" hidden="1">{"'용역비'!$A$4:$C$8"}</definedName>
    <definedName name="RH" hidden="1">{"'용역비'!$A$4:$C$8"}</definedName>
    <definedName name="ＲＪ" localSheetId="23" hidden="1">{"summary",#N/A,TRUE,"Focus";"interestexpense",#N/A,TRUE,"Focus";"interestincome",#N/A,TRUE,"Focus";"dividend",#N/A,TRUE,"Focus";"feeincome",#N/A,TRUE,"Focus";"gain",#N/A,TRUE,"Focus"}</definedName>
    <definedName name="ＲＪ" localSheetId="18" hidden="1">{"summary",#N/A,TRUE,"Focus";"interestexpense",#N/A,TRUE,"Focus";"interestincome",#N/A,TRUE,"Focus";"dividend",#N/A,TRUE,"Focus";"feeincome",#N/A,TRUE,"Focus";"gain",#N/A,TRUE,"Focus"}</definedName>
    <definedName name="ＲＪ" localSheetId="24"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3">BlankMacro1</definedName>
    <definedName name="RK" localSheetId="18">BlankMacro1</definedName>
    <definedName name="RK" localSheetId="24">BlankMacro1</definedName>
    <definedName name="RK" localSheetId="1">BlankMacro1</definedName>
    <definedName name="RK">BlankMacro1</definedName>
    <definedName name="RKSK"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3" hidden="1">{#N/A,#N/A,FALSE,"업체선정";#N/A,#N/A,FALSE,"업체선정sheet";#N/A,#N/A,FALSE,"업체실태";#N/A,#N/A,FALSE,"업체실태(1)";#N/A,#N/A,FALSE,"종업원현황(2)";#N/A,#N/A,FALSE,"생산품목(3)";#N/A,#N/A,FALSE,"장비보유현황";#N/A,#N/A,FALSE,"차량및약도";#N/A,#N/A,FALSE,"금형LIST"}</definedName>
    <definedName name="rlawkd" localSheetId="18" hidden="1">{#N/A,#N/A,FALSE,"업체선정";#N/A,#N/A,FALSE,"업체선정sheet";#N/A,#N/A,FALSE,"업체실태";#N/A,#N/A,FALSE,"업체실태(1)";#N/A,#N/A,FALSE,"종업원현황(2)";#N/A,#N/A,FALSE,"생산품목(3)";#N/A,#N/A,FALSE,"장비보유현황";#N/A,#N/A,FALSE,"차량및약도";#N/A,#N/A,FALSE,"금형LIST"}</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3" hidden="1">{#N/A,#N/A,FALSE,"지침";#N/A,#N/A,FALSE,"환경분석";#N/A,#N/A,FALSE,"Sheet16"}</definedName>
    <definedName name="rlawpdnr" localSheetId="18" hidden="1">{#N/A,#N/A,FALSE,"지침";#N/A,#N/A,FALSE,"환경분석";#N/A,#N/A,FALSE,"Sheet16"}</definedName>
    <definedName name="rlawpdnr" localSheetId="24" hidden="1">{#N/A,#N/A,FALSE,"지침";#N/A,#N/A,FALSE,"환경분석";#N/A,#N/A,FALSE,"Sheet16"}</definedName>
    <definedName name="rlawpdnr" hidden="1">{#N/A,#N/A,FALSE,"지침";#N/A,#N/A,FALSE,"환경분석";#N/A,#N/A,FALSE,"Sheet16"}</definedName>
    <definedName name="rlkjfu" localSheetId="23" hidden="1">{#N/A,#N/A,FALSE,"LoanAssumptions"}</definedName>
    <definedName name="rlkjfu" localSheetId="18" hidden="1">{#N/A,#N/A,FALSE,"LoanAssumptions"}</definedName>
    <definedName name="rlkjfu" localSheetId="24" hidden="1">{#N/A,#N/A,FALSE,"LoanAssumptions"}</definedName>
    <definedName name="rlkjfu" hidden="1">{#N/A,#N/A,FALSE,"LoanAssumptions"}</definedName>
    <definedName name="ropponngi" localSheetId="23" hidden="1">{"AnnualRentRoll",#N/A,FALSE,"RentRoll"}</definedName>
    <definedName name="ropponngi" localSheetId="18" hidden="1">{"AnnualRentRoll",#N/A,FALSE,"RentRoll"}</definedName>
    <definedName name="ropponngi" localSheetId="24" hidden="1">{"AnnualRentRoll",#N/A,FALSE,"RentRoll"}</definedName>
    <definedName name="ropponngi" hidden="1">{"AnnualRentRoll",#N/A,FALSE,"RentRoll"}</definedName>
    <definedName name="ropponngi_1" localSheetId="23" hidden="1">{"AnnualRentRoll",#N/A,FALSE,"RentRoll"}</definedName>
    <definedName name="ropponngi_1" localSheetId="18" hidden="1">{"AnnualRentRoll",#N/A,FALSE,"RentRoll"}</definedName>
    <definedName name="ropponngi_1" localSheetId="24" hidden="1">{"AnnualRentRoll",#N/A,FALSE,"RentRoll"}</definedName>
    <definedName name="ropponngi_1" hidden="1">{"AnnualRentRoll",#N/A,FALSE,"RentRoll"}</definedName>
    <definedName name="RR.BRAKE" localSheetId="23" hidden="1">{#N/A,#N/A,FALSE,"단축1";#N/A,#N/A,FALSE,"단축2";#N/A,#N/A,FALSE,"단축3";#N/A,#N/A,FALSE,"장축";#N/A,#N/A,FALSE,"4WD"}</definedName>
    <definedName name="RR.BRAKE" localSheetId="18" hidden="1">{#N/A,#N/A,FALSE,"단축1";#N/A,#N/A,FALSE,"단축2";#N/A,#N/A,FALSE,"단축3";#N/A,#N/A,FALSE,"장축";#N/A,#N/A,FALSE,"4WD"}</definedName>
    <definedName name="RR.BRAKE" localSheetId="24" hidden="1">{#N/A,#N/A,FALSE,"단축1";#N/A,#N/A,FALSE,"단축2";#N/A,#N/A,FALSE,"단축3";#N/A,#N/A,FALSE,"장축";#N/A,#N/A,FALSE,"4WD"}</definedName>
    <definedName name="RR.BRAKE" hidden="1">{#N/A,#N/A,FALSE,"단축1";#N/A,#N/A,FALSE,"단축2";#N/A,#N/A,FALSE,"단축3";#N/A,#N/A,FALSE,"장축";#N/A,#N/A,FALSE,"4WD"}</definedName>
    <definedName name="RR.BRK" localSheetId="23" hidden="1">{#N/A,#N/A,FALSE,"단축1";#N/A,#N/A,FALSE,"단축2";#N/A,#N/A,FALSE,"단축3";#N/A,#N/A,FALSE,"장축";#N/A,#N/A,FALSE,"4WD"}</definedName>
    <definedName name="RR.BRK" localSheetId="18" hidden="1">{#N/A,#N/A,FALSE,"단축1";#N/A,#N/A,FALSE,"단축2";#N/A,#N/A,FALSE,"단축3";#N/A,#N/A,FALSE,"장축";#N/A,#N/A,FALSE,"4WD"}</definedName>
    <definedName name="RR.BRK" localSheetId="24" hidden="1">{#N/A,#N/A,FALSE,"단축1";#N/A,#N/A,FALSE,"단축2";#N/A,#N/A,FALSE,"단축3";#N/A,#N/A,FALSE,"장축";#N/A,#N/A,FALSE,"4WD"}</definedName>
    <definedName name="RR.BRK" hidden="1">{#N/A,#N/A,FALSE,"단축1";#N/A,#N/A,FALSE,"단축2";#N/A,#N/A,FALSE,"단축3";#N/A,#N/A,FALSE,"장축";#N/A,#N/A,FALSE,"4WD"}</definedName>
    <definedName name="RR_1" localSheetId="23" hidden="1">{"MonthlyRentRoll",#N/A,FALSE,"RentRoll"}</definedName>
    <definedName name="RR_1" localSheetId="18" hidden="1">{"MonthlyRentRoll",#N/A,FALSE,"RentRoll"}</definedName>
    <definedName name="RR_1" localSheetId="24" hidden="1">{"MonthlyRentRoll",#N/A,FALSE,"RentRoll"}</definedName>
    <definedName name="RR_1" hidden="1">{"MonthlyRentRoll",#N/A,FALSE,"RentRoll"}</definedName>
    <definedName name="rrr"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3" hidden="1">{"'용역비'!$A$4:$C$8"}</definedName>
    <definedName name="RT" localSheetId="18" hidden="1">{"'용역비'!$A$4:$C$8"}</definedName>
    <definedName name="RT" localSheetId="24" hidden="1">{"'용역비'!$A$4:$C$8"}</definedName>
    <definedName name="RT" hidden="1">{"'용역비'!$A$4:$C$8"}</definedName>
    <definedName name="RTGH" localSheetId="23" hidden="1">{"'용역비'!$A$4:$C$8"}</definedName>
    <definedName name="RTGH" localSheetId="18" hidden="1">{"'용역비'!$A$4:$C$8"}</definedName>
    <definedName name="RTGH" localSheetId="24" hidden="1">{"'용역비'!$A$4:$C$8"}</definedName>
    <definedName name="RTGH" hidden="1">{"'용역비'!$A$4:$C$8"}</definedName>
    <definedName name="rth" localSheetId="23" hidden="1">{"'용역비'!$A$4:$C$8"}</definedName>
    <definedName name="rth" localSheetId="18" hidden="1">{"'용역비'!$A$4:$C$8"}</definedName>
    <definedName name="rth" localSheetId="24" hidden="1">{"'용역비'!$A$4:$C$8"}</definedName>
    <definedName name="rth" hidden="1">{"'용역비'!$A$4:$C$8"}</definedName>
    <definedName name="rty" localSheetId="23" hidden="1">{"'용역비'!$A$4:$C$8"}</definedName>
    <definedName name="rty" localSheetId="18" hidden="1">{"'용역비'!$A$4:$C$8"}</definedName>
    <definedName name="rty" localSheetId="24" hidden="1">{"'용역비'!$A$4:$C$8"}</definedName>
    <definedName name="rty" hidden="1">{"'용역비'!$A$4:$C$8"}</definedName>
    <definedName name="ruf" localSheetId="23" hidden="1">{#N/A,#N/A,FALSE,"ExitStratigy"}</definedName>
    <definedName name="ruf" localSheetId="18" hidden="1">{#N/A,#N/A,FALSE,"ExitStratigy"}</definedName>
    <definedName name="ruf" localSheetId="24" hidden="1">{#N/A,#N/A,FALSE,"ExitStratigy"}</definedName>
    <definedName name="ruf" hidden="1">{#N/A,#N/A,FALSE,"ExitStratigy"}</definedName>
    <definedName name="rufff" localSheetId="23" hidden="1">{"AnnualRentRoll",#N/A,FALSE,"RentRoll"}</definedName>
    <definedName name="rufff" localSheetId="18" hidden="1">{"AnnualRentRoll",#N/A,FALSE,"RentRoll"}</definedName>
    <definedName name="rufff" localSheetId="24" hidden="1">{"AnnualRentRoll",#N/A,FALSE,"RentRoll"}</definedName>
    <definedName name="rufff" hidden="1">{"AnnualRentRoll",#N/A,FALSE,"RentRoll"}</definedName>
    <definedName name="RYUGF" localSheetId="23" hidden="1">{#N/A,#N/A,TRUE,"대 차 대 조 표"}</definedName>
    <definedName name="RYUGF" localSheetId="18" hidden="1">{#N/A,#N/A,TRUE,"대 차 대 조 표"}</definedName>
    <definedName name="RYUGF" localSheetId="24" hidden="1">{#N/A,#N/A,TRUE,"대 차 대 조 표"}</definedName>
    <definedName name="RYUGF" hidden="1">{#N/A,#N/A,TRUE,"대 차 대 조 표"}</definedName>
    <definedName name="RYUIRYU" localSheetId="23" hidden="1">{"'용역비'!$A$4:$C$8"}</definedName>
    <definedName name="RYUIRYU" localSheetId="18" hidden="1">{"'용역비'!$A$4:$C$8"}</definedName>
    <definedName name="RYUIRYU" localSheetId="24" hidden="1">{"'용역비'!$A$4:$C$8"}</definedName>
    <definedName name="RYUIRYU" hidden="1">{"'용역비'!$A$4:$C$8"}</definedName>
    <definedName name="ryuk" localSheetId="23" hidden="1">{"'용역비'!$A$4:$C$8"}</definedName>
    <definedName name="ryuk" localSheetId="18" hidden="1">{"'용역비'!$A$4:$C$8"}</definedName>
    <definedName name="ryuk" localSheetId="24" hidden="1">{"'용역비'!$A$4:$C$8"}</definedName>
    <definedName name="ryuk" hidden="1">{"'용역비'!$A$4:$C$8"}</definedName>
    <definedName name="rㅀㄱ" localSheetId="23" hidden="1">{#N/A,#N/A,FALSE,"업체선정";#N/A,#N/A,FALSE,"업체선정sheet";#N/A,#N/A,FALSE,"업체실태";#N/A,#N/A,FALSE,"업체실태(1)";#N/A,#N/A,FALSE,"종업원현황(2)";#N/A,#N/A,FALSE,"생산품목(3)";#N/A,#N/A,FALSE,"장비보유현황";#N/A,#N/A,FALSE,"차량및약도";#N/A,#N/A,FALSE,"금형LIST"}</definedName>
    <definedName name="rㅀㄱ" localSheetId="18" hidden="1">{#N/A,#N/A,FALSE,"업체선정";#N/A,#N/A,FALSE,"업체선정sheet";#N/A,#N/A,FALSE,"업체실태";#N/A,#N/A,FALSE,"업체실태(1)";#N/A,#N/A,FALSE,"종업원현황(2)";#N/A,#N/A,FALSE,"생산품목(3)";#N/A,#N/A,FALSE,"장비보유현황";#N/A,#N/A,FALSE,"차량및약도";#N/A,#N/A,FALSE,"금형LIST"}</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3" hidden="1">{"rtn",#N/A,FALSE,"RTN";"tables",#N/A,FALSE,"RTN";"cf",#N/A,FALSE,"CF";"stats",#N/A,FALSE,"Stats";"prop",#N/A,FALSE,"Prop"}</definedName>
    <definedName name="saa" localSheetId="18" hidden="1">{"rtn",#N/A,FALSE,"RTN";"tables",#N/A,FALSE,"RTN";"cf",#N/A,FALSE,"CF";"stats",#N/A,FALSE,"Stats";"prop",#N/A,FALSE,"Prop"}</definedName>
    <definedName name="saa" localSheetId="24" hidden="1">{"rtn",#N/A,FALSE,"RTN";"tables",#N/A,FALSE,"RTN";"cf",#N/A,FALSE,"CF";"stats",#N/A,FALSE,"Stats";"prop",#N/A,FALSE,"Prop"}</definedName>
    <definedName name="saa" hidden="1">{"rtn",#N/A,FALSE,"RTN";"tables",#N/A,FALSE,"RTN";"cf",#N/A,FALSE,"CF";"stats",#N/A,FALSE,"Stats";"prop",#N/A,FALSE,"Prop"}</definedName>
    <definedName name="saaaaaaaaaaaaaaaaaaa" localSheetId="23" hidden="1">{#N/A,#N/A,FALSE,"ExitStratigy"}</definedName>
    <definedName name="saaaaaaaaaaaaaaaaaaa" localSheetId="18" hidden="1">{#N/A,#N/A,FALSE,"ExitStratigy"}</definedName>
    <definedName name="saaaaaaaaaaaaaaaaaaa" localSheetId="24" hidden="1">{#N/A,#N/A,FALSE,"ExitStratigy"}</definedName>
    <definedName name="saaaaaaaaaaaaaaaaaaa" hidden="1">{#N/A,#N/A,FALSE,"ExitStratigy"}</definedName>
    <definedName name="sad" localSheetId="23" hidden="1">{#N/A,#N/A,FALSE,"LoanAssumptions"}</definedName>
    <definedName name="sad" localSheetId="18" hidden="1">{#N/A,#N/A,FALSE,"LoanAssumptions"}</definedName>
    <definedName name="sad" localSheetId="24" hidden="1">{#N/A,#N/A,FALSE,"LoanAssumptions"}</definedName>
    <definedName name="sad" hidden="1">{#N/A,#N/A,FALSE,"LoanAssumptions"}</definedName>
    <definedName name="sadd" localSheetId="23" hidden="1">{"MonthlyRentRoll",#N/A,FALSE,"RentRoll"}</definedName>
    <definedName name="sadd" localSheetId="18" hidden="1">{"MonthlyRentRoll",#N/A,FALSE,"RentRoll"}</definedName>
    <definedName name="sadd" localSheetId="24" hidden="1">{"MonthlyRentRoll",#N/A,FALSE,"RentRoll"}</definedName>
    <definedName name="sadd" hidden="1">{"MonthlyRentRoll",#N/A,FALSE,"RentRoll"}</definedName>
    <definedName name="sadd_1" localSheetId="23" hidden="1">{"MonthlyRentRoll",#N/A,FALSE,"RentRoll"}</definedName>
    <definedName name="sadd_1" localSheetId="18" hidden="1">{"MonthlyRentRoll",#N/A,FALSE,"RentRoll"}</definedName>
    <definedName name="sadd_1" localSheetId="24" hidden="1">{"MonthlyRentRoll",#N/A,FALSE,"RentRoll"}</definedName>
    <definedName name="sadd_1" hidden="1">{"MonthlyRentRoll",#N/A,FALSE,"RentRoll"}</definedName>
    <definedName name="saddd" localSheetId="23" hidden="1">{"AnnualRentRoll",#N/A,FALSE,"RentRoll"}</definedName>
    <definedName name="saddd" localSheetId="18" hidden="1">{"AnnualRentRoll",#N/A,FALSE,"RentRoll"}</definedName>
    <definedName name="saddd" localSheetId="24" hidden="1">{"AnnualRentRoll",#N/A,FALSE,"RentRoll"}</definedName>
    <definedName name="saddd" hidden="1">{"AnnualRentRoll",#N/A,FALSE,"RentRoll"}</definedName>
    <definedName name="saddd_1" localSheetId="23" hidden="1">{"AnnualRentRoll",#N/A,FALSE,"RentRoll"}</definedName>
    <definedName name="saddd_1" localSheetId="18" hidden="1">{"AnnualRentRoll",#N/A,FALSE,"RentRoll"}</definedName>
    <definedName name="saddd_1" localSheetId="24" hidden="1">{"AnnualRentRoll",#N/A,FALSE,"RentRoll"}</definedName>
    <definedName name="saddd_1" hidden="1">{"AnnualRentRoll",#N/A,FALSE,"RentRoll"}</definedName>
    <definedName name="saddddd" localSheetId="23" hidden="1">{"AnnualRentRoll",#N/A,FALSE,"RentRoll"}</definedName>
    <definedName name="saddddd" localSheetId="18" hidden="1">{"AnnualRentRoll",#N/A,FALSE,"RentRoll"}</definedName>
    <definedName name="saddddd" localSheetId="24" hidden="1">{"AnnualRentRoll",#N/A,FALSE,"RentRoll"}</definedName>
    <definedName name="saddddd" hidden="1">{"AnnualRentRoll",#N/A,FALSE,"RentRoll"}</definedName>
    <definedName name="saddddd_1" localSheetId="23" hidden="1">{"AnnualRentRoll",#N/A,FALSE,"RentRoll"}</definedName>
    <definedName name="saddddd_1" localSheetId="18" hidden="1">{"AnnualRentRoll",#N/A,FALSE,"RentRoll"}</definedName>
    <definedName name="saddddd_1" localSheetId="24" hidden="1">{"AnnualRentRoll",#N/A,FALSE,"RentRoll"}</definedName>
    <definedName name="saddddd_1" hidden="1">{"AnnualRentRoll",#N/A,FALSE,"RentRoll"}</definedName>
    <definedName name="sadddddddd" localSheetId="23" hidden="1">{#N/A,#N/A,FALSE,"ExitStratigy"}</definedName>
    <definedName name="sadddddddd" localSheetId="18" hidden="1">{#N/A,#N/A,FALSE,"ExitStratigy"}</definedName>
    <definedName name="sadddddddd" localSheetId="24" hidden="1">{#N/A,#N/A,FALSE,"ExitStratigy"}</definedName>
    <definedName name="sadddddddd" hidden="1">{#N/A,#N/A,FALSE,"ExitStratigy"}</definedName>
    <definedName name="sadddddddd_1" localSheetId="23" hidden="1">{#N/A,#N/A,FALSE,"ExitStratigy"}</definedName>
    <definedName name="sadddddddd_1" localSheetId="18" hidden="1">{#N/A,#N/A,FALSE,"ExitStratigy"}</definedName>
    <definedName name="sadddddddd_1" localSheetId="24" hidden="1">{#N/A,#N/A,FALSE,"ExitStratigy"}</definedName>
    <definedName name="sadddddddd_1" hidden="1">{#N/A,#N/A,FALSE,"ExitStratigy"}</definedName>
    <definedName name="sadddddddddd" localSheetId="23" hidden="1">{#N/A,#N/A,FALSE,"LoanAssumptions"}</definedName>
    <definedName name="sadddddddddd" localSheetId="18" hidden="1">{#N/A,#N/A,FALSE,"LoanAssumptions"}</definedName>
    <definedName name="sadddddddddd" localSheetId="24" hidden="1">{#N/A,#N/A,FALSE,"LoanAssumptions"}</definedName>
    <definedName name="sadddddddddd" hidden="1">{#N/A,#N/A,FALSE,"LoanAssumptions"}</definedName>
    <definedName name="sadddddddddd_1" localSheetId="23" hidden="1">{#N/A,#N/A,FALSE,"LoanAssumptions"}</definedName>
    <definedName name="sadddddddddd_1" localSheetId="18" hidden="1">{#N/A,#N/A,FALSE,"LoanAssumptions"}</definedName>
    <definedName name="sadddddddddd_1" localSheetId="24" hidden="1">{#N/A,#N/A,FALSE,"LoanAssumptions"}</definedName>
    <definedName name="sadddddddddd_1" hidden="1">{#N/A,#N/A,FALSE,"LoanAssumptions"}</definedName>
    <definedName name="saddddddddddda" localSheetId="23" hidden="1">{#N/A,#N/A,FALSE,"OperatingAssumptions"}</definedName>
    <definedName name="saddddddddddda" localSheetId="18" hidden="1">{#N/A,#N/A,FALSE,"OperatingAssumptions"}</definedName>
    <definedName name="saddddddddddda" localSheetId="24" hidden="1">{#N/A,#N/A,FALSE,"OperatingAssumptions"}</definedName>
    <definedName name="saddddddddddda" hidden="1">{#N/A,#N/A,FALSE,"OperatingAssumptions"}</definedName>
    <definedName name="saddddddddddda_1" localSheetId="23" hidden="1">{#N/A,#N/A,FALSE,"OperatingAssumptions"}</definedName>
    <definedName name="saddddddddddda_1" localSheetId="18" hidden="1">{#N/A,#N/A,FALSE,"OperatingAssumptions"}</definedName>
    <definedName name="saddddddddddda_1" localSheetId="24" hidden="1">{#N/A,#N/A,FALSE,"OperatingAssumptions"}</definedName>
    <definedName name="saddddddddddda_1" hidden="1">{#N/A,#N/A,FALSE,"OperatingAssumptions"}</definedName>
    <definedName name="saddddddddddddd" localSheetId="23" hidden="1">{#N/A,#N/A,FALSE,"OperatingAssumptions"}</definedName>
    <definedName name="saddddddddddddd" localSheetId="18" hidden="1">{#N/A,#N/A,FALSE,"OperatingAssumptions"}</definedName>
    <definedName name="saddddddddddddd" localSheetId="24" hidden="1">{#N/A,#N/A,FALSE,"OperatingAssumptions"}</definedName>
    <definedName name="saddddddddddddd" hidden="1">{#N/A,#N/A,FALSE,"OperatingAssumptions"}</definedName>
    <definedName name="saddddddddddddd_1" localSheetId="23" hidden="1">{#N/A,#N/A,FALSE,"OperatingAssumptions"}</definedName>
    <definedName name="saddddddddddddd_1" localSheetId="18" hidden="1">{#N/A,#N/A,FALSE,"OperatingAssumptions"}</definedName>
    <definedName name="saddddddddddddd_1" localSheetId="24" hidden="1">{#N/A,#N/A,FALSE,"OperatingAssumptions"}</definedName>
    <definedName name="saddddddddddddd_1" hidden="1">{#N/A,#N/A,FALSE,"OperatingAssumptions"}</definedName>
    <definedName name="sadddddddddddddddddd" localSheetId="23" hidden="1">{#N/A,#N/A,FALSE,"OperatingAssumptions"}</definedName>
    <definedName name="sadddddddddddddddddd" localSheetId="18" hidden="1">{#N/A,#N/A,FALSE,"OperatingAssumptions"}</definedName>
    <definedName name="sadddddddddddddddddd" localSheetId="24" hidden="1">{#N/A,#N/A,FALSE,"OperatingAssumptions"}</definedName>
    <definedName name="sadddddddddddddddddd" hidden="1">{#N/A,#N/A,FALSE,"OperatingAssumptions"}</definedName>
    <definedName name="SAFDAF" localSheetId="23" hidden="1">{"'Firr(선)'!$AS$1:$AY$62","'Firr(사)'!$AS$1:$AY$62","'Firr(회)'!$AS$1:$AY$62","'Firr(선)'!$L$1:$V$62","'Firr(사)'!$L$1:$V$62","'Firr(회)'!$L$1:$V$62"}</definedName>
    <definedName name="SAFDAF" localSheetId="18" hidden="1">{"'Firr(선)'!$AS$1:$AY$62","'Firr(사)'!$AS$1:$AY$62","'Firr(회)'!$AS$1:$AY$62","'Firr(선)'!$L$1:$V$62","'Firr(사)'!$L$1:$V$62","'Firr(회)'!$L$1:$V$62"}</definedName>
    <definedName name="SAFDAF" localSheetId="24"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3" hidden="1">{"Outflow 1",#N/A,FALSE,"Outflows-Inflows";"Outflow 2",#N/A,FALSE,"Outflows-Inflows";"Inflow 1",#N/A,FALSE,"Outflows-Inflows";"Inflow 2",#N/A,FALSE,"Outflows-Inflows"}</definedName>
    <definedName name="sas" localSheetId="18" hidden="1">{"Outflow 1",#N/A,FALSE,"Outflows-Inflows";"Outflow 2",#N/A,FALSE,"Outflows-Inflows";"Inflow 1",#N/A,FALSE,"Outflows-Inflows";"Inflow 2",#N/A,FALSE,"Outflows-Inflows"}</definedName>
    <definedName name="sas" localSheetId="24"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3">REPORT!SaveNewFile</definedName>
    <definedName name="SaveNewFile" localSheetId="18">'Report-sj'!SaveNewFile</definedName>
    <definedName name="SaveNewFile" localSheetId="24">수정사항!SaveNewFile</definedName>
    <definedName name="SaveNewFile">[0]!SaveNewFile</definedName>
    <definedName name="sbfsdfbdfd" localSheetId="23" hidden="1">{#N/A,#N/A,FALSE,"Summary1";#N/A,#N/A,FALSE,"Summary2";#N/A,#N/A,FALSE,"Variation";#N/A,#N/A,FALSE,"Ext-Shops";#N/A,#N/A,FALSE,"Lost"}</definedName>
    <definedName name="sbfsdfbdfd" localSheetId="18" hidden="1">{#N/A,#N/A,FALSE,"Summary1";#N/A,#N/A,FALSE,"Summary2";#N/A,#N/A,FALSE,"Variation";#N/A,#N/A,FALSE,"Ext-Shops";#N/A,#N/A,FALSE,"Lost"}</definedName>
    <definedName name="sbfsdfbdfd" localSheetId="24" hidden="1">{#N/A,#N/A,FALSE,"Summary1";#N/A,#N/A,FALSE,"Summary2";#N/A,#N/A,FALSE,"Variation";#N/A,#N/A,FALSE,"Ext-Shops";#N/A,#N/A,FALSE,"Lost"}</definedName>
    <definedName name="sbfsdfbdfd" hidden="1">{#N/A,#N/A,FALSE,"Summary1";#N/A,#N/A,FALSE,"Summary2";#N/A,#N/A,FALSE,"Variation";#N/A,#N/A,FALSE,"Ext-Shops";#N/A,#N/A,FALSE,"Lost"}</definedName>
    <definedName name="sbsbdfdfb" localSheetId="23" hidden="1">{#N/A,#N/A,TRUE,"Summary1";#N/A,#N/A,TRUE,"Summary2";#N/A,#N/A,TRUE,"Var";#N/A,#N/A,TRUE,"nvp";#N/A,#N/A,TRUE,"Ext-Shops"}</definedName>
    <definedName name="sbsbdfdfb" localSheetId="18" hidden="1">{#N/A,#N/A,TRUE,"Summary1";#N/A,#N/A,TRUE,"Summary2";#N/A,#N/A,TRUE,"Var";#N/A,#N/A,TRUE,"nvp";#N/A,#N/A,TRUE,"Ext-Shops"}</definedName>
    <definedName name="sbsbdfdfb" localSheetId="24" hidden="1">{#N/A,#N/A,TRUE,"Summary1";#N/A,#N/A,TRUE,"Summary2";#N/A,#N/A,TRUE,"Var";#N/A,#N/A,TRUE,"nvp";#N/A,#N/A,TRUE,"Ext-Shops"}</definedName>
    <definedName name="sbsbdfdfb" hidden="1">{#N/A,#N/A,TRUE,"Summary1";#N/A,#N/A,TRUE,"Summary2";#N/A,#N/A,TRUE,"Var";#N/A,#N/A,TRUE,"nvp";#N/A,#N/A,TRUE,"Ext-Shops"}</definedName>
    <definedName name="SCGK" localSheetId="23" hidden="1">{#N/A,#N/A,FALSE,"동부"}</definedName>
    <definedName name="SCGK" localSheetId="18" hidden="1">{#N/A,#N/A,FALSE,"동부"}</definedName>
    <definedName name="SCGK" localSheetId="24" hidden="1">{#N/A,#N/A,FALSE,"동부"}</definedName>
    <definedName name="SCGK" hidden="1">{#N/A,#N/A,FALSE,"동부"}</definedName>
    <definedName name="SCGK1" localSheetId="23" hidden="1">{#N/A,#N/A,FALSE,"동부"}</definedName>
    <definedName name="SCGK1" localSheetId="18" hidden="1">{#N/A,#N/A,FALSE,"동부"}</definedName>
    <definedName name="SCGK1" localSheetId="24" hidden="1">{#N/A,#N/A,FALSE,"동부"}</definedName>
    <definedName name="SCGK1" hidden="1">{#N/A,#N/A,FALSE,"동부"}</definedName>
    <definedName name="SD" localSheetId="23" hidden="1">{"'용역비'!$A$4:$C$8"}</definedName>
    <definedName name="SD" localSheetId="18" hidden="1">{"'용역비'!$A$4:$C$8"}</definedName>
    <definedName name="SD" localSheetId="24" hidden="1">{"'용역비'!$A$4:$C$8"}</definedName>
    <definedName name="SD" hidden="1">{"'용역비'!$A$4:$C$8"}</definedName>
    <definedName name="sdadasasdas"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3" hidden="1">{"'Firr(선)'!$AS$1:$AY$62","'Firr(사)'!$AS$1:$AY$62","'Firr(회)'!$AS$1:$AY$62","'Firr(선)'!$L$1:$V$62","'Firr(사)'!$L$1:$V$62","'Firr(회)'!$L$1:$V$62"}</definedName>
    <definedName name="SDAS" localSheetId="18" hidden="1">{"'Firr(선)'!$AS$1:$AY$62","'Firr(사)'!$AS$1:$AY$62","'Firr(회)'!$AS$1:$AY$62","'Firr(선)'!$L$1:$V$62","'Firr(사)'!$L$1:$V$62","'Firr(회)'!$L$1:$V$62"}</definedName>
    <definedName name="SDAS" localSheetId="24" hidden="1">{"'Firr(선)'!$AS$1:$AY$62","'Firr(사)'!$AS$1:$AY$62","'Firr(회)'!$AS$1:$AY$62","'Firr(선)'!$L$1:$V$62","'Firr(사)'!$L$1:$V$62","'Firr(회)'!$L$1:$V$62"}</definedName>
    <definedName name="SDAS" hidden="1">{"'Firr(선)'!$AS$1:$AY$62","'Firr(사)'!$AS$1:$AY$62","'Firr(회)'!$AS$1:$AY$62","'Firr(선)'!$L$1:$V$62","'Firr(사)'!$L$1:$V$62","'Firr(회)'!$L$1:$V$62"}</definedName>
    <definedName name="sdasdas" localSheetId="23" hidden="1">{#N/A,#N/A,FALSE,"97년 투자계획 세부내역 "}</definedName>
    <definedName name="sdasdas" localSheetId="18" hidden="1">{#N/A,#N/A,FALSE,"97년 투자계획 세부내역 "}</definedName>
    <definedName name="sdasdas" localSheetId="24" hidden="1">{#N/A,#N/A,FALSE,"97년 투자계획 세부내역 "}</definedName>
    <definedName name="sdasdas" hidden="1">{#N/A,#N/A,FALSE,"97년 투자계획 세부내역 "}</definedName>
    <definedName name="SDCFG\" localSheetId="23" hidden="1">{#N/A,#N/A,FALSE,"운반시간"}</definedName>
    <definedName name="SDCFG\" localSheetId="18" hidden="1">{#N/A,#N/A,FALSE,"운반시간"}</definedName>
    <definedName name="SDCFG\" localSheetId="24" hidden="1">{#N/A,#N/A,FALSE,"운반시간"}</definedName>
    <definedName name="SDCFG\" hidden="1">{#N/A,#N/A,FALSE,"운반시간"}</definedName>
    <definedName name="sdf" localSheetId="23" hidden="1">{#N/A,#N/A,FALSE,"Summary";#N/A,#N/A,FALSE,"Ext Shops";#N/A,#N/A,FALSE,"Lost Shops";#N/A,#N/A,FALSE,"Reloc Shops";#N/A,#N/A,FALSE,"Not Affected";#N/A,#N/A,FALSE,"MDbase"}</definedName>
    <definedName name="sdf" localSheetId="18" hidden="1">{#N/A,#N/A,FALSE,"Summary";#N/A,#N/A,FALSE,"Ext Shops";#N/A,#N/A,FALSE,"Lost Shops";#N/A,#N/A,FALSE,"Reloc Shops";#N/A,#N/A,FALSE,"Not Affected";#N/A,#N/A,FALSE,"MDbase"}</definedName>
    <definedName name="sdf" localSheetId="24"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3" hidden="1">{#N/A,#N/A,TRUE,"대 차 대 조 표"}</definedName>
    <definedName name="sdfadfgfhytryj" localSheetId="18" hidden="1">{#N/A,#N/A,TRUE,"대 차 대 조 표"}</definedName>
    <definedName name="sdfadfgfhytryj" localSheetId="24" hidden="1">{#N/A,#N/A,TRUE,"대 차 대 조 표"}</definedName>
    <definedName name="sdfadfgfhytryj" hidden="1">{#N/A,#N/A,TRUE,"대 차 대 조 표"}</definedName>
    <definedName name="sdfasars" localSheetId="23" hidden="1">{#N/A,#N/A,FALSE,"지침";#N/A,#N/A,FALSE,"환경분석";#N/A,#N/A,FALSE,"Sheet16"}</definedName>
    <definedName name="sdfasars" localSheetId="18" hidden="1">{#N/A,#N/A,FALSE,"지침";#N/A,#N/A,FALSE,"환경분석";#N/A,#N/A,FALSE,"Sheet16"}</definedName>
    <definedName name="sdfasars" localSheetId="24" hidden="1">{#N/A,#N/A,FALSE,"지침";#N/A,#N/A,FALSE,"환경분석";#N/A,#N/A,FALSE,"Sheet16"}</definedName>
    <definedName name="sdfasars" hidden="1">{#N/A,#N/A,FALSE,"지침";#N/A,#N/A,FALSE,"환경분석";#N/A,#N/A,FALSE,"Sheet16"}</definedName>
    <definedName name="sdfass" localSheetId="23" hidden="1">{"Outflow 1",#N/A,FALSE,"Outflows-Inflows";"Outflow 2",#N/A,FALSE,"Outflows-Inflows";"Inflow 1",#N/A,FALSE,"Outflows-Inflows";"Inflow 2",#N/A,FALSE,"Outflows-Inflows"}</definedName>
    <definedName name="sdfass" localSheetId="18" hidden="1">{"Outflow 1",#N/A,FALSE,"Outflows-Inflows";"Outflow 2",#N/A,FALSE,"Outflows-Inflows";"Inflow 1",#N/A,FALSE,"Outflows-Inflows";"Inflow 2",#N/A,FALSE,"Outflows-Inflows"}</definedName>
    <definedName name="sdfass" localSheetId="24"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3" hidden="1">{#N/A,#N/A,FALSE,"Menu";#N/A,#N/A,FALSE,"Sch A";#N/A,#N/A,FALSE,"Print Dummy";#N/A,#N/A,FALSE,"Sch B";#N/A,#N/A,FALSE,"Sch C";#N/A,#N/A,FALSE,"Sch D";#N/A,#N/A,FALSE,"Sch E";#N/A,#N/A,FALSE,"Sch F";#N/A,#N/A,FALSE,"Sch G";#N/A,#N/A,FALSE,"Sch H";#N/A,#N/A,FALSE,"Sch I";#N/A,#N/A,FALSE,"Sch J"}</definedName>
    <definedName name="sdffsdfds" localSheetId="18" hidden="1">{#N/A,#N/A,FALSE,"Menu";#N/A,#N/A,FALSE,"Sch A";#N/A,#N/A,FALSE,"Print Dummy";#N/A,#N/A,FALSE,"Sch B";#N/A,#N/A,FALSE,"Sch C";#N/A,#N/A,FALSE,"Sch D";#N/A,#N/A,FALSE,"Sch E";#N/A,#N/A,FALSE,"Sch F";#N/A,#N/A,FALSE,"Sch G";#N/A,#N/A,FALSE,"Sch H";#N/A,#N/A,FALSE,"Sch I";#N/A,#N/A,FALSE,"Sch J"}</definedName>
    <definedName name="sdffsdfds" localSheetId="24"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3" hidden="1">{#N/A,#N/A,FALSE,"OperatingAssumptions"}</definedName>
    <definedName name="sdlkjr" localSheetId="18" hidden="1">{#N/A,#N/A,FALSE,"OperatingAssumptions"}</definedName>
    <definedName name="sdlkjr" localSheetId="24" hidden="1">{#N/A,#N/A,FALSE,"OperatingAssumptions"}</definedName>
    <definedName name="sdlkjr" hidden="1">{#N/A,#N/A,FALSE,"OperatingAssumptions"}</definedName>
    <definedName name="sdnr" localSheetId="23" hidden="1">{#N/A,#N/A,FALSE,"ExitStratigy"}</definedName>
    <definedName name="sdnr" localSheetId="18" hidden="1">{#N/A,#N/A,FALSE,"ExitStratigy"}</definedName>
    <definedName name="sdnr" localSheetId="24" hidden="1">{#N/A,#N/A,FALSE,"ExitStratigy"}</definedName>
    <definedName name="sdnr" hidden="1">{#N/A,#N/A,FALSE,"ExitStratigy"}</definedName>
    <definedName name="sdryhj" localSheetId="23" hidden="1">{"'용역비'!$A$4:$C$8"}</definedName>
    <definedName name="sdryhj" localSheetId="18" hidden="1">{"'용역비'!$A$4:$C$8"}</definedName>
    <definedName name="sdryhj" localSheetId="24" hidden="1">{"'용역비'!$A$4:$C$8"}</definedName>
    <definedName name="sdryhj" hidden="1">{"'용역비'!$A$4:$C$8"}</definedName>
    <definedName name="SE" localSheetId="23" hidden="1">{"'용역비'!$A$4:$C$8"}</definedName>
    <definedName name="SE" localSheetId="18" hidden="1">{"'용역비'!$A$4:$C$8"}</definedName>
    <definedName name="SE" localSheetId="24" hidden="1">{"'용역비'!$A$4:$C$8"}</definedName>
    <definedName name="SE" hidden="1">{"'용역비'!$A$4:$C$8"}</definedName>
    <definedName name="sencount">1</definedName>
    <definedName name="sep" localSheetId="23" hidden="1">{#N/A,#N/A,FALSE,"Val."}</definedName>
    <definedName name="sep" localSheetId="18" hidden="1">{#N/A,#N/A,FALSE,"Val."}</definedName>
    <definedName name="sep" localSheetId="24" hidden="1">{#N/A,#N/A,FALSE,"Val."}</definedName>
    <definedName name="sep" hidden="1">{#N/A,#N/A,FALSE,"Val."}</definedName>
    <definedName name="ser" localSheetId="23" hidden="1">{"AnnualRentRoll",#N/A,FALSE,"RentRoll"}</definedName>
    <definedName name="ser" localSheetId="18" hidden="1">{"AnnualRentRoll",#N/A,FALSE,"RentRoll"}</definedName>
    <definedName name="ser" localSheetId="24" hidden="1">{"AnnualRentRoll",#N/A,FALSE,"RentRoll"}</definedName>
    <definedName name="ser" hidden="1">{"AnnualRentRoll",#N/A,FALSE,"RentRoll"}</definedName>
    <definedName name="sf"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3" hidden="1">{#N/A,#N/A,FALSE,"동부"}</definedName>
    <definedName name="SFC" localSheetId="18" hidden="1">{#N/A,#N/A,FALSE,"동부"}</definedName>
    <definedName name="SFC" localSheetId="24" hidden="1">{#N/A,#N/A,FALSE,"동부"}</definedName>
    <definedName name="SFC" hidden="1">{#N/A,#N/A,FALSE,"동부"}</definedName>
    <definedName name="sfdbdsbdd" localSheetId="23" hidden="1">{#N/A,#N/A,FALSE,"SUM1";#N/A,#N/A,FALSE,"SUM2";#N/A,#N/A,FALSE,"KEY";#N/A,#N/A,FALSE,"ADD";#N/A,#N/A,FALSE,"EXT-SHOP";#N/A,#N/A,FALSE,"STORE";#N/A,#N/A,FALSE,"LOST"}</definedName>
    <definedName name="sfdbdsbdd" localSheetId="18" hidden="1">{#N/A,#N/A,FALSE,"SUM1";#N/A,#N/A,FALSE,"SUM2";#N/A,#N/A,FALSE,"KEY";#N/A,#N/A,FALSE,"ADD";#N/A,#N/A,FALSE,"EXT-SHOP";#N/A,#N/A,FALSE,"STORE";#N/A,#N/A,FALSE,"LOST"}</definedName>
    <definedName name="sfdbdsbdd" localSheetId="24"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3" hidden="1">{#N/A,#N/A,FALSE,"ExitStratigy"}</definedName>
    <definedName name="sfer" localSheetId="18" hidden="1">{#N/A,#N/A,FALSE,"ExitStratigy"}</definedName>
    <definedName name="sfer" localSheetId="24" hidden="1">{#N/A,#N/A,FALSE,"ExitStratigy"}</definedName>
    <definedName name="sfer" hidden="1">{#N/A,#N/A,FALSE,"ExitStratigy"}</definedName>
    <definedName name="sheet2" localSheetId="23" hidden="1">{"CF",#N/A,FALSE,"Cash Flow";"RET",#N/A,FALSE,"Returns";"NPV",#N/A,FALSE,"Values";"ASMPT",#N/A,FALSE,"Assumptions"}</definedName>
    <definedName name="sheet2" localSheetId="18" hidden="1">{"CF",#N/A,FALSE,"Cash Flow";"RET",#N/A,FALSE,"Returns";"NPV",#N/A,FALSE,"Values";"ASMPT",#N/A,FALSE,"Assumptions"}</definedName>
    <definedName name="sheet2" localSheetId="24" hidden="1">{"CF",#N/A,FALSE,"Cash Flow";"RET",#N/A,FALSE,"Returns";"NPV",#N/A,FALSE,"Values";"ASMPT",#N/A,FALSE,"Assumptions"}</definedName>
    <definedName name="sheet2" hidden="1">{"CF",#N/A,FALSE,"Cash Flow";"RET",#N/A,FALSE,"Returns";"NPV",#N/A,FALSE,"Values";"ASMPT",#N/A,FALSE,"Assumptions"}</definedName>
    <definedName name="sheet2waterfall" localSheetId="23" hidden="1">{"CF",#N/A,FALSE,"Cash Flow";"RET",#N/A,FALSE,"Returns";"NPV",#N/A,FALSE,"Values";"ASMPT",#N/A,FALSE,"Assumptions"}</definedName>
    <definedName name="sheet2waterfall" localSheetId="18" hidden="1">{"CF",#N/A,FALSE,"Cash Flow";"RET",#N/A,FALSE,"Returns";"NPV",#N/A,FALSE,"Values";"ASMPT",#N/A,FALSE,"Assumptions"}</definedName>
    <definedName name="sheet2waterfall" localSheetId="24" hidden="1">{"CF",#N/A,FALSE,"Cash Flow";"RET",#N/A,FALSE,"Returns";"NPV",#N/A,FALSE,"Values";"ASMPT",#N/A,FALSE,"Assumptions"}</definedName>
    <definedName name="sheet2waterfall" hidden="1">{"CF",#N/A,FALSE,"Cash Flow";"RET",#N/A,FALSE,"Returns";"NPV",#N/A,FALSE,"Values";"ASMPT",#N/A,FALSE,"Assumptions"}</definedName>
    <definedName name="shit" localSheetId="23" hidden="1">{#N/A,#N/A,FALSE,"1Executive Summary";#N/A,#N/A,FALSE,"2Assumptions (Input)";#N/A,#N/A,FALSE,"3Cash Flow Analysis";#N/A,#N/A,FALSE,"4Year One Financial Summary";#N/A,#N/A,FALSE,"5Value Matrix";#N/A,#N/A,FALSE,"Greenline Form Page 1";#N/A,#N/A,FALSE,"Greenline Form Page 2"}</definedName>
    <definedName name="shit" localSheetId="18" hidden="1">{#N/A,#N/A,FALSE,"1Executive Summary";#N/A,#N/A,FALSE,"2Assumptions (Input)";#N/A,#N/A,FALSE,"3Cash Flow Analysis";#N/A,#N/A,FALSE,"4Year One Financial Summary";#N/A,#N/A,FALSE,"5Value Matrix";#N/A,#N/A,FALSE,"Greenline Form Page 1";#N/A,#N/A,FALSE,"Greenline Form Page 2"}</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3" hidden="1">{#N/A,#N/A,FALSE,"1Executive Summary";#N/A,#N/A,FALSE,"2Assumptions (Input)";#N/A,#N/A,FALSE,"3Cash Flow Analysis";#N/A,#N/A,FALSE,"4Year One Financial Summary";#N/A,#N/A,FALSE,"5Value Matrix";#N/A,#N/A,FALSE,"Greenline Form Page 1";#N/A,#N/A,FALSE,"Greenline Form Page 2"}</definedName>
    <definedName name="shitty" localSheetId="18"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3" hidden="1">{#N/A,#N/A,FALSE,"Menu";#N/A,#N/A,FALSE,"Sch A";#N/A,#N/A,FALSE,"Print Dummy";#N/A,#N/A,FALSE,"Sch B";#N/A,#N/A,FALSE,"Sch C";#N/A,#N/A,FALSE,"Sch D";#N/A,#N/A,FALSE,"Sch E";#N/A,#N/A,FALSE,"Sch F";#N/A,#N/A,FALSE,"Sch G";#N/A,#N/A,FALSE,"Sch H";#N/A,#N/A,FALSE,"Sch I";#N/A,#N/A,FALSE,"Sch J"}</definedName>
    <definedName name="SinkFund" localSheetId="18" hidden="1">{#N/A,#N/A,FALSE,"Menu";#N/A,#N/A,FALSE,"Sch A";#N/A,#N/A,FALSE,"Print Dummy";#N/A,#N/A,FALSE,"Sch B";#N/A,#N/A,FALSE,"Sch C";#N/A,#N/A,FALSE,"Sch D";#N/A,#N/A,FALSE,"Sch E";#N/A,#N/A,FALSE,"Sch F";#N/A,#N/A,FALSE,"Sch G";#N/A,#N/A,FALSE,"Sch H";#N/A,#N/A,FALSE,"Sch I";#N/A,#N/A,FALSE,"Sch J"}</definedName>
    <definedName name="SinkFund" localSheetId="24"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3" hidden="1">{#N/A,#N/A,FALSE,"Menu";#N/A,#N/A,FALSE,"Sch A";#N/A,#N/A,FALSE,"Print Dummy";#N/A,#N/A,FALSE,"Sch B";#N/A,#N/A,FALSE,"Sch C";#N/A,#N/A,FALSE,"Sch D";#N/A,#N/A,FALSE,"Sch E";#N/A,#N/A,FALSE,"Sch F";#N/A,#N/A,FALSE,"Sch G";#N/A,#N/A,FALSE,"Sch H";#N/A,#N/A,FALSE,"Sch I";#N/A,#N/A,FALSE,"Sch J"}</definedName>
    <definedName name="SinkingFund" localSheetId="18"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3" hidden="1">{#N/A,#N/A,FALSE,"단축1";#N/A,#N/A,FALSE,"단축2";#N/A,#N/A,FALSE,"단축3";#N/A,#N/A,FALSE,"장축";#N/A,#N/A,FALSE,"4WD"}</definedName>
    <definedName name="ŞK" localSheetId="18" hidden="1">{#N/A,#N/A,FALSE,"단축1";#N/A,#N/A,FALSE,"단축2";#N/A,#N/A,FALSE,"단축3";#N/A,#N/A,FALSE,"장축";#N/A,#N/A,FALSE,"4WD"}</definedName>
    <definedName name="ŞK" localSheetId="24" hidden="1">{#N/A,#N/A,FALSE,"단축1";#N/A,#N/A,FALSE,"단축2";#N/A,#N/A,FALSE,"단축3";#N/A,#N/A,FALSE,"장축";#N/A,#N/A,FALSE,"4WD"}</definedName>
    <definedName name="ŞK" hidden="1">{#N/A,#N/A,FALSE,"단축1";#N/A,#N/A,FALSE,"단축2";#N/A,#N/A,FALSE,"단축3";#N/A,#N/A,FALSE,"장축";#N/A,#N/A,FALSE,"4WD"}</definedName>
    <definedName name="sk아카데미1" localSheetId="23" hidden="1">{#N/A,#N/A,FALSE,"이력서&amp;자기소개서"}</definedName>
    <definedName name="sk아카데미1" localSheetId="18" hidden="1">{#N/A,#N/A,FALSE,"이력서&amp;자기소개서"}</definedName>
    <definedName name="sk아카데미1" localSheetId="24" hidden="1">{#N/A,#N/A,FALSE,"이력서&amp;자기소개서"}</definedName>
    <definedName name="sk아카데미1" hidden="1">{#N/A,#N/A,FALSE,"이력서&amp;자기소개서"}</definedName>
    <definedName name="slrkjfu" localSheetId="23" hidden="1">{#N/A,#N/A,FALSE,"PropertyInfo"}</definedName>
    <definedName name="slrkjfu" localSheetId="18" hidden="1">{#N/A,#N/A,FALSE,"PropertyInfo"}</definedName>
    <definedName name="slrkjfu" localSheetId="24"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3" hidden="1">{"'용역비'!$A$4:$C$8"}</definedName>
    <definedName name="srth" localSheetId="18" hidden="1">{"'용역비'!$A$4:$C$8"}</definedName>
    <definedName name="srth" localSheetId="24" hidden="1">{"'용역비'!$A$4:$C$8"}</definedName>
    <definedName name="srth" hidden="1">{"'용역비'!$A$4:$C$8"}</definedName>
    <definedName name="ss">'A&amp;R'!$AM$33</definedName>
    <definedName name="SSSEE"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3" hidden="1">{#N/A,#N/A,FALSE,"CAM-G7";#N/A,#N/A,FALSE,"SPL";#N/A,#N/A,FALSE,"butt-in G7";#N/A,#N/A,FALSE,"dia-in G7";#N/A,#N/A,FALSE,"추가-STA G7"}</definedName>
    <definedName name="sssss" localSheetId="18" hidden="1">{#N/A,#N/A,FALSE,"CAM-G7";#N/A,#N/A,FALSE,"SPL";#N/A,#N/A,FALSE,"butt-in G7";#N/A,#N/A,FALSE,"dia-in G7";#N/A,#N/A,FALSE,"추가-STA G7"}</definedName>
    <definedName name="sssss" localSheetId="24" hidden="1">{#N/A,#N/A,FALSE,"CAM-G7";#N/A,#N/A,FALSE,"SPL";#N/A,#N/A,FALSE,"butt-in G7";#N/A,#N/A,FALSE,"dia-in G7";#N/A,#N/A,FALSE,"추가-STA G7"}</definedName>
    <definedName name="sssss" hidden="1">{#N/A,#N/A,FALSE,"CAM-G7";#N/A,#N/A,FALSE,"SPL";#N/A,#N/A,FALSE,"butt-in G7";#N/A,#N/A,FALSE,"dia-in G7";#N/A,#N/A,FALSE,"추가-STA G7"}</definedName>
    <definedName name="stacking" localSheetId="23">REPORT!stacking</definedName>
    <definedName name="stacking" localSheetId="18">'Report-sj'!stacking</definedName>
    <definedName name="stacking" localSheetId="24">수정사항!stacking</definedName>
    <definedName name="stacking">[0]!stacking</definedName>
    <definedName name="stretchA" localSheetId="23" hidden="1">{#N/A,#N/A,FALSE,"Summary";#N/A,#N/A,FALSE,"GM Sum";#N/A,#N/A,FALSE,"Ext Shops";#N/A,#N/A,FALSE,"Lost Shops";#N/A,#N/A,FALSE,"Reloc Shops";#N/A,#N/A,FALSE,"Not Affected";#N/A,#N/A,FALSE,"MDbase"}</definedName>
    <definedName name="stretchA" localSheetId="18" hidden="1">{#N/A,#N/A,FALSE,"Summary";#N/A,#N/A,FALSE,"GM Sum";#N/A,#N/A,FALSE,"Ext Shops";#N/A,#N/A,FALSE,"Lost Shops";#N/A,#N/A,FALSE,"Reloc Shops";#N/A,#N/A,FALSE,"Not Affected";#N/A,#N/A,FALSE,"MDbase"}</definedName>
    <definedName name="stretchA" localSheetId="24"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3" hidden="1">{#N/A,#N/A,FALSE,"Summary";#N/A,#N/A,FALSE,"Ext Shops";#N/A,#N/A,FALSE,"Lost Shops";#N/A,#N/A,FALSE,"Reloc Shops";#N/A,#N/A,FALSE,"Not Affected";#N/A,#N/A,FALSE,"MDbase"}</definedName>
    <definedName name="StretchB" localSheetId="18" hidden="1">{#N/A,#N/A,FALSE,"Summary";#N/A,#N/A,FALSE,"Ext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3" hidden="1">{#N/A,#N/A,FALSE,"Summary";#N/A,#N/A,FALSE,"Ext Shops";#N/A,#N/A,FALSE,"Lost Shops";#N/A,#N/A,FALSE,"Reloc Shops";#N/A,#N/A,FALSE,"Not Affected";#N/A,#N/A,FALSE,"MDbase"}</definedName>
    <definedName name="StretchE" localSheetId="18"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3" hidden="1">{"'용역비'!$A$4:$C$8"}</definedName>
    <definedName name="STS" localSheetId="18" hidden="1">{"'용역비'!$A$4:$C$8"}</definedName>
    <definedName name="STS" localSheetId="24" hidden="1">{"'용역비'!$A$4:$C$8"}</definedName>
    <definedName name="STS" hidden="1">{"'용역비'!$A$4:$C$8"}</definedName>
    <definedName name="sun" localSheetId="23" hidden="1">{#N/A,#N/A,FALSE,"이력서&amp;자기소개서"}</definedName>
    <definedName name="sun" localSheetId="18" hidden="1">{#N/A,#N/A,FALSE,"이력서&amp;자기소개서"}</definedName>
    <definedName name="sun" localSheetId="24" hidden="1">{#N/A,#N/A,FALSE,"이력서&amp;자기소개서"}</definedName>
    <definedName name="sun" hidden="1">{#N/A,#N/A,FALSE,"이력서&amp;자기소개서"}</definedName>
    <definedName name="t.t.t" localSheetId="23" hidden="1">{"賃貸事例比較法",#N/A,FALSE,"Sheet2";"賃貸条件",#N/A,FALSE,"Sheet2"}</definedName>
    <definedName name="t.t.t" localSheetId="18" hidden="1">{"賃貸事例比較法",#N/A,FALSE,"Sheet2";"賃貸条件",#N/A,FALSE,"Sheet2"}</definedName>
    <definedName name="t.t.t" localSheetId="24" hidden="1">{"賃貸事例比較法",#N/A,FALSE,"Sheet2";"賃貸条件",#N/A,FALSE,"Sheet2"}</definedName>
    <definedName name="t.t.t" hidden="1">{"賃貸事例比較法",#N/A,FALSE,"Sheet2";"賃貸条件",#N/A,FALSE,"Sheet2"}</definedName>
    <definedName name="ta" localSheetId="23" hidden="1">{#N/A,#N/A,FALSE,"지침";#N/A,#N/A,FALSE,"환경분석";#N/A,#N/A,FALSE,"Sheet16"}</definedName>
    <definedName name="ta" localSheetId="18" hidden="1">{#N/A,#N/A,FALSE,"지침";#N/A,#N/A,FALSE,"환경분석";#N/A,#N/A,FALSE,"Sheet16"}</definedName>
    <definedName name="ta" localSheetId="24" hidden="1">{#N/A,#N/A,FALSE,"지침";#N/A,#N/A,FALSE,"환경분석";#N/A,#N/A,FALSE,"Sheet16"}</definedName>
    <definedName name="ta" hidden="1">{#N/A,#N/A,FALSE,"지침";#N/A,#N/A,FALSE,"환경분석";#N/A,#N/A,FALSE,"Sheet16"}</definedName>
    <definedName name="tatsuya" localSheetId="23" hidden="1">{"AnnualRentRoll",#N/A,FALSE,"RentRoll"}</definedName>
    <definedName name="tatsuya" localSheetId="18" hidden="1">{"AnnualRentRoll",#N/A,FALSE,"RentRoll"}</definedName>
    <definedName name="tatsuya" localSheetId="24" hidden="1">{"AnnualRentRoll",#N/A,FALSE,"RentRoll"}</definedName>
    <definedName name="tatsuya" hidden="1">{"AnnualRentRoll",#N/A,FALSE,"RentRoll"}</definedName>
    <definedName name="tax" localSheetId="23" hidden="1">{#N/A,#N/A,TRUE,"constb"}</definedName>
    <definedName name="tax" localSheetId="18" hidden="1">{#N/A,#N/A,TRUE,"constb"}</definedName>
    <definedName name="tax" localSheetId="24" hidden="1">{#N/A,#N/A,TRUE,"constb"}</definedName>
    <definedName name="tax" hidden="1">{#N/A,#N/A,TRUE,"constb"}</definedName>
    <definedName name="tci" localSheetId="23" hidden="1">{#N/A,#N/A,FALSE,"단축1";#N/A,#N/A,FALSE,"단축2";#N/A,#N/A,FALSE,"단축3";#N/A,#N/A,FALSE,"장축";#N/A,#N/A,FALSE,"4WD"}</definedName>
    <definedName name="tci" localSheetId="18" hidden="1">{#N/A,#N/A,FALSE,"단축1";#N/A,#N/A,FALSE,"단축2";#N/A,#N/A,FALSE,"단축3";#N/A,#N/A,FALSE,"장축";#N/A,#N/A,FALSE,"4WD"}</definedName>
    <definedName name="tci" localSheetId="24" hidden="1">{#N/A,#N/A,FALSE,"단축1";#N/A,#N/A,FALSE,"단축2";#N/A,#N/A,FALSE,"단축3";#N/A,#N/A,FALSE,"장축";#N/A,#N/A,FALSE,"4WD"}</definedName>
    <definedName name="tci" hidden="1">{#N/A,#N/A,FALSE,"단축1";#N/A,#N/A,FALSE,"단축2";#N/A,#N/A,FALSE,"단축3";#N/A,#N/A,FALSE,"장축";#N/A,#N/A,FALSE,"4WD"}</definedName>
    <definedName name="temp2" localSheetId="23" hidden="1">{"summary",#N/A,TRUE,"Focus";"interestexpense",#N/A,TRUE,"Focus";"interestincome",#N/A,TRUE,"Focus";"dividend",#N/A,TRUE,"Focus";"feeincome",#N/A,TRUE,"Focus";"gain",#N/A,TRUE,"Focus"}</definedName>
    <definedName name="temp2" localSheetId="18" hidden="1">{"summary",#N/A,TRUE,"Focus";"interestexpense",#N/A,TRUE,"Focus";"interestincome",#N/A,TRUE,"Focus";"dividend",#N/A,TRUE,"Focus";"feeincome",#N/A,TRUE,"Focus";"gain",#N/A,TRUE,"Focus"}</definedName>
    <definedName name="temp2" localSheetId="24"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3" hidden="1">{"'용역비'!$A$4:$C$8"}</definedName>
    <definedName name="TEYJ" localSheetId="18" hidden="1">{"'용역비'!$A$4:$C$8"}</definedName>
    <definedName name="TEYJ" localSheetId="24" hidden="1">{"'용역비'!$A$4:$C$8"}</definedName>
    <definedName name="TEYJ" hidden="1">{"'용역비'!$A$4:$C$8"}</definedName>
    <definedName name="TFF" localSheetId="23" hidden="1">{"AJD",#N/A,TRUE,"Summary";"AJD",#N/A,TRUE,"CFCONC-outputs";"AJD",#N/A,TRUE,"P&amp;LCONC-outputs";"AJD",#N/A,TRUE,"BSCONC-outputs";"AJD",#N/A,TRUE,"FSCONC-outputs"}</definedName>
    <definedName name="TFF" localSheetId="18" hidden="1">{"AJD",#N/A,TRUE,"Summary";"AJD",#N/A,TRUE,"CFCONC-outputs";"AJD",#N/A,TRUE,"P&amp;LCONC-outputs";"AJD",#N/A,TRUE,"BSCONC-outputs";"AJD",#N/A,TRUE,"FSCONC-outputs"}</definedName>
    <definedName name="TFF" localSheetId="24"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3" hidden="1">{"'용역비'!$A$4:$C$8"}</definedName>
    <definedName name="TFUI" localSheetId="18" hidden="1">{"'용역비'!$A$4:$C$8"}</definedName>
    <definedName name="TFUI" localSheetId="24" hidden="1">{"'용역비'!$A$4:$C$8"}</definedName>
    <definedName name="TFUI" hidden="1">{"'용역비'!$A$4:$C$8"}</definedName>
    <definedName name="tk" localSheetId="23" hidden="1">{#N/A,#N/A,FALSE,"견적갑지";#N/A,#N/A,FALSE,"총괄표";#N/A,#N/A,FALSE,"철골공사";#N/A,#N/A,FALSE,"토목공사";#N/A,#N/A,FALSE,"판넬전기공사"}</definedName>
    <definedName name="tk" localSheetId="18" hidden="1">{#N/A,#N/A,FALSE,"견적갑지";#N/A,#N/A,FALSE,"총괄표";#N/A,#N/A,FALSE,"철골공사";#N/A,#N/A,FALSE,"토목공사";#N/A,#N/A,FALSE,"판넬전기공사"}</definedName>
    <definedName name="tk" localSheetId="24"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3" hidden="1">{"'미착금액'!$A$4:$G$14"}</definedName>
    <definedName name="TKTKTK" localSheetId="18" hidden="1">{"'미착금액'!$A$4:$G$14"}</definedName>
    <definedName name="TKTKTK" localSheetId="24" hidden="1">{"'미착금액'!$A$4:$G$14"}</definedName>
    <definedName name="TKTKTK" hidden="1">{"'미착금액'!$A$4:$G$14"}</definedName>
    <definedName name="tlxm1" localSheetId="23" hidden="1">{#N/A,#N/A,TRUE,"대 차 대 조 표"}</definedName>
    <definedName name="tlxm1" localSheetId="18" hidden="1">{#N/A,#N/A,TRUE,"대 차 대 조 표"}</definedName>
    <definedName name="tlxm1" localSheetId="24" hidden="1">{#N/A,#N/A,TRUE,"대 차 대 조 표"}</definedName>
    <definedName name="tlxm1" hidden="1">{#N/A,#N/A,TRUE,"대 차 대 조 표"}</definedName>
    <definedName name="tn" localSheetId="23" hidden="1">{#N/A,#N/A,FALSE,"견적갑지";#N/A,#N/A,FALSE,"총괄표";#N/A,#N/A,FALSE,"철골공사";#N/A,#N/A,FALSE,"토목공사";#N/A,#N/A,FALSE,"판넬전기공사"}</definedName>
    <definedName name="tn" localSheetId="18" hidden="1">{#N/A,#N/A,FALSE,"견적갑지";#N/A,#N/A,FALSE,"총괄표";#N/A,#N/A,FALSE,"철골공사";#N/A,#N/A,FALSE,"토목공사";#N/A,#N/A,FALSE,"판넬전기공사"}</definedName>
    <definedName name="tn" localSheetId="24"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3" hidden="1">{#N/A,#N/A,FALSE,"Categories";#N/A,#N/A,FALSE,"MRi INCH";#N/A,#N/A,FALSE,"COA Usage";#N/A,#N/A,FALSE,"Detail"}</definedName>
    <definedName name="topprioritykawawto" localSheetId="18" hidden="1">{#N/A,#N/A,FALSE,"Categories";#N/A,#N/A,FALSE,"MRi INCH";#N/A,#N/A,FALSE,"COA Usage";#N/A,#N/A,FALSE,"Detail"}</definedName>
    <definedName name="topprioritykawawto" localSheetId="24" hidden="1">{#N/A,#N/A,FALSE,"Categories";#N/A,#N/A,FALSE,"MRi INCH";#N/A,#N/A,FALSE,"COA Usage";#N/A,#N/A,FALSE,"Detail"}</definedName>
    <definedName name="topprioritykawawto" hidden="1">{#N/A,#N/A,FALSE,"Categories";#N/A,#N/A,FALSE,"MRi INCH";#N/A,#N/A,FALSE,"COA Usage";#N/A,#N/A,FALSE,"Detail"}</definedName>
    <definedName name="TORSION" localSheetId="23" hidden="1">{#N/A,#N/A,FALSE,"단축1";#N/A,#N/A,FALSE,"단축2";#N/A,#N/A,FALSE,"단축3";#N/A,#N/A,FALSE,"장축";#N/A,#N/A,FALSE,"4WD"}</definedName>
    <definedName name="TORSION" localSheetId="18" hidden="1">{#N/A,#N/A,FALSE,"단축1";#N/A,#N/A,FALSE,"단축2";#N/A,#N/A,FALSE,"단축3";#N/A,#N/A,FALSE,"장축";#N/A,#N/A,FALSE,"4WD"}</definedName>
    <definedName name="TORSION" localSheetId="24" hidden="1">{#N/A,#N/A,FALSE,"단축1";#N/A,#N/A,FALSE,"단축2";#N/A,#N/A,FALSE,"단축3";#N/A,#N/A,FALSE,"장축";#N/A,#N/A,FALSE,"4WD"}</definedName>
    <definedName name="TORSION" hidden="1">{#N/A,#N/A,FALSE,"단축1";#N/A,#N/A,FALSE,"단축2";#N/A,#N/A,FALSE,"단축3";#N/A,#N/A,FALSE,"장축";#N/A,#N/A,FALSE,"4WD"}</definedName>
    <definedName name="towa" localSheetId="23" hidden="1">{"ｹﾝﾄ（M)",#N/A,FALSE,"収支・日割";"ｹﾝﾄ（RD)",#N/A,FALSE,"収支・日割";"ｹﾝﾄ（PMC)",#N/A,FALSE,"収支・日割"}</definedName>
    <definedName name="towa" localSheetId="18" hidden="1">{"ｹﾝﾄ（M)",#N/A,FALSE,"収支・日割";"ｹﾝﾄ（RD)",#N/A,FALSE,"収支・日割";"ｹﾝﾄ（PMC)",#N/A,FALSE,"収支・日割"}</definedName>
    <definedName name="towa" localSheetId="24" hidden="1">{"ｹﾝﾄ（M)",#N/A,FALSE,"収支・日割";"ｹﾝﾄ（RD)",#N/A,FALSE,"収支・日割";"ｹﾝﾄ（PMC)",#N/A,FALSE,"収支・日割"}</definedName>
    <definedName name="towa" hidden="1">{"ｹﾝﾄ（M)",#N/A,FALSE,"収支・日割";"ｹﾝﾄ（RD)",#N/A,FALSE,"収支・日割";"ｹﾝﾄ（PMC)",#N/A,FALSE,"収支・日割"}</definedName>
    <definedName name="trial" localSheetId="23" hidden="1">{"Outflow 1",#N/A,FALSE,"Outflows-Inflows";"Outflow 2",#N/A,FALSE,"Outflows-Inflows";"Inflow 1",#N/A,FALSE,"Outflows-Inflows";"Inflow 2",#N/A,FALSE,"Outflows-Inflows"}</definedName>
    <definedName name="trial" localSheetId="18" hidden="1">{"Outflow 1",#N/A,FALSE,"Outflows-Inflows";"Outflow 2",#N/A,FALSE,"Outflows-Inflows";"Inflow 1",#N/A,FALSE,"Outflows-Inflows";"Inflow 2",#N/A,FALSE,"Outflows-Inflows"}</definedName>
    <definedName name="trial" localSheetId="24"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3" hidden="1">{"ELECT JOURNAL 1",#N/A,FALSE,"ELECTRICITY";"ELECT JOURNAL 2",#N/A,FALSE,"ELECTRICITY";"ELECT SCHEDULE",#N/A,FALSE,"ELECTRICITY";"WORKSHEET",#N/A,FALSE,"ELECTRICITY"}</definedName>
    <definedName name="trtr" localSheetId="18" hidden="1">{"ELECT JOURNAL 1",#N/A,FALSE,"ELECTRICITY";"ELECT JOURNAL 2",#N/A,FALSE,"ELECTRICITY";"ELECT SCHEDULE",#N/A,FALSE,"ELECTRICITY";"WORKSHEET",#N/A,FALSE,"ELECTRICITY"}</definedName>
    <definedName name="trtr" localSheetId="24"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3" hidden="1">{#N/A,#N/A,FALSE,"단축1";#N/A,#N/A,FALSE,"단축2";#N/A,#N/A,FALSE,"단축3";#N/A,#N/A,FALSE,"장축";#N/A,#N/A,FALSE,"4WD"}</definedName>
    <definedName name="TT" localSheetId="18" hidden="1">{#N/A,#N/A,FALSE,"단축1";#N/A,#N/A,FALSE,"단축2";#N/A,#N/A,FALSE,"단축3";#N/A,#N/A,FALSE,"장축";#N/A,#N/A,FALSE,"4WD"}</definedName>
    <definedName name="TT" localSheetId="24" hidden="1">{#N/A,#N/A,FALSE,"단축1";#N/A,#N/A,FALSE,"단축2";#N/A,#N/A,FALSE,"단축3";#N/A,#N/A,FALSE,"장축";#N/A,#N/A,FALSE,"4WD"}</definedName>
    <definedName name="TT" hidden="1">{#N/A,#N/A,FALSE,"단축1";#N/A,#N/A,FALSE,"단축2";#N/A,#N/A,FALSE,"단축3";#N/A,#N/A,FALSE,"장축";#N/A,#N/A,FALSE,"4WD"}</definedName>
    <definedName name="ttt" localSheetId="23" hidden="1">{#N/A,#N/A,FALSE,"단축1";#N/A,#N/A,FALSE,"단축2";#N/A,#N/A,FALSE,"단축3";#N/A,#N/A,FALSE,"장축";#N/A,#N/A,FALSE,"4WD"}</definedName>
    <definedName name="ttt" localSheetId="18" hidden="1">{#N/A,#N/A,FALSE,"단축1";#N/A,#N/A,FALSE,"단축2";#N/A,#N/A,FALSE,"단축3";#N/A,#N/A,FALSE,"장축";#N/A,#N/A,FALSE,"4WD"}</definedName>
    <definedName name="ttt" localSheetId="24" hidden="1">{#N/A,#N/A,FALSE,"단축1";#N/A,#N/A,FALSE,"단축2";#N/A,#N/A,FALSE,"단축3";#N/A,#N/A,FALSE,"장축";#N/A,#N/A,FALSE,"4WD"}</definedName>
    <definedName name="ttt" hidden="1">{#N/A,#N/A,FALSE,"단축1";#N/A,#N/A,FALSE,"단축2";#N/A,#N/A,FALSE,"단축3";#N/A,#N/A,FALSE,"장축";#N/A,#N/A,FALSE,"4WD"}</definedName>
    <definedName name="ttttt" localSheetId="23" hidden="1">{#N/A,#N/A,FALSE,"지침";#N/A,#N/A,FALSE,"환경분석";#N/A,#N/A,FALSE,"Sheet16"}</definedName>
    <definedName name="ttttt" localSheetId="18" hidden="1">{#N/A,#N/A,FALSE,"지침";#N/A,#N/A,FALSE,"환경분석";#N/A,#N/A,FALSE,"Sheet16"}</definedName>
    <definedName name="ttttt" localSheetId="24" hidden="1">{#N/A,#N/A,FALSE,"지침";#N/A,#N/A,FALSE,"환경분석";#N/A,#N/A,FALSE,"Sheet16"}</definedName>
    <definedName name="ttttt" hidden="1">{#N/A,#N/A,FALSE,"지침";#N/A,#N/A,FALSE,"환경분석";#N/A,#N/A,FALSE,"Sheet16"}</definedName>
    <definedName name="tttttt" localSheetId="23" hidden="1">{"ｹﾝﾄ（M)",#N/A,FALSE,"収支・日割";"ｹﾝﾄ（RD)",#N/A,FALSE,"収支・日割";"ｹﾝﾄ（PMC)",#N/A,FALSE,"収支・日割"}</definedName>
    <definedName name="tttttt" localSheetId="18" hidden="1">{"ｹﾝﾄ（M)",#N/A,FALSE,"収支・日割";"ｹﾝﾄ（RD)",#N/A,FALSE,"収支・日割";"ｹﾝﾄ（PMC)",#N/A,FALSE,"収支・日割"}</definedName>
    <definedName name="tttttt" localSheetId="24" hidden="1">{"ｹﾝﾄ（M)",#N/A,FALSE,"収支・日割";"ｹﾝﾄ（RD)",#N/A,FALSE,"収支・日割";"ｹﾝﾄ（PMC)",#N/A,FALSE,"収支・日割"}</definedName>
    <definedName name="tttttt" hidden="1">{"ｹﾝﾄ（M)",#N/A,FALSE,"収支・日割";"ｹﾝﾄ（RD)",#N/A,FALSE,"収支・日割";"ｹﾝﾄ（PMC)",#N/A,FALSE,"収支・日割"}</definedName>
    <definedName name="tu" localSheetId="23" hidden="1">{"'용역비'!$A$4:$C$8"}</definedName>
    <definedName name="tu" localSheetId="18" hidden="1">{"'용역비'!$A$4:$C$8"}</definedName>
    <definedName name="tu" localSheetId="24" hidden="1">{"'용역비'!$A$4:$C$8"}</definedName>
    <definedName name="tu" hidden="1">{"'용역비'!$A$4:$C$8"}</definedName>
    <definedName name="tuilol" localSheetId="23" hidden="1">{"'용역비'!$A$4:$C$8"}</definedName>
    <definedName name="tuilol" localSheetId="18" hidden="1">{"'용역비'!$A$4:$C$8"}</definedName>
    <definedName name="tuilol" localSheetId="24" hidden="1">{"'용역비'!$A$4:$C$8"}</definedName>
    <definedName name="tuilol" hidden="1">{"'용역비'!$A$4:$C$8"}</definedName>
    <definedName name="TUIO" localSheetId="23" hidden="1">{"'용역비'!$A$4:$C$8"}</definedName>
    <definedName name="TUIO" localSheetId="18" hidden="1">{"'용역비'!$A$4:$C$8"}</definedName>
    <definedName name="TUIO" localSheetId="24" hidden="1">{"'용역비'!$A$4:$C$8"}</definedName>
    <definedName name="TUIO" hidden="1">{"'용역비'!$A$4:$C$8"}</definedName>
    <definedName name="TUIO.L" localSheetId="23" hidden="1">{"'용역비'!$A$4:$C$8"}</definedName>
    <definedName name="TUIO.L" localSheetId="18" hidden="1">{"'용역비'!$A$4:$C$8"}</definedName>
    <definedName name="TUIO.L" localSheetId="24" hidden="1">{"'용역비'!$A$4:$C$8"}</definedName>
    <definedName name="TUIO.L" hidden="1">{"'용역비'!$A$4:$C$8"}</definedName>
    <definedName name="TUIOTUI" localSheetId="23" hidden="1">{"'용역비'!$A$4:$C$8"}</definedName>
    <definedName name="TUIOTUI" localSheetId="18" hidden="1">{"'용역비'!$A$4:$C$8"}</definedName>
    <definedName name="TUIOTUI" localSheetId="24" hidden="1">{"'용역비'!$A$4:$C$8"}</definedName>
    <definedName name="TUIOTUI" hidden="1">{"'용역비'!$A$4:$C$8"}</definedName>
    <definedName name="TYF" localSheetId="23" hidden="1">{#N/A,#N/A,FALSE,"동부"}</definedName>
    <definedName name="TYF" localSheetId="18" hidden="1">{#N/A,#N/A,FALSE,"동부"}</definedName>
    <definedName name="TYF" localSheetId="24" hidden="1">{#N/A,#N/A,FALSE,"동부"}</definedName>
    <definedName name="TYF" hidden="1">{#N/A,#N/A,FALSE,"동부"}</definedName>
    <definedName name="TYFHF" localSheetId="23" hidden="1">{#N/A,#N/A,TRUE,"대 차 대 조 표"}</definedName>
    <definedName name="TYFHF" localSheetId="18" hidden="1">{#N/A,#N/A,TRUE,"대 차 대 조 표"}</definedName>
    <definedName name="TYFHF" localSheetId="24" hidden="1">{#N/A,#N/A,TRUE,"대 차 대 조 표"}</definedName>
    <definedName name="TYFHF" hidden="1">{#N/A,#N/A,TRUE,"대 차 대 조 표"}</definedName>
    <definedName name="TYJ" localSheetId="23" hidden="1">{"'용역비'!$A$4:$C$8"}</definedName>
    <definedName name="TYJ" localSheetId="18" hidden="1">{"'용역비'!$A$4:$C$8"}</definedName>
    <definedName name="TYJ" localSheetId="24" hidden="1">{"'용역비'!$A$4:$C$8"}</definedName>
    <definedName name="TYJ" hidden="1">{"'용역비'!$A$4:$C$8"}</definedName>
    <definedName name="tyje" localSheetId="23" hidden="1">{"'용역비'!$A$4:$C$8"}</definedName>
    <definedName name="tyje" localSheetId="18" hidden="1">{"'용역비'!$A$4:$C$8"}</definedName>
    <definedName name="tyje" localSheetId="24" hidden="1">{"'용역비'!$A$4:$C$8"}</definedName>
    <definedName name="tyje" hidden="1">{"'용역비'!$A$4:$C$8"}</definedName>
    <definedName name="tyjet" localSheetId="23" hidden="1">{"'용역비'!$A$4:$C$8"}</definedName>
    <definedName name="tyjet" localSheetId="18" hidden="1">{"'용역비'!$A$4:$C$8"}</definedName>
    <definedName name="tyjet" localSheetId="24" hidden="1">{"'용역비'!$A$4:$C$8"}</definedName>
    <definedName name="tyjet" hidden="1">{"'용역비'!$A$4:$C$8"}</definedName>
    <definedName name="tyu" localSheetId="23" hidden="1">{"'용역비'!$A$4:$C$8"}</definedName>
    <definedName name="tyu" localSheetId="18" hidden="1">{"'용역비'!$A$4:$C$8"}</definedName>
    <definedName name="tyu" localSheetId="24" hidden="1">{"'용역비'!$A$4:$C$8"}</definedName>
    <definedName name="tyu" hidden="1">{"'용역비'!$A$4:$C$8"}</definedName>
    <definedName name="U" localSheetId="23" hidden="1">{"'용역비'!$A$4:$C$8"}</definedName>
    <definedName name="U" localSheetId="18" hidden="1">{"'용역비'!$A$4:$C$8"}</definedName>
    <definedName name="U" localSheetId="24" hidden="1">{"'용역비'!$A$4:$C$8"}</definedName>
    <definedName name="U" hidden="1">{"'용역비'!$A$4:$C$8"}</definedName>
    <definedName name="ulo" localSheetId="23" hidden="1">{"'용역비'!$A$4:$C$8"}</definedName>
    <definedName name="ulo" localSheetId="18" hidden="1">{"'용역비'!$A$4:$C$8"}</definedName>
    <definedName name="ulo" localSheetId="24"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3" hidden="1">{#N/A,#N/A,FALSE,"지침";#N/A,#N/A,FALSE,"환경분석";#N/A,#N/A,FALSE,"Sheet16"}</definedName>
    <definedName name="up" localSheetId="18" hidden="1">{#N/A,#N/A,FALSE,"지침";#N/A,#N/A,FALSE,"환경분석";#N/A,#N/A,FALSE,"Sheet16"}</definedName>
    <definedName name="up" localSheetId="24" hidden="1">{#N/A,#N/A,FALSE,"지침";#N/A,#N/A,FALSE,"환경분석";#N/A,#N/A,FALSE,"Sheet16"}</definedName>
    <definedName name="up" hidden="1">{#N/A,#N/A,FALSE,"지침";#N/A,#N/A,FALSE,"환경분석";#N/A,#N/A,FALSE,"Sheet16"}</definedName>
    <definedName name="UTI" localSheetId="23" hidden="1">{"'용역비'!$A$4:$C$8"}</definedName>
    <definedName name="UTI" localSheetId="18" hidden="1">{"'용역비'!$A$4:$C$8"}</definedName>
    <definedName name="UTI" localSheetId="24" hidden="1">{"'용역비'!$A$4:$C$8"}</definedName>
    <definedName name="UTI" hidden="1">{"'용역비'!$A$4:$C$8"}</definedName>
    <definedName name="UTIOL" localSheetId="23" hidden="1">{"'용역비'!$A$4:$C$8"}</definedName>
    <definedName name="UTIOL" localSheetId="18" hidden="1">{"'용역비'!$A$4:$C$8"}</definedName>
    <definedName name="UTIOL" localSheetId="24" hidden="1">{"'용역비'!$A$4:$C$8"}</definedName>
    <definedName name="UTIOL" hidden="1">{"'용역비'!$A$4:$C$8"}</definedName>
    <definedName name="UUUEYTRYTRYTYTR" localSheetId="23" hidden="1">{"AJD",#N/A,TRUE,"Summary";"AJD",#N/A,TRUE,"CFCONC-outputs";"AJD",#N/A,TRUE,"P&amp;LCONC-outputs";"AJD",#N/A,TRUE,"BSCONC-outputs";"AJD",#N/A,TRUE,"FSCONC-outputs"}</definedName>
    <definedName name="UUUEYTRYTRYTYTR" localSheetId="18" hidden="1">{"AJD",#N/A,TRUE,"Summary";"AJD",#N/A,TRUE,"CFCONC-outputs";"AJD",#N/A,TRUE,"P&amp;LCONC-outputs";"AJD",#N/A,TRUE,"BSCONC-outputs";"AJD",#N/A,TRUE,"FSCONC-outputs"}</definedName>
    <definedName name="UUUEYTRYTRYTYTR" localSheetId="24"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3" hidden="1">{#N/A,#N/A,FALSE,"BS";#N/A,#N/A,FALSE,"PL";#N/A,#N/A,FALSE,"A";#N/A,#N/A,FALSE,"B";#N/A,#N/A,FALSE,"B1";#N/A,#N/A,FALSE,"C";#N/A,#N/A,FALSE,"C1";#N/A,#N/A,FALSE,"C2";#N/A,#N/A,FALSE,"D";#N/A,#N/A,FALSE,"E";#N/A,#N/A,FALSE,"F";#N/A,#N/A,FALSE,"AA";#N/A,#N/A,FALSE,"BB";#N/A,#N/A,FALSE,"CC";#N/A,#N/A,FALSE,"DD";#N/A,#N/A,FALSE,"EE";#N/A,#N/A,FALSE,"FF";#N/A,#N/A,FALSE,"PL10";#N/A,#N/A,FALSE,"PL20";#N/A,#N/A,FALSE,"PL30"}</definedName>
    <definedName name="uuuu" localSheetId="18" hidden="1">{#N/A,#N/A,FALSE,"BS";#N/A,#N/A,FALSE,"PL";#N/A,#N/A,FALSE,"A";#N/A,#N/A,FALSE,"B";#N/A,#N/A,FALSE,"B1";#N/A,#N/A,FALSE,"C";#N/A,#N/A,FALSE,"C1";#N/A,#N/A,FALSE,"C2";#N/A,#N/A,FALSE,"D";#N/A,#N/A,FALSE,"E";#N/A,#N/A,FALSE,"F";#N/A,#N/A,FALSE,"AA";#N/A,#N/A,FALSE,"BB";#N/A,#N/A,FALSE,"CC";#N/A,#N/A,FALSE,"DD";#N/A,#N/A,FALSE,"EE";#N/A,#N/A,FALSE,"FF";#N/A,#N/A,FALSE,"PL10";#N/A,#N/A,FALSE,"PL20";#N/A,#N/A,FALSE,"PL30"}</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3" hidden="1">{"AJD",#N/A,TRUE,"Summary";"AJD",#N/A,TRUE,"CFCONC-outputs";"AJD",#N/A,TRUE,"P&amp;LCONC-outputs";"AJD",#N/A,TRUE,"BSCONC-outputs";"AJD",#N/A,TRUE,"FSCONC-outputs"}</definedName>
    <definedName name="UYUUTUTYUE" localSheetId="18" hidden="1">{"AJD",#N/A,TRUE,"Summary";"AJD",#N/A,TRUE,"CFCONC-outputs";"AJD",#N/A,TRUE,"P&amp;LCONC-outputs";"AJD",#N/A,TRUE,"BSCONC-outputs";"AJD",#N/A,TRUE,"FSCONC-outputs"}</definedName>
    <definedName name="UYUUTUTYUE" localSheetId="24"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3" hidden="1">{#N/A,#N/A,FALSE,"BS";#N/A,#N/A,FALSE,"PL";#N/A,#N/A,FALSE,"처분";#N/A,#N/A,FALSE,"현금";#N/A,#N/A,FALSE,"매출";#N/A,#N/A,FALSE,"원가";#N/A,#N/A,FALSE,"경영"}</definedName>
    <definedName name="v" localSheetId="18" hidden="1">{#N/A,#N/A,FALSE,"BS";#N/A,#N/A,FALSE,"PL";#N/A,#N/A,FALSE,"처분";#N/A,#N/A,FALSE,"현금";#N/A,#N/A,FALSE,"매출";#N/A,#N/A,FALSE,"원가";#N/A,#N/A,FALSE,"경영"}</definedName>
    <definedName name="v" localSheetId="24"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3" hidden="1">{#N/A,#N/A,FALSE,"Outgoings";#N/A,#N/A,FALSE,"Expenses";#N/A,#N/A,FALSE,"Income(Non Rent)";#N/A,#N/A,FALSE,"Rent";#N/A,#N/A,FALSE,"Profit";#N/A,#N/A,FALSE,"Overview-Page2";#N/A,#N/A,FALSE,"Overview-Page1";#N/A,#N/A,FALSE,"Index"}</definedName>
    <definedName name="VacancyFCast" localSheetId="18" hidden="1">{#N/A,#N/A,FALSE,"Outgoings";#N/A,#N/A,FALSE,"Expenses";#N/A,#N/A,FALSE,"Income(Non Rent)";#N/A,#N/A,FALSE,"Rent";#N/A,#N/A,FALSE,"Profit";#N/A,#N/A,FALSE,"Overview-Page2";#N/A,#N/A,FALSE,"Overview-Page1";#N/A,#N/A,FALSE,"Index"}</definedName>
    <definedName name="VacancyFCast" localSheetId="24"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3" hidden="1">{#N/A,#N/A,FALSE,"Outgoings";#N/A,#N/A,FALSE,"Expenses";#N/A,#N/A,FALSE,"Income(Non Rent)";#N/A,#N/A,FALSE,"Rent";#N/A,#N/A,FALSE,"Profit";#N/A,#N/A,FALSE,"Overview-Page2";#N/A,#N/A,FALSE,"Overview-Page1";#N/A,#N/A,FALSE,"Index"}</definedName>
    <definedName name="VacancyFCast1" localSheetId="18"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3" hidden="1">{"RGM",#N/A,FALSE,"rgm";"RGMMonth",#N/A,FALSE,"rgmpm"}</definedName>
    <definedName name="vczvvcxc" localSheetId="18" hidden="1">{"RGM",#N/A,FALSE,"rgm";"RGMMonth",#N/A,FALSE,"rgmpm"}</definedName>
    <definedName name="vczvvcxc" localSheetId="24" hidden="1">{"RGM",#N/A,FALSE,"rgm";"RGMMonth",#N/A,FALSE,"rgmpm"}</definedName>
    <definedName name="vczvvcxc" hidden="1">{"RGM",#N/A,FALSE,"rgm";"RGMMonth",#N/A,FALSE,"rgmpm"}</definedName>
    <definedName name="vru" localSheetId="23" hidden="1">{"AnnualRentRoll",#N/A,FALSE,"RentRoll"}</definedName>
    <definedName name="vru" localSheetId="18" hidden="1">{"AnnualRentRoll",#N/A,FALSE,"RentRoll"}</definedName>
    <definedName name="vru" localSheetId="24" hidden="1">{"AnnualRentRoll",#N/A,FALSE,"RentRoll"}</definedName>
    <definedName name="vru" hidden="1">{"AnnualRentRoll",#N/A,FALSE,"RentRoll"}</definedName>
    <definedName name="w" localSheetId="23" hidden="1">{#N/A,#N/A,FALSE,"BS";#N/A,#N/A,FALSE,"PL";#N/A,#N/A,FALSE,"처분";#N/A,#N/A,FALSE,"현금";#N/A,#N/A,FALSE,"매출";#N/A,#N/A,FALSE,"원가";#N/A,#N/A,FALSE,"경영"}</definedName>
    <definedName name="w" localSheetId="18" hidden="1">{#N/A,#N/A,FALSE,"BS";#N/A,#N/A,FALSE,"PL";#N/A,#N/A,FALSE,"처분";#N/A,#N/A,FALSE,"현금";#N/A,#N/A,FALSE,"매출";#N/A,#N/A,FALSE,"원가";#N/A,#N/A,FALSE,"경영"}</definedName>
    <definedName name="w" localSheetId="24"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3" hidden="1">{#N/A,#N/A,TRUE,"Y생산";#N/A,#N/A,TRUE,"Y판매";#N/A,#N/A,TRUE,"Y총물량";#N/A,#N/A,TRUE,"Y능력";#N/A,#N/A,TRUE,"YKD"}</definedName>
    <definedName name="WEARF" localSheetId="18" hidden="1">{#N/A,#N/A,TRUE,"Y생산";#N/A,#N/A,TRUE,"Y판매";#N/A,#N/A,TRUE,"Y총물량";#N/A,#N/A,TRUE,"Y능력";#N/A,#N/A,TRUE,"YKD"}</definedName>
    <definedName name="WEARF" localSheetId="24" hidden="1">{#N/A,#N/A,TRUE,"Y생산";#N/A,#N/A,TRUE,"Y판매";#N/A,#N/A,TRUE,"Y총물량";#N/A,#N/A,TRUE,"Y능력";#N/A,#N/A,TRUE,"YKD"}</definedName>
    <definedName name="WEARF" hidden="1">{#N/A,#N/A,TRUE,"Y생산";#N/A,#N/A,TRUE,"Y판매";#N/A,#N/A,TRUE,"Y총물량";#N/A,#N/A,TRUE,"Y능력";#N/A,#N/A,TRUE,"YKD"}</definedName>
    <definedName name="WEARF_1" localSheetId="23" hidden="1">{#N/A,#N/A,TRUE,"Y생산";#N/A,#N/A,TRUE,"Y판매";#N/A,#N/A,TRUE,"Y총물량";#N/A,#N/A,TRUE,"Y능력";#N/A,#N/A,TRUE,"YKD"}</definedName>
    <definedName name="WEARF_1" localSheetId="18" hidden="1">{#N/A,#N/A,TRUE,"Y생산";#N/A,#N/A,TRUE,"Y판매";#N/A,#N/A,TRUE,"Y총물량";#N/A,#N/A,TRUE,"Y능력";#N/A,#N/A,TRUE,"YKD"}</definedName>
    <definedName name="WEARF_1" localSheetId="24" hidden="1">{#N/A,#N/A,TRUE,"Y생산";#N/A,#N/A,TRUE,"Y판매";#N/A,#N/A,TRUE,"Y총물량";#N/A,#N/A,TRUE,"Y능력";#N/A,#N/A,TRUE,"YKD"}</definedName>
    <definedName name="WEARF_1" hidden="1">{#N/A,#N/A,TRUE,"Y생산";#N/A,#N/A,TRUE,"Y판매";#N/A,#N/A,TRUE,"Y총물량";#N/A,#N/A,TRUE,"Y능력";#N/A,#N/A,TRUE,"YKD"}</definedName>
    <definedName name="werr" localSheetId="23" hidden="1">{#N/A,#N/A,FALSE,"OperatingAssumptions"}</definedName>
    <definedName name="werr" localSheetId="18" hidden="1">{#N/A,#N/A,FALSE,"OperatingAssumptions"}</definedName>
    <definedName name="werr" localSheetId="24" hidden="1">{#N/A,#N/A,FALSE,"OperatingAssumptions"}</definedName>
    <definedName name="werr" hidden="1">{#N/A,#N/A,FALSE,"OperatingAssumptions"}</definedName>
    <definedName name="werwe" localSheetId="23" hidden="1">{"Actual",#N/A,FALSE,"(価格)";"Market",#N/A,FALSE,"(価格)";"Plan",#N/A,FALSE,"(価格)"}</definedName>
    <definedName name="werwe" localSheetId="18" hidden="1">{"Actual",#N/A,FALSE,"(価格)";"Market",#N/A,FALSE,"(価格)";"Plan",#N/A,FALSE,"(価格)"}</definedName>
    <definedName name="werwe" localSheetId="24" hidden="1">{"Actual",#N/A,FALSE,"(価格)";"Market",#N/A,FALSE,"(価格)";"Plan",#N/A,FALSE,"(価格)"}</definedName>
    <definedName name="werwe" hidden="1">{"Actual",#N/A,FALSE,"(価格)";"Market",#N/A,FALSE,"(価格)";"Plan",#N/A,FALSE,"(価格)"}</definedName>
    <definedName name="werwer" localSheetId="23" hidden="1">{"Actual",#N/A,FALSE,"(価格)";"Market",#N/A,FALSE,"(価格)";"Plan",#N/A,FALSE,"(価格)"}</definedName>
    <definedName name="werwer" localSheetId="18" hidden="1">{"Actual",#N/A,FALSE,"(価格)";"Market",#N/A,FALSE,"(価格)";"Plan",#N/A,FALSE,"(価格)"}</definedName>
    <definedName name="werwer" localSheetId="24" hidden="1">{"Actual",#N/A,FALSE,"(価格)";"Market",#N/A,FALSE,"(価格)";"Plan",#N/A,FALSE,"(価格)"}</definedName>
    <definedName name="werwer" hidden="1">{"Actual",#N/A,FALSE,"(価格)";"Market",#N/A,FALSE,"(価格)";"Plan",#N/A,FALSE,"(価格)"}</definedName>
    <definedName name="werwerwe" localSheetId="23" hidden="1">{"ｹﾝﾄ（M)",#N/A,FALSE,"収支・日割";"ｹﾝﾄ（RD)",#N/A,FALSE,"収支・日割";"ｹﾝﾄ（PMC)",#N/A,FALSE,"収支・日割"}</definedName>
    <definedName name="werwerwe" localSheetId="18" hidden="1">{"ｹﾝﾄ（M)",#N/A,FALSE,"収支・日割";"ｹﾝﾄ（RD)",#N/A,FALSE,"収支・日割";"ｹﾝﾄ（PMC)",#N/A,FALSE,"収支・日割"}</definedName>
    <definedName name="werwerwe" localSheetId="24" hidden="1">{"ｹﾝﾄ（M)",#N/A,FALSE,"収支・日割";"ｹﾝﾄ（RD)",#N/A,FALSE,"収支・日割";"ｹﾝﾄ（PMC)",#N/A,FALSE,"収支・日割"}</definedName>
    <definedName name="werwerwe" hidden="1">{"ｹﾝﾄ（M)",#N/A,FALSE,"収支・日割";"ｹﾝﾄ（RD)",#N/A,FALSE,"収支・日割";"ｹﾝﾄ（PMC)",#N/A,FALSE,"収支・日割"}</definedName>
    <definedName name="wet" localSheetId="23" hidden="1">{"Actual",#N/A,FALSE,"(価格)";"Market",#N/A,FALSE,"(価格)";"Plan",#N/A,FALSE,"(価格)"}</definedName>
    <definedName name="wet" localSheetId="18" hidden="1">{"Actual",#N/A,FALSE,"(価格)";"Market",#N/A,FALSE,"(価格)";"Plan",#N/A,FALSE,"(価格)"}</definedName>
    <definedName name="wet" localSheetId="24" hidden="1">{"Actual",#N/A,FALSE,"(価格)";"Market",#N/A,FALSE,"(価格)";"Plan",#N/A,FALSE,"(価格)"}</definedName>
    <definedName name="wet" hidden="1">{"Actual",#N/A,FALSE,"(価格)";"Market",#N/A,FALSE,"(価格)";"Plan",#N/A,FALSE,"(価格)"}</definedName>
    <definedName name="wetwtwe" localSheetId="23" hidden="1">{#N/A,#N/A,FALSE,"１";#N/A,#N/A,FALSE,"２";#N/A,#N/A,FALSE,"３";#N/A,#N/A,FALSE,"４"}</definedName>
    <definedName name="wetwtwe" localSheetId="18" hidden="1">{#N/A,#N/A,FALSE,"１";#N/A,#N/A,FALSE,"２";#N/A,#N/A,FALSE,"３";#N/A,#N/A,FALSE,"４"}</definedName>
    <definedName name="wetwtwe" localSheetId="24" hidden="1">{#N/A,#N/A,FALSE,"１";#N/A,#N/A,FALSE,"２";#N/A,#N/A,FALSE,"３";#N/A,#N/A,FALSE,"４"}</definedName>
    <definedName name="wetwtwe" hidden="1">{#N/A,#N/A,FALSE,"１";#N/A,#N/A,FALSE,"２";#N/A,#N/A,FALSE,"３";#N/A,#N/A,FALSE,"４"}</definedName>
    <definedName name="wjd"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3" hidden="1">{#N/A,#N/A,FALSE,"BS";#N/A,#N/A,FALSE,"PL";#N/A,#N/A,FALSE,"처분";#N/A,#N/A,FALSE,"현금";#N/A,#N/A,FALSE,"매출";#N/A,#N/A,FALSE,"원가";#N/A,#N/A,FALSE,"경영"}</definedName>
    <definedName name="wkgk" localSheetId="18" hidden="1">{#N/A,#N/A,FALSE,"BS";#N/A,#N/A,FALSE,"PL";#N/A,#N/A,FALSE,"처분";#N/A,#N/A,FALSE,"현금";#N/A,#N/A,FALSE,"매출";#N/A,#N/A,FALSE,"원가";#N/A,#N/A,FALSE,"경영"}</definedName>
    <definedName name="wkgk" localSheetId="24"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3" hidden="1">{#N/A,#N/A,FALSE,"조골재"}</definedName>
    <definedName name="wm.조골재1" localSheetId="18" hidden="1">{#N/A,#N/A,FALSE,"조골재"}</definedName>
    <definedName name="wm.조골재1" localSheetId="24" hidden="1">{#N/A,#N/A,FALSE,"조골재"}</definedName>
    <definedName name="wm.조골재1" hidden="1">{#N/A,#N/A,FALSE,"조골재"}</definedName>
    <definedName name="wndqn" localSheetId="23" hidden="1">{#N/A,#N/A,FALSE,"97년 투자계획 세부내역 "}</definedName>
    <definedName name="wndqn" localSheetId="18" hidden="1">{#N/A,#N/A,FALSE,"97년 투자계획 세부내역 "}</definedName>
    <definedName name="wndqn" localSheetId="24" hidden="1">{#N/A,#N/A,FALSE,"97년 투자계획 세부내역 "}</definedName>
    <definedName name="wndqn" hidden="1">{#N/A,#N/A,FALSE,"97년 투자계획 세부내역 "}</definedName>
    <definedName name="WO\\\\\\재료비"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3" hidden="1">{#N/A,#N/A,TRUE,"SUMMARY";#N/A,#N/A,TRUE,"NOTES";#N/A,#N/A,TRUE,"EXT-SHOPS";#N/A,#N/A,TRUE,"N-AFF-SHOPS";#N/A,#N/A,TRUE,"LOST-SHOPS"}</definedName>
    <definedName name="WORK1" localSheetId="18" hidden="1">{#N/A,#N/A,TRUE,"SUMMARY";#N/A,#N/A,TRUE,"NOTES";#N/A,#N/A,TRUE,"EXT-SHOPS";#N/A,#N/A,TRUE,"N-AFF-SHOPS";#N/A,#N/A,TRUE,"LOST-SHOPS"}</definedName>
    <definedName name="WORK1" localSheetId="24" hidden="1">{#N/A,#N/A,TRUE,"SUMMARY";#N/A,#N/A,TRUE,"NOTES";#N/A,#N/A,TRUE,"EXT-SHOPS";#N/A,#N/A,TRUE,"N-AFF-SHOPS";#N/A,#N/A,TRUE,"LOST-SHOPS"}</definedName>
    <definedName name="WORK1" hidden="1">{#N/A,#N/A,TRUE,"SUMMARY";#N/A,#N/A,TRUE,"NOTES";#N/A,#N/A,TRUE,"EXT-SHOPS";#N/A,#N/A,TRUE,"N-AFF-SHOPS";#N/A,#N/A,TRUE,"LOST-SHOPS"}</definedName>
    <definedName name="wqeqw" localSheetId="23" hidden="1">{#N/A,#N/A,FALSE,"１";#N/A,#N/A,FALSE,"２";#N/A,#N/A,FALSE,"３";#N/A,#N/A,FALSE,"４"}</definedName>
    <definedName name="wqeqw" localSheetId="18" hidden="1">{#N/A,#N/A,FALSE,"１";#N/A,#N/A,FALSE,"２";#N/A,#N/A,FALSE,"３";#N/A,#N/A,FALSE,"４"}</definedName>
    <definedName name="wqeqw" localSheetId="24" hidden="1">{#N/A,#N/A,FALSE,"１";#N/A,#N/A,FALSE,"２";#N/A,#N/A,FALSE,"３";#N/A,#N/A,FALSE,"４"}</definedName>
    <definedName name="wqeqw" hidden="1">{#N/A,#N/A,FALSE,"１";#N/A,#N/A,FALSE,"２";#N/A,#N/A,FALSE,"３";#N/A,#N/A,FALSE,"４"}</definedName>
    <definedName name="wqrqw" localSheetId="23" hidden="1">{#N/A,#N/A,FALSE,"１";#N/A,#N/A,FALSE,"２";#N/A,#N/A,FALSE,"３";#N/A,#N/A,FALSE,"４"}</definedName>
    <definedName name="wqrqw" localSheetId="18" hidden="1">{#N/A,#N/A,FALSE,"１";#N/A,#N/A,FALSE,"２";#N/A,#N/A,FALSE,"３";#N/A,#N/A,FALSE,"４"}</definedName>
    <definedName name="wqrqw" localSheetId="24" hidden="1">{#N/A,#N/A,FALSE,"１";#N/A,#N/A,FALSE,"２";#N/A,#N/A,FALSE,"３";#N/A,#N/A,FALSE,"４"}</definedName>
    <definedName name="wqrqw" hidden="1">{#N/A,#N/A,FALSE,"１";#N/A,#N/A,FALSE,"２";#N/A,#N/A,FALSE,"３";#N/A,#N/A,FALSE,"４"}</definedName>
    <definedName name="WRITE" localSheetId="23" hidden="1">{#N/A,#N/A,FALSE,"CCTV"}</definedName>
    <definedName name="WRITE" localSheetId="18" hidden="1">{#N/A,#N/A,FALSE,"CCTV"}</definedName>
    <definedName name="WRITE" localSheetId="24" hidden="1">{#N/A,#N/A,FALSE,"CCTV"}</definedName>
    <definedName name="WRITE" hidden="1">{#N/A,#N/A,FALSE,"CCTV"}</definedName>
    <definedName name="wrn" localSheetId="23" hidden="1">{"Actual",#N/A,FALSE,"(価格)";"Market",#N/A,FALSE,"(価格)";"Plan",#N/A,FALSE,"(価格)"}</definedName>
    <definedName name="wrn" localSheetId="18" hidden="1">{"Actual",#N/A,FALSE,"(価格)";"Market",#N/A,FALSE,"(価格)";"Plan",#N/A,FALSE,"(価格)"}</definedName>
    <definedName name="wrn" localSheetId="24" hidden="1">{"Actual",#N/A,FALSE,"(価格)";"Market",#N/A,FALSE,"(価格)";"Plan",#N/A,FALSE,"(価格)"}</definedName>
    <definedName name="wrn" hidden="1">{"Actual",#N/A,FALSE,"(価格)";"Market",#N/A,FALSE,"(価格)";"Plan",#N/A,FALSE,"(価格)"}</definedName>
    <definedName name="wrn.??." localSheetId="23" hidden="1">{#N/A,#N/A,FALSE,"?";#N/A,#N/A,FALSE,"?";#N/A,#N/A,FALSE,"?";#N/A,#N/A,FALSE,"?"}</definedName>
    <definedName name="wrn.??." localSheetId="18" hidden="1">{#N/A,#N/A,FALSE,"?";#N/A,#N/A,FALSE,"?";#N/A,#N/A,FALSE,"?";#N/A,#N/A,FALSE,"?"}</definedName>
    <definedName name="wrn.??." localSheetId="24" hidden="1">{#N/A,#N/A,FALSE,"?";#N/A,#N/A,FALSE,"?";#N/A,#N/A,FALSE,"?";#N/A,#N/A,FALSE,"?"}</definedName>
    <definedName name="wrn.??." hidden="1">{#N/A,#N/A,FALSE,"?";#N/A,#N/A,FALSE,"?";#N/A,#N/A,FALSE,"?";#N/A,#N/A,FALSE,"?"}</definedName>
    <definedName name="wrn.???." localSheetId="23" hidden="1">{"Actual",#N/A,FALSE,"(??)";"Market",#N/A,FALSE,"(??)";"Plan",#N/A,FALSE,"(??)"}</definedName>
    <definedName name="wrn.???." localSheetId="18" hidden="1">{"Actual",#N/A,FALSE,"(??)";"Market",#N/A,FALSE,"(??)";"Plan",#N/A,FALSE,"(??)"}</definedName>
    <definedName name="wrn.???." localSheetId="24" hidden="1">{"Actual",#N/A,FALSE,"(??)";"Market",#N/A,FALSE,"(??)";"Plan",#N/A,FALSE,"(??)"}</definedName>
    <definedName name="wrn.???." hidden="1">{"Actual",#N/A,FALSE,"(??)";"Market",#N/A,FALSE,"(??)";"Plan",#N/A,FALSE,"(??)"}</definedName>
    <definedName name="wrn.???????." localSheetId="23"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3"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3" hidden="1">{#N/A,#N/A,TRUE,"1? ????";#N/A,#N/A,TRUE,"6? ??(?)";#N/A,#N/A,TRUE,"6-3? ??";#N/A,#N/A,TRUE,"PL";#N/A,#N/A,TRUE,"BS";#N/A,#N/A,TRUE,"RE";#N/A,#N/A,TRUE,"??"}</definedName>
    <definedName name="wrn.??????????." localSheetId="18" hidden="1">{#N/A,#N/A,TRUE,"1? ????";#N/A,#N/A,TRUE,"6? ??(?)";#N/A,#N/A,TRUE,"6-3? ??";#N/A,#N/A,TRUE,"PL";#N/A,#N/A,TRUE,"BS";#N/A,#N/A,TRUE,"RE";#N/A,#N/A,TRUE,"??"}</definedName>
    <definedName name="wrn.??????????." localSheetId="24" hidden="1">{#N/A,#N/A,TRUE,"1? ????";#N/A,#N/A,TRUE,"6? ??(?)";#N/A,#N/A,TRUE,"6-3? ??";#N/A,#N/A,TRUE,"PL";#N/A,#N/A,TRUE,"BS";#N/A,#N/A,TRUE,"RE";#N/A,#N/A,TRUE,"??"}</definedName>
    <definedName name="wrn.??????????." hidden="1">{#N/A,#N/A,TRUE,"1? ????";#N/A,#N/A,TRUE,"6? ??(?)";#N/A,#N/A,TRUE,"6-3? ??";#N/A,#N/A,TRUE,"PL";#N/A,#N/A,TRUE,"BS";#N/A,#N/A,TRUE,"RE";#N/A,#N/A,TRUE,"??"}</definedName>
    <definedName name="wrn.????94." localSheetId="23"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8"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3"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8"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3" hidden="1">{#N/A,#N/A,FALSE,"１";#N/A,#N/A,FALSE,"２";#N/A,#N/A,FALSE,"３";#N/A,#N/A,FALSE,"４"}</definedName>
    <definedName name="wrn.123" localSheetId="18" hidden="1">{#N/A,#N/A,FALSE,"１";#N/A,#N/A,FALSE,"２";#N/A,#N/A,FALSE,"３";#N/A,#N/A,FALSE,"４"}</definedName>
    <definedName name="wrn.123" localSheetId="24" hidden="1">{#N/A,#N/A,FALSE,"１";#N/A,#N/A,FALSE,"２";#N/A,#N/A,FALSE,"３";#N/A,#N/A,FALSE,"４"}</definedName>
    <definedName name="wrn.123" hidden="1">{#N/A,#N/A,FALSE,"１";#N/A,#N/A,FALSE,"２";#N/A,#N/A,FALSE,"３";#N/A,#N/A,FALSE,"４"}</definedName>
    <definedName name="wrn.1995._.Analysis." localSheetId="23" hidden="1">{#N/A,#N/A,FALSE,"1995 Rev &amp; Exp"}</definedName>
    <definedName name="wrn.1995._.Analysis." localSheetId="18" hidden="1">{#N/A,#N/A,FALSE,"1995 Rev &amp; Exp"}</definedName>
    <definedName name="wrn.1995._.Analysis." localSheetId="24" hidden="1">{#N/A,#N/A,FALSE,"1995 Rev &amp; Exp"}</definedName>
    <definedName name="wrn.1995._.Analysis." hidden="1">{#N/A,#N/A,FALSE,"1995 Rev &amp; Exp"}</definedName>
    <definedName name="wrn.2번." localSheetId="23" hidden="1">{#N/A,#N/A,FALSE,"2~8번"}</definedName>
    <definedName name="wrn.2번." localSheetId="18" hidden="1">{#N/A,#N/A,FALSE,"2~8번"}</definedName>
    <definedName name="wrn.2번." localSheetId="24" hidden="1">{#N/A,#N/A,FALSE,"2~8번"}</definedName>
    <definedName name="wrn.2번." hidden="1">{#N/A,#N/A,FALSE,"2~8번"}</definedName>
    <definedName name="wrn.345." localSheetId="23" hidden="1">{#N/A,#N/A,FALSE,"96 3월물량표";#N/A,#N/A,FALSE,"96 4월물량표";#N/A,#N/A,FALSE,"96 5월물량표"}</definedName>
    <definedName name="wrn.345." localSheetId="18" hidden="1">{#N/A,#N/A,FALSE,"96 3월물량표";#N/A,#N/A,FALSE,"96 4월물량표";#N/A,#N/A,FALSE,"96 5월물량표"}</definedName>
    <definedName name="wrn.345." localSheetId="24" hidden="1">{#N/A,#N/A,FALSE,"96 3월물량표";#N/A,#N/A,FALSE,"96 4월물량표";#N/A,#N/A,FALSE,"96 5월물량표"}</definedName>
    <definedName name="wrn.345." hidden="1">{#N/A,#N/A,FALSE,"96 3월물량표";#N/A,#N/A,FALSE,"96 4월물량표";#N/A,#N/A,FALSE,"96 5월물량표"}</definedName>
    <definedName name="wrn.97." localSheetId="23" hidden="1">{#N/A,#N/A,FALSE,"지침";#N/A,#N/A,FALSE,"환경분석";#N/A,#N/A,FALSE,"Sheet16"}</definedName>
    <definedName name="wrn.97." localSheetId="18" hidden="1">{#N/A,#N/A,FALSE,"지침";#N/A,#N/A,FALSE,"환경분석";#N/A,#N/A,FALSE,"Sheet16"}</definedName>
    <definedName name="wrn.97." localSheetId="24" hidden="1">{#N/A,#N/A,FALSE,"지침";#N/A,#N/A,FALSE,"환경분석";#N/A,#N/A,FALSE,"Sheet16"}</definedName>
    <definedName name="wrn.97." hidden="1">{#N/A,#N/A,FALSE,"지침";#N/A,#N/A,FALSE,"환경분석";#N/A,#N/A,FALSE,"Sheet16"}</definedName>
    <definedName name="wrn.97년._.9월._.임차현황." localSheetId="23" hidden="1">{#N/A,#N/A,FALSE,"동부"}</definedName>
    <definedName name="wrn.97년._.9월._.임차현황." localSheetId="18" hidden="1">{#N/A,#N/A,FALSE,"동부"}</definedName>
    <definedName name="wrn.97년._.9월._.임차현황." localSheetId="24" hidden="1">{#N/A,#N/A,FALSE,"동부"}</definedName>
    <definedName name="wrn.97년._.9월._.임차현황." hidden="1">{#N/A,#N/A,FALSE,"동부"}</definedName>
    <definedName name="wrn.97년._.9월._.임차현황._1" localSheetId="23" hidden="1">{#N/A,#N/A,FALSE,"동부"}</definedName>
    <definedName name="wrn.97년._.9월._.임차현황._1" localSheetId="18" hidden="1">{#N/A,#N/A,FALSE,"동부"}</definedName>
    <definedName name="wrn.97년._.9월._.임차현황._1" localSheetId="24" hidden="1">{#N/A,#N/A,FALSE,"동부"}</definedName>
    <definedName name="wrn.97년._.9월._.임차현황._1" hidden="1">{#N/A,#N/A,FALSE,"동부"}</definedName>
    <definedName name="wrn.97년._.투자계획." localSheetId="23" hidden="1">{#N/A,#N/A,FALSE,"97년 투자계획 세부내역 "}</definedName>
    <definedName name="wrn.97년._.투자계획." localSheetId="18" hidden="1">{#N/A,#N/A,FALSE,"97년 투자계획 세부내역 "}</definedName>
    <definedName name="wrn.97년._.투자계획." localSheetId="24" hidden="1">{#N/A,#N/A,FALSE,"97년 투자계획 세부내역 "}</definedName>
    <definedName name="wrn.97년._.투자계획." hidden="1">{#N/A,#N/A,FALSE,"97년 투자계획 세부내역 "}</definedName>
    <definedName name="wrn.AA." localSheetId="23" hidden="1">{#N/A,#N/A,FALSE,"CAM-G7";#N/A,#N/A,FALSE,"SPL";#N/A,#N/A,FALSE,"butt-in G7";#N/A,#N/A,FALSE,"dia-in G7";#N/A,#N/A,FALSE,"추가-STA G7"}</definedName>
    <definedName name="wrn.AA." localSheetId="18" hidden="1">{#N/A,#N/A,FALSE,"CAM-G7";#N/A,#N/A,FALSE,"SPL";#N/A,#N/A,FALSE,"butt-in G7";#N/A,#N/A,FALSE,"dia-in G7";#N/A,#N/A,FALSE,"추가-STA G7"}</definedName>
    <definedName name="wrn.AA." localSheetId="24" hidden="1">{#N/A,#N/A,FALSE,"CAM-G7";#N/A,#N/A,FALSE,"SPL";#N/A,#N/A,FALSE,"butt-in G7";#N/A,#N/A,FALSE,"dia-in G7";#N/A,#N/A,FALSE,"추가-STA G7"}</definedName>
    <definedName name="wrn.AA." hidden="1">{#N/A,#N/A,FALSE,"CAM-G7";#N/A,#N/A,FALSE,"SPL";#N/A,#N/A,FALSE,"butt-in G7";#N/A,#N/A,FALSE,"dia-in G7";#N/A,#N/A,FALSE,"추가-STA G7"}</definedName>
    <definedName name="wrn.ac30prn." localSheetId="23" hidden="1">{#N/A,#N/A,FALSE,"별표20 ";#N/A,#N/A,FALSE,"부표";#N/A,#N/A,FALSE,"품셈내역";#N/A,#N/A,FALSE,"품셈집계";#N/A,#N/A,FALSE,"내역서";#N/A,#N/A,FALSE,"집계표";#N/A,#N/A,FALSE,"표지";#N/A,#N/A,FALSE,"별표총괄표"}</definedName>
    <definedName name="wrn.ac30prn." localSheetId="18" hidden="1">{#N/A,#N/A,FALSE,"별표20 ";#N/A,#N/A,FALSE,"부표";#N/A,#N/A,FALSE,"품셈내역";#N/A,#N/A,FALSE,"품셈집계";#N/A,#N/A,FALSE,"내역서";#N/A,#N/A,FALSE,"집계표";#N/A,#N/A,FALSE,"표지";#N/A,#N/A,FALSE,"별표총괄표"}</definedName>
    <definedName name="wrn.ac30prn." localSheetId="24"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3"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2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3"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3"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localSheetId="24"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3" hidden="1">{#N/A,#N/A,FALSE,"PROG &amp; MARKET";#N/A,#N/A,FALSE,"SUMMARY";#N/A,#N/A,FALSE,"LANDSIDE -DETAIL";#N/A,#N/A,FALSE,"VESSEL"}</definedName>
    <definedName name="wrn.ALL." localSheetId="18" hidden="1">{#N/A,#N/A,FALSE,"PROG &amp; MARKET";#N/A,#N/A,FALSE,"SUMMARY";#N/A,#N/A,FALSE,"LANDSIDE -DETAIL";#N/A,#N/A,FALSE,"VESSEL"}</definedName>
    <definedName name="wrn.ALL." localSheetId="24"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3" hidden="1">{#N/A,#N/A,FALSE,"Outgoings";#N/A,#N/A,FALSE,"Expenses";#N/A,#N/A,FALSE,"Income(Non Rent)";#N/A,#N/A,FALSE,"Rent-Page2";#N/A,#N/A,FALSE,"Rent-Page1";#N/A,#N/A,FALSE,"Overview-Page2";#N/A,#N/A,FALSE,"Overview-Page1";#N/A,#N/A,FALSE,"Index"}</definedName>
    <definedName name="wrn.All._.Exclude._.Vac._.And._.Promo._.Schedules." localSheetId="18" hidden="1">{#N/A,#N/A,FALSE,"Outgoings";#N/A,#N/A,FALSE,"Expenses";#N/A,#N/A,FALSE,"Income(Non Rent)";#N/A,#N/A,FALSE,"Rent-Page2";#N/A,#N/A,FALSE,"Rent-Page1";#N/A,#N/A,FALSE,"Overview-Page2";#N/A,#N/A,FALSE,"Overview-Page1";#N/A,#N/A,FALSE,"Index"}</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3" hidden="1">{#N/A,#N/A,TRUE,"contents";#N/A,#N/A,TRUE,"production";#N/A,#N/A,TRUE,"svcg";#N/A,#N/A,TRUE,"cent_offices";#N/A,#N/A,TRUE,"subs"}</definedName>
    <definedName name="wrn.ALL._.METRICS." localSheetId="18" hidden="1">{#N/A,#N/A,TRUE,"contents";#N/A,#N/A,TRUE,"production";#N/A,#N/A,TRUE,"svcg";#N/A,#N/A,TRUE,"cent_offices";#N/A,#N/A,TRUE,"subs"}</definedName>
    <definedName name="wrn.ALL._.METRICS." localSheetId="24" hidden="1">{#N/A,#N/A,TRUE,"contents";#N/A,#N/A,TRUE,"production";#N/A,#N/A,TRUE,"svcg";#N/A,#N/A,TRUE,"cent_offices";#N/A,#N/A,TRUE,"subs"}</definedName>
    <definedName name="wrn.ALL._.METRICS." hidden="1">{#N/A,#N/A,TRUE,"contents";#N/A,#N/A,TRUE,"production";#N/A,#N/A,TRUE,"svcg";#N/A,#N/A,TRUE,"cent_offices";#N/A,#N/A,TRUE,"subs"}</definedName>
    <definedName name="wrn.All._.Pages." localSheetId="23" hidden="1">{"Consolidated",#N/A,TRUE,"Turnover Month";"Consolidated",#N/A,TRUE,"Turnover Month"}</definedName>
    <definedName name="wrn.All._.Pages." localSheetId="18" hidden="1">{"Consolidated",#N/A,TRUE,"Turnover Month";"Consolidated",#N/A,TRUE,"Turnover Month"}</definedName>
    <definedName name="wrn.All._.Pages." localSheetId="24" hidden="1">{"Consolidated",#N/A,TRUE,"Turnover Month";"Consolidated",#N/A,TRUE,"Turnover Month"}</definedName>
    <definedName name="wrn.All._.Pages." hidden="1">{"Consolidated",#N/A,TRUE,"Turnover Month";"Consolidated",#N/A,TRUE,"Turnover Month"}</definedName>
    <definedName name="wrn.All._.Schedules." localSheetId="23" hidden="1">{"Profit and Loss Report",#N/A,FALSE,"Fcst Profit &amp; Loss";"OG and AC Schedule",#N/A,FALSE,"OG &amp; AC Calculations";#N/A,#N/A,FALSE,"Vacancy Factor";#N/A,#N/A,FALSE,"Reconciliation";#N/A,#N/A,FALSE,"Woolies OG Calculation"}</definedName>
    <definedName name="wrn.All._.Schedules." localSheetId="18" hidden="1">{"Profit and Loss Report",#N/A,FALSE,"Fcst Profit &amp; Loss";"OG and AC Schedule",#N/A,FALSE,"OG &amp; AC Calculations";#N/A,#N/A,FALSE,"Vacancy Factor";#N/A,#N/A,FALSE,"Reconciliation";#N/A,#N/A,FALSE,"Woolies OG Calculation"}</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3"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8"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3" hidden="1">{"A LEASE",#N/A,FALSE,"B";"B LEASE",#N/A,FALSE,"B";"C LEASE",#N/A,FALSE,"B";"COLES",#N/A,FALSE,"B";"FRANKLINS",#N/A,FALSE,"B";"K MART",#N/A,FALSE,"B"}</definedName>
    <definedName name="wrn.ALL._.STATEMENTS." localSheetId="18" hidden="1">{"A LEASE",#N/A,FALSE,"B";"B LEASE",#N/A,FALSE,"B";"C LEASE",#N/A,FALSE,"B";"COLES",#N/A,FALSE,"B";"FRANKLINS",#N/A,FALSE,"B";"K MART",#N/A,FALSE,"B"}</definedName>
    <definedName name="wrn.ALL._.STATEMENTS." localSheetId="24"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3"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8"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3" hidden="1">{#N/A,#N/A,FALSE,"PROG &amp; MARKET";#N/A,#N/A,FALSE,"SUMMARY";#N/A,#N/A,FALSE,"LANDSIDE -DETAIL";#N/A,#N/A,FALSE,"VESSEL"}</definedName>
    <definedName name="wrn.ALL._1" localSheetId="18" hidden="1">{#N/A,#N/A,FALSE,"PROG &amp; MARKET";#N/A,#N/A,FALSE,"SUMMARY";#N/A,#N/A,FALSE,"LANDSIDE -DETAIL";#N/A,#N/A,FALSE,"VESSEL"}</definedName>
    <definedName name="wrn.ALL._1" localSheetId="24" hidden="1">{#N/A,#N/A,FALSE,"PROG &amp; MARKET";#N/A,#N/A,FALSE,"SUMMARY";#N/A,#N/A,FALSE,"LANDSIDE -DETAIL";#N/A,#N/A,FALSE,"VESSEL"}</definedName>
    <definedName name="wrn.ALL._1" hidden="1">{#N/A,#N/A,FALSE,"PROG &amp; MARKET";#N/A,#N/A,FALSE,"SUMMARY";#N/A,#N/A,FALSE,"LANDSIDE -DETAIL";#N/A,#N/A,FALSE,"VESSEL"}</definedName>
    <definedName name="wrn.AnlaysisReports." localSheetId="23" hidden="1">{"State",#N/A,FALSE,"state";"Trust",#N/A,FALSE,"trust";"Alpha",#N/A,FALSE,"alpha";"RGM",#N/A,FALSE,"rgm";"Stab",#N/A,FALSE,"stab"}</definedName>
    <definedName name="wrn.AnlaysisReports." localSheetId="18" hidden="1">{"State",#N/A,FALSE,"state";"Trust",#N/A,FALSE,"trust";"Alpha",#N/A,FALSE,"alpha";"RGM",#N/A,FALSE,"rgm";"Stab",#N/A,FALSE,"stab"}</definedName>
    <definedName name="wrn.AnlaysisReports." localSheetId="24" hidden="1">{"State",#N/A,FALSE,"state";"Trust",#N/A,FALSE,"trust";"Alpha",#N/A,FALSE,"alpha";"RGM",#N/A,FALSE,"rgm";"Stab",#N/A,FALSE,"stab"}</definedName>
    <definedName name="wrn.AnlaysisReports." hidden="1">{"State",#N/A,FALSE,"state";"Trust",#N/A,FALSE,"trust";"Alpha",#N/A,FALSE,"alpha";"RGM",#N/A,FALSE,"rgm";"Stab",#N/A,FALSE,"stab"}</definedName>
    <definedName name="wrn.Annual._.Summary." localSheetId="23" hidden="1">{#N/A,#N/A,FALSE,"Annual Summary"}</definedName>
    <definedName name="wrn.Annual._.Summary." localSheetId="18" hidden="1">{#N/A,#N/A,FALSE,"Annual Summary"}</definedName>
    <definedName name="wrn.Annual._.Summary." localSheetId="24" hidden="1">{#N/A,#N/A,FALSE,"Annual Summary"}</definedName>
    <definedName name="wrn.Annual._.Summary." hidden="1">{#N/A,#N/A,FALSE,"Annual Summary"}</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ppraisal." localSheetId="23" hidden="1">{#N/A,#N/A,FALSE,"APPRAISAL";#N/A,#N/A,FALSE,"APPRAISAL 2";#N/A,#N/A,FALSE,"APPRAISAL 3"}</definedName>
    <definedName name="wrn.Appraisal." localSheetId="18" hidden="1">{#N/A,#N/A,FALSE,"APPRAISAL";#N/A,#N/A,FALSE,"APPRAISAL 2";#N/A,#N/A,FALSE,"APPRAISAL 3"}</definedName>
    <definedName name="wrn.Appraisal." localSheetId="24" hidden="1">{#N/A,#N/A,FALSE,"APPRAISAL";#N/A,#N/A,FALSE,"APPRAISAL 2";#N/A,#N/A,FALSE,"APPRAISAL 3"}</definedName>
    <definedName name="wrn.Appraisal." hidden="1">{#N/A,#N/A,FALSE,"APPRAISAL";#N/A,#N/A,FALSE,"APPRAISAL 2";#N/A,#N/A,FALSE,"APPRAISAL 3"}</definedName>
    <definedName name="wrn.Asset._.Management." localSheetId="23" hidden="1">{#N/A,#N/A,FALSE,"ASSET MGMT."}</definedName>
    <definedName name="wrn.Asset._.Management." localSheetId="18" hidden="1">{#N/A,#N/A,FALSE,"ASSET MGMT."}</definedName>
    <definedName name="wrn.Asset._.Management." localSheetId="24" hidden="1">{#N/A,#N/A,FALSE,"ASSET MGMT."}</definedName>
    <definedName name="wrn.Asset._.Management." hidden="1">{#N/A,#N/A,FALSE,"ASSET MGMT."}</definedName>
    <definedName name="wrn.Assumptions." localSheetId="23" hidden="1">{"Food_Court_Leasing",#N/A,FALSE,"Assumptions"}</definedName>
    <definedName name="wrn.Assumptions." localSheetId="18" hidden="1">{"Food_Court_Leasing",#N/A,FALSE,"Assumptions"}</definedName>
    <definedName name="wrn.Assumptions." localSheetId="24" hidden="1">{"Food_Court_Leasing",#N/A,FALSE,"Assumptions"}</definedName>
    <definedName name="wrn.Assumptions." hidden="1">{"Food_Court_Leasing",#N/A,FALSE,"Assumptions"}</definedName>
    <definedName name="wrn.ASU." localSheetId="23"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8"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3" hidden="1">{"AIR CONDITIONING",#N/A,FALSE,"A";"COST ALLOCATION",#N/A,FALSE,"A";"SUMMARY A",#N/A,FALSE,"A";"SUMMARY B",#N/A,FALSE,"A"}</definedName>
    <definedName name="wrn.back._.up." localSheetId="18" hidden="1">{"AIR CONDITIONING",#N/A,FALSE,"A";"COST ALLOCATION",#N/A,FALSE,"A";"SUMMARY A",#N/A,FALSE,"A";"SUMMARY B",#N/A,FALSE,"A"}</definedName>
    <definedName name="wrn.back._.up." localSheetId="24" hidden="1">{"AIR CONDITIONING",#N/A,FALSE,"A";"COST ALLOCATION",#N/A,FALSE,"A";"SUMMARY A",#N/A,FALSE,"A";"SUMMARY B",#N/A,FALSE,"A"}</definedName>
    <definedName name="wrn.back._.up." hidden="1">{"AIR CONDITIONING",#N/A,FALSE,"A";"COST ALLOCATION",#N/A,FALSE,"A";"SUMMARY A",#N/A,FALSE,"A";"SUMMARY B",#N/A,FALSE,"A"}</definedName>
    <definedName name="wrn.balance._.franc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3" hidden="1">{#N/A,#N/A,TRUE,"Summary";#N/A,#N/A,TRUE,"Program Scheme";#N/A,#N/A,TRUE,"Assumptions";#N/A,#N/A,TRUE,"Development Budget &amp; Timing";#N/A,#N/A,TRUE,"Cash Flow";#N/A,#N/A,TRUE,"Cash Flow to Debt &amp; Equity"}</definedName>
    <definedName name="wrn.Blue._.Book._.Sections." localSheetId="18" hidden="1">{#N/A,#N/A,TRUE,"Summary";#N/A,#N/A,TRUE,"Program Scheme";#N/A,#N/A,TRUE,"Assumptions";#N/A,#N/A,TRUE,"Development Budget &amp; Timing";#N/A,#N/A,TRUE,"Cash Flow";#N/A,#N/A,TRUE,"Cash Flow to Debt &amp; Equity"}</definedName>
    <definedName name="wrn.Blue._.Book._.Sections." localSheetId="24"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3" hidden="1">{#N/A,#N/A,FALSE,"CCTV"}</definedName>
    <definedName name="wrn.BM." localSheetId="18" hidden="1">{#N/A,#N/A,FALSE,"CCTV"}</definedName>
    <definedName name="wrn.BM." localSheetId="24" hidden="1">{#N/A,#N/A,FALSE,"CCTV"}</definedName>
    <definedName name="wrn.BM." hidden="1">{#N/A,#N/A,FALSE,"CCTV"}</definedName>
    <definedName name="WRN.BO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3" hidden="1">{#N/A,#N/A,TRUE,"Summary1";#N/A,#N/A,TRUE,"Summary2";#N/A,#N/A,TRUE,"Var";#N/A,#N/A,TRUE,"nvp";#N/A,#N/A,TRUE,"Ext-Shops"}</definedName>
    <definedName name="wrn.Bondi." localSheetId="18" hidden="1">{#N/A,#N/A,TRUE,"Summary1";#N/A,#N/A,TRUE,"Summary2";#N/A,#N/A,TRUE,"Var";#N/A,#N/A,TRUE,"nvp";#N/A,#N/A,TRUE,"Ext-Shops"}</definedName>
    <definedName name="wrn.Bondi." localSheetId="24" hidden="1">{#N/A,#N/A,TRUE,"Summary1";#N/A,#N/A,TRUE,"Summary2";#N/A,#N/A,TRUE,"Var";#N/A,#N/A,TRUE,"nvp";#N/A,#N/A,TRUE,"Ext-Shops"}</definedName>
    <definedName name="wrn.Bondi." hidden="1">{#N/A,#N/A,TRUE,"Summary1";#N/A,#N/A,TRUE,"Summary2";#N/A,#N/A,TRUE,"Var";#N/A,#N/A,TRUE,"nvp";#N/A,#N/A,TRUE,"Ext-Shops"}</definedName>
    <definedName name="wrn.budget." localSheetId="23" hidden="1">{"budget1",#N/A,FALSE,"BUDG.XLS";"budget2",#N/A,FALSE,"BUDG.XLS"}</definedName>
    <definedName name="wrn.budget." localSheetId="18" hidden="1">{"budget1",#N/A,FALSE,"BUDG.XLS";"budget2",#N/A,FALSE,"BUDG.XLS"}</definedName>
    <definedName name="wrn.budget." localSheetId="24" hidden="1">{"budget1",#N/A,FALSE,"BUDG.XLS";"budget2",#N/A,FALSE,"BUDG.XLS"}</definedName>
    <definedName name="wrn.budget." hidden="1">{"budget1",#N/A,FALSE,"BUDG.XLS";"budget2",#N/A,FALSE,"BUDG.XLS"}</definedName>
    <definedName name="wrn.Budget._.Reports." localSheetId="23"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8"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3" hidden="1">{"budget1",#N/A,FALSE,"BUDG.XLS";"budget2",#N/A,FALSE,"BUDG.XLS"}</definedName>
    <definedName name="wrn.budget._1" localSheetId="18" hidden="1">{"budget1",#N/A,FALSE,"BUDG.XLS";"budget2",#N/A,FALSE,"BUDG.XLS"}</definedName>
    <definedName name="wrn.budget._1" localSheetId="24" hidden="1">{"budget1",#N/A,FALSE,"BUDG.XLS";"budget2",#N/A,FALSE,"BUDG.XLS"}</definedName>
    <definedName name="wrn.budget._1" hidden="1">{"budget1",#N/A,FALSE,"BUDG.XLS";"budget2",#N/A,FALSE,"BUDG.XLS"}</definedName>
    <definedName name="wrn.Burwood._.Report." localSheetId="23" hidden="1">{#N/A,#N/A,FALSE,"SUM1";#N/A,#N/A,FALSE,"SUM2";#N/A,#N/A,FALSE,"KEY";#N/A,#N/A,FALSE,"ADD";#N/A,#N/A,FALSE,"EXT-SHOP";#N/A,#N/A,FALSE,"STORE";#N/A,#N/A,FALSE,"LOST"}</definedName>
    <definedName name="wrn.Burwood._.Report." localSheetId="18" hidden="1">{#N/A,#N/A,FALSE,"SUM1";#N/A,#N/A,FALSE,"SUM2";#N/A,#N/A,FALSE,"KEY";#N/A,#N/A,FALSE,"ADD";#N/A,#N/A,FALSE,"EXT-SHOP";#N/A,#N/A,FALSE,"STORE";#N/A,#N/A,FALSE,"LOST"}</definedName>
    <definedName name="wrn.Burwood._.Report." localSheetId="24"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3" hidden="1">{"TYPECinclLT",#N/A,FALSE,"budget statements";"TYPECexclLT",#N/A,FALSE,"budget statements"}</definedName>
    <definedName name="wrn.C._.TYPE." localSheetId="18" hidden="1">{"TYPECinclLT",#N/A,FALSE,"budget statements";"TYPECexclLT",#N/A,FALSE,"budget statements"}</definedName>
    <definedName name="wrn.C._.TYPE." localSheetId="24" hidden="1">{"TYPECinclLT",#N/A,FALSE,"budget statements";"TYPECexclLT",#N/A,FALSE,"budget statements"}</definedName>
    <definedName name="wrn.C._.TYPE." hidden="1">{"TYPECinclLT",#N/A,FALSE,"budget statements";"TYPECexclLT",#N/A,FALSE,"budget statements"}</definedName>
    <definedName name="wrn.CAPA." localSheetId="23" hidden="1">{#N/A,#N/A,FALSE,"상재GS";#N/A,#N/A,FALSE,"상재GM";#N/A,#N/A,FALSE,"건재";#N/A,#N/A,FALSE,"SBR";#N/A,#N/A,FALSE,"부품";#N/A,#N/A,FALSE,"기능자재";#N/A,#N/A,FALSE,"특수"}</definedName>
    <definedName name="wrn.CAPA." localSheetId="18" hidden="1">{#N/A,#N/A,FALSE,"상재GS";#N/A,#N/A,FALSE,"상재GM";#N/A,#N/A,FALSE,"건재";#N/A,#N/A,FALSE,"SBR";#N/A,#N/A,FALSE,"부품";#N/A,#N/A,FALSE,"기능자재";#N/A,#N/A,FALSE,"특수"}</definedName>
    <definedName name="wrn.CAPA." localSheetId="24"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3" hidden="1">{#N/A,#N/A,FALSE,"보고";#N/A,#N/A,FALSE,"유첨"}</definedName>
    <definedName name="wrn.CAPA2." localSheetId="18" hidden="1">{#N/A,#N/A,FALSE,"보고";#N/A,#N/A,FALSE,"유첨"}</definedName>
    <definedName name="wrn.CAPA2." localSheetId="24" hidden="1">{#N/A,#N/A,FALSE,"보고";#N/A,#N/A,FALSE,"유첨"}</definedName>
    <definedName name="wrn.CAPA2." hidden="1">{#N/A,#N/A,FALSE,"보고";#N/A,#N/A,FALSE,"유첨"}</definedName>
    <definedName name="wrn.Capex." localSheetId="23" hidden="1">{#N/A,#N/A,TRUE,"Capex Summ";#N/A,#N/A,TRUE,"Essential Works.tw";#N/A,#N/A,TRUE,"Desirable Works.tw";#N/A,#N/A,TRUE,"Essential Works.rt";#N/A,#N/A,TRUE,"Desirable Works.rt";#N/A,#N/A,TRUE,"Mthly";#N/A,#N/A,TRUE,"Essential Works.ht";#N/A,#N/A,TRUE,"Desirable Works.ht";#N/A,#N/A,TRUE,"Incentives"}</definedName>
    <definedName name="wrn.Capex." localSheetId="18" hidden="1">{#N/A,#N/A,TRUE,"Capex Summ";#N/A,#N/A,TRUE,"Essential Works.tw";#N/A,#N/A,TRUE,"Desirable Works.tw";#N/A,#N/A,TRUE,"Essential Works.rt";#N/A,#N/A,TRUE,"Desirable Works.rt";#N/A,#N/A,TRUE,"Mthly";#N/A,#N/A,TRUE,"Essential Works.ht";#N/A,#N/A,TRUE,"Desirable Works.ht";#N/A,#N/A,TRUE,"Incentives"}</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3" hidden="1">{#N/A,#N/A,TRUE,"Capex Summ";#N/A,#N/A,TRUE,"Essential Works.tw";#N/A,#N/A,TRUE,"Desirable Works.tw";#N/A,#N/A,TRUE,"Essential Works.rt";#N/A,#N/A,TRUE,"Desirable Works.rt";#N/A,#N/A,TRUE,"Mthly";#N/A,#N/A,TRUE,"Essential Works.ht";#N/A,#N/A,TRUE,"Desirable Works.ht";#N/A,#N/A,TRUE,"Incentives"}</definedName>
    <definedName name="wrn.Capex2" localSheetId="18"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3" hidden="1">{#N/A,#N/A,FALSE,"CAPREIT"}</definedName>
    <definedName name="wrn.CAPREIT." localSheetId="18" hidden="1">{#N/A,#N/A,FALSE,"CAPREIT"}</definedName>
    <definedName name="wrn.CAPREIT." localSheetId="24" hidden="1">{#N/A,#N/A,FALSE,"CAPREIT"}</definedName>
    <definedName name="wrn.CAPREIT." hidden="1">{#N/A,#N/A,FALSE,"CAPREIT"}</definedName>
    <definedName name="wrn.CAPREIT2" localSheetId="23" hidden="1">{#N/A,#N/A,FALSE,"CAPREIT"}</definedName>
    <definedName name="wrn.CAPREIT2" localSheetId="18" hidden="1">{#N/A,#N/A,FALSE,"CAPREIT"}</definedName>
    <definedName name="wrn.CAPREIT2" localSheetId="24" hidden="1">{#N/A,#N/A,FALSE,"CAPREIT"}</definedName>
    <definedName name="wrn.CAPREIT2" hidden="1">{#N/A,#N/A,FALSE,"CAPREIT"}</definedName>
    <definedName name="wrn.Cash._.Flow._.Anal." localSheetId="23" hidden="1">{"CF",#N/A,FALSE,"Cash Flow";"RET",#N/A,FALSE,"Returns";"NPV",#N/A,FALSE,"Values";"ASMPT",#N/A,FALSE,"Assumptions"}</definedName>
    <definedName name="wrn.Cash._.Flow._.Anal." localSheetId="18" hidden="1">{"CF",#N/A,FALSE,"Cash Flow";"RET",#N/A,FALSE,"Returns";"NPV",#N/A,FALSE,"Values";"ASMPT",#N/A,FALSE,"Assumptions"}</definedName>
    <definedName name="wrn.Cash._.Flow._.Anal." localSheetId="24" hidden="1">{"CF",#N/A,FALSE,"Cash Flow";"RET",#N/A,FALSE,"Returns";"NPV",#N/A,FALSE,"Values";"ASMPT",#N/A,FALSE,"Assumptions"}</definedName>
    <definedName name="wrn.Cash._.Flow._.Anal." hidden="1">{"CF",#N/A,FALSE,"Cash Flow";"RET",#N/A,FALSE,"Returns";"NPV",#N/A,FALSE,"Values";"ASMPT",#N/A,FALSE,"Assumptions"}</definedName>
    <definedName name="wrn.Cash._.Flow._.Analysis." localSheetId="23" hidden="1">{"CF",#N/A,FALSE,"Cash Flow";"RET",#N/A,FALSE,"Returns";"NPV",#N/A,FALSE,"Values";"ASMPT",#N/A,FALSE,"Assumptions"}</definedName>
    <definedName name="wrn.Cash._.Flow._.Analysis." localSheetId="18" hidden="1">{"CF",#N/A,FALSE,"Cash Flow";"RET",#N/A,FALSE,"Returns";"NPV",#N/A,FALSE,"Values";"ASMPT",#N/A,FALSE,"Assumptions"}</definedName>
    <definedName name="wrn.Cash._.Flow._.Analysis." localSheetId="24" hidden="1">{"CF",#N/A,FALSE,"Cash Flow";"RET",#N/A,FALSE,"Returns";"NPV",#N/A,FALSE,"Values";"ASMPT",#N/A,FALSE,"Assumptions"}</definedName>
    <definedName name="wrn.Cash._.Flow._.Analysis." hidden="1">{"CF",#N/A,FALSE,"Cash Flow";"RET",#N/A,FALSE,"Returns";"NPV",#N/A,FALSE,"Values";"ASMPT",#N/A,FALSE,"Assumptions"}</definedName>
    <definedName name="wrn.Cash._.Flow._.Analysis.15" localSheetId="23" hidden="1">{"CF",#N/A,FALSE,"Cash Flow";"RET",#N/A,FALSE,"Returns";"NPV",#N/A,FALSE,"Values";"ASMPT",#N/A,FALSE,"Assumptions"}</definedName>
    <definedName name="wrn.Cash._.Flow._.Analysis.15" localSheetId="18"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3" hidden="1">{"CF",#N/A,FALSE,"Cash Flow";"RET",#N/A,FALSE,"Returns";"NPV",#N/A,FALSE,"Values";"ASMPT",#N/A,FALSE,"Assumptions"}</definedName>
    <definedName name="wrn.cash._.flow_.analysiswaterfall" localSheetId="18"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hidden="1">{"CF",#N/A,FALSE,"Cash Flow";"RET",#N/A,FALSE,"Returns";"NPV",#N/A,FALSE,"Values";"ASMPT",#N/A,FALSE,"Assumptions"}</definedName>
    <definedName name="wrn.cash.both" localSheetId="23" hidden="1">{"CF",#N/A,FALSE,"Cash Flow";"RET",#N/A,FALSE,"Returns";"NPV",#N/A,FALSE,"Values";"ASMPT",#N/A,FALSE,"Assumptions"}</definedName>
    <definedName name="wrn.cash.both" localSheetId="18" hidden="1">{"CF",#N/A,FALSE,"Cash Flow";"RET",#N/A,FALSE,"Returns";"NPV",#N/A,FALSE,"Values";"ASMPT",#N/A,FALSE,"Assumptions"}</definedName>
    <definedName name="wrn.cash.both" localSheetId="24" hidden="1">{"CF",#N/A,FALSE,"Cash Flow";"RET",#N/A,FALSE,"Returns";"NPV",#N/A,FALSE,"Values";"ASMPT",#N/A,FALSE,"Assumptions"}</definedName>
    <definedName name="wrn.cash.both" hidden="1">{"CF",#N/A,FALSE,"Cash Flow";"RET",#N/A,FALSE,"Returns";"NPV",#N/A,FALSE,"Values";"ASMPT",#N/A,FALSE,"Assumptions"}</definedName>
    <definedName name="wrn.cash.retail" localSheetId="23" hidden="1">{"CF",#N/A,FALSE,"Cash Flow";"RET",#N/A,FALSE,"Returns";"NPV",#N/A,FALSE,"Values";"ASMPT",#N/A,FALSE,"Assumptions"}</definedName>
    <definedName name="wrn.cash.retail" localSheetId="18" hidden="1">{"CF",#N/A,FALSE,"Cash Flow";"RET",#N/A,FALSE,"Returns";"NPV",#N/A,FALSE,"Values";"ASMPT",#N/A,FALSE,"Assumptions"}</definedName>
    <definedName name="wrn.cash.retail" localSheetId="24" hidden="1">{"CF",#N/A,FALSE,"Cash Flow";"RET",#N/A,FALSE,"Returns";"NPV",#N/A,FALSE,"Values";"ASMPT",#N/A,FALSE,"Assumptions"}</definedName>
    <definedName name="wrn.cash.retail" hidden="1">{"CF",#N/A,FALSE,"Cash Flow";"RET",#N/A,FALSE,"Returns";"NPV",#N/A,FALSE,"Values";"ASMPT",#N/A,FALSE,"Assumptions"}</definedName>
    <definedName name="wrn.Chart._.of._.Accounts." localSheetId="23" hidden="1">{#N/A,#N/A,FALSE,"Categories";#N/A,#N/A,FALSE,"MRi INCH";#N/A,#N/A,FALSE,"COA Usage";#N/A,#N/A,FALSE,"Detail"}</definedName>
    <definedName name="wrn.Chart._.of._.Accounts." localSheetId="18" hidden="1">{#N/A,#N/A,FALSE,"Categories";#N/A,#N/A,FALSE,"MRi INCH";#N/A,#N/A,FALSE,"COA Usage";#N/A,#N/A,FALSE,"Detail"}</definedName>
    <definedName name="wrn.Chart._.of._.Accounts." localSheetId="24" hidden="1">{#N/A,#N/A,FALSE,"Categories";#N/A,#N/A,FALSE,"MRi INCH";#N/A,#N/A,FALSE,"COA Usage";#N/A,#N/A,FALSE,"Detail"}</definedName>
    <definedName name="wrn.Chart._.of._.Accounts." hidden="1">{#N/A,#N/A,FALSE,"Categories";#N/A,#N/A,FALSE,"MRi INCH";#N/A,#N/A,FALSE,"COA Usage";#N/A,#N/A,FALSE,"Detail"}</definedName>
    <definedName name="wrn.CIC94TAX."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3"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8"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3" hidden="1">{"Summary Including DHC",#N/A,TRUE,"SUMMARY";"Financial Assumptions",#N/A,TRUE,"Financial Assumptions";"Sources &amp; Uses",#N/A,TRUE,"Financial Assumptions";"History &amp; Projection",#N/A,TRUE,"History - Proforma"}</definedName>
    <definedName name="wrn.Complete._.Package." localSheetId="18" hidden="1">{"Summary Including DHC",#N/A,TRUE,"SUMMARY";"Financial Assumptions",#N/A,TRUE,"Financial Assumptions";"Sources &amp; Uses",#N/A,TRUE,"Financial Assumptions";"History &amp; Projection",#N/A,TRUE,"History - Proforma"}</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3"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localSheetId="24"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3" hidden="1">{#N/A,#N/A,FALSE,"CONTROL"}</definedName>
    <definedName name="wrn.Control._.Sheet." localSheetId="18" hidden="1">{#N/A,#N/A,FALSE,"CONTROL"}</definedName>
    <definedName name="wrn.Control._.Sheet." localSheetId="24" hidden="1">{#N/A,#N/A,FALSE,"CONTROL"}</definedName>
    <definedName name="wrn.Control._.Sheet." hidden="1">{#N/A,#N/A,FALSE,"CONTROL"}</definedName>
    <definedName name="wrn.COSA._.FS._.국문." localSheetId="23" hidden="1">{#N/A,#N/A,FALSE,"BS";#N/A,#N/A,FALSE,"PL";#N/A,#N/A,FALSE,"처분";#N/A,#N/A,FALSE,"현금";#N/A,#N/A,FALSE,"매출";#N/A,#N/A,FALSE,"원가";#N/A,#N/A,FALSE,"경영"}</definedName>
    <definedName name="wrn.COSA._.FS._.국문." localSheetId="18" hidden="1">{#N/A,#N/A,FALSE,"BS";#N/A,#N/A,FALSE,"PL";#N/A,#N/A,FALSE,"처분";#N/A,#N/A,FALSE,"현금";#N/A,#N/A,FALSE,"매출";#N/A,#N/A,FALSE,"원가";#N/A,#N/A,FALSE,"경영"}</definedName>
    <definedName name="wrn.COSA._.FS._.국문." localSheetId="24"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3" hidden="1">{#N/A,#N/A,FALSE,"BS";#N/A,#N/A,FALSE,"PL";#N/A,#N/A,FALSE,"처분";#N/A,#N/A,FALSE,"현금";#N/A,#N/A,FALSE,"매출";#N/A,#N/A,FALSE,"원가";#N/A,#N/A,FALSE,"경영"}</definedName>
    <definedName name="wrn.COSA._.FS._.국문._1" localSheetId="18"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3" hidden="1">{#N/A,#N/A,FALSE,"CS#1";#N/A,#N/A,FALSE,"CS#2";#N/A,#N/A,FALSE,"CS#3";#N/A,#N/A,FALSE,"CS#4";#N/A,#N/A,FALSE,"CS#5";#N/A,#N/A,FALSE,"CS#6";#N/A,#N/A,FALSE,"CS#7";#N/A,#N/A,FALSE,"CS#7rev";#N/A,#N/A,FALSE,"CS#8"}</definedName>
    <definedName name="wrn.Cost._.Studies." localSheetId="18" hidden="1">{#N/A,#N/A,FALSE,"CS#1";#N/A,#N/A,FALSE,"CS#2";#N/A,#N/A,FALSE,"CS#3";#N/A,#N/A,FALSE,"CS#4";#N/A,#N/A,FALSE,"CS#5";#N/A,#N/A,FALSE,"CS#6";#N/A,#N/A,FALSE,"CS#7";#N/A,#N/A,FALSE,"CS#7rev";#N/A,#N/A,FALSE,"CS#8"}</definedName>
    <definedName name="wrn.Cost._.Studies." localSheetId="24"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3" hidden="1">{#N/A,#N/A,FALSE,"CREDIT"}</definedName>
    <definedName name="wrn.Credit._.Summary." localSheetId="18" hidden="1">{#N/A,#N/A,FALSE,"CREDIT"}</definedName>
    <definedName name="wrn.Credit._.Summary." localSheetId="24" hidden="1">{#N/A,#N/A,FALSE,"CREDIT"}</definedName>
    <definedName name="wrn.Credit._.Summary." hidden="1">{#N/A,#N/A,FALSE,"CREDIT"}</definedName>
    <definedName name="wrn.criteria.95p." localSheetId="23" hidden="1">{#N/A,#N/A,FALSE,"1.CRITERIA";#N/A,#N/A,FALSE,"2.IS";#N/A,#N/A,FALSE,"3.BS";#N/A,#N/A,FALSE,"4.PER PL";#N/A,#N/A,FALSE,"5.INVESTMENT";#N/A,#N/A,FALSE,"6.공문";#N/A,#N/A,FALSE,"7.netinvest"}</definedName>
    <definedName name="wrn.criteria.95p." localSheetId="18" hidden="1">{#N/A,#N/A,FALSE,"1.CRITERIA";#N/A,#N/A,FALSE,"2.IS";#N/A,#N/A,FALSE,"3.BS";#N/A,#N/A,FALSE,"4.PER PL";#N/A,#N/A,FALSE,"5.INVESTMENT";#N/A,#N/A,FALSE,"6.공문";#N/A,#N/A,FALSE,"7.netinvest"}</definedName>
    <definedName name="wrn.criteria.95p." localSheetId="24"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3"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8"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3"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8"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3" hidden="1">{"DCF-北海道",#N/A,TRUE,"北海道";"DCF-東北",#N/A,TRUE,"東北";"DCF-東海",#N/A,TRUE,"東海";"DCF-北陸",#N/A,TRUE,"北陸";"DCF-関西",#N/A,TRUE,"関西";"DCF-中国",#N/A,TRUE,"中国";"DCF-四国",#N/A,TRUE,"四国";"DCF-九州",#N/A,TRUE,"九州";"DCF-連結",#N/A,TRUE,"連結"}</definedName>
    <definedName name="wrn.DCF一括印刷." localSheetId="18" hidden="1">{"DCF-北海道",#N/A,TRUE,"北海道";"DCF-東北",#N/A,TRUE,"東北";"DCF-東海",#N/A,TRUE,"東海";"DCF-北陸",#N/A,TRUE,"北陸";"DCF-関西",#N/A,TRUE,"関西";"DCF-中国",#N/A,TRUE,"中国";"DCF-四国",#N/A,TRUE,"四国";"DCF-九州",#N/A,TRUE,"九州";"DCF-連結",#N/A,TRUE,"連結"}</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3" hidden="1">{"Return Analysis - Leveraged",#N/A,FALSE,"Return Analysis - Leveraged"}</definedName>
    <definedName name="wrn.Detailed._.Partnership._.Returns._.Leveraged." localSheetId="18" hidden="1">{"Return Analysis - Leveraged",#N/A,FALSE,"Return Analysis - Leveraged"}</definedName>
    <definedName name="wrn.Detailed._.Partnership._.Returns._.Leveraged." localSheetId="24" hidden="1">{"Return Analysis - Leveraged",#N/A,FALSE,"Return Analysis - Leveraged"}</definedName>
    <definedName name="wrn.Detailed._.Partnership._.Returns._.Leveraged." hidden="1">{"Return Analysis - Leveraged",#N/A,FALSE,"Return Analysis - Leveraged"}</definedName>
    <definedName name="wrn.Draw._.Format." localSheetId="23" hidden="1">{"Current Draw",#N/A,FALSE,"Sheet1"}</definedName>
    <definedName name="wrn.Draw._.Format." localSheetId="18" hidden="1">{"Current Draw",#N/A,FALSE,"Sheet1"}</definedName>
    <definedName name="wrn.Draw._.Format." localSheetId="24" hidden="1">{"Current Draw",#N/A,FALSE,"Sheet1"}</definedName>
    <definedName name="wrn.Draw._.Format." hidden="1">{"Current Draw",#N/A,FALSE,"Sheet1"}</definedName>
    <definedName name="wrn.Eastgardens." localSheetId="23" hidden="1">{#N/A,#N/A,FALSE,"Summary1";#N/A,#N/A,FALSE,"Summary2";#N/A,#N/A,FALSE,"Variation";#N/A,#N/A,FALSE,"Ext-Shops";#N/A,#N/A,FALSE,"Lost"}</definedName>
    <definedName name="wrn.Eastgardens." localSheetId="18" hidden="1">{#N/A,#N/A,FALSE,"Summary1";#N/A,#N/A,FALSE,"Summary2";#N/A,#N/A,FALSE,"Variation";#N/A,#N/A,FALSE,"Ext-Shops";#N/A,#N/A,FALSE,"Lost"}</definedName>
    <definedName name="wrn.Eastgardens." localSheetId="24"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3" hidden="1">{#N/A,#N/A,TRUE,"Summary";#N/A,#N/A,TRUE,"Project Shops";#N/A,#N/A,TRUE,"Foodcourt";#N/A,#N/A,TRUE,"REMIX SHOPS"}</definedName>
    <definedName name="wrn.Eastgardens._.Feasibility." localSheetId="18" hidden="1">{#N/A,#N/A,TRUE,"Summary";#N/A,#N/A,TRUE,"Project Shops";#N/A,#N/A,TRUE,"Foodcourt";#N/A,#N/A,TRUE,"REMIX SHOPS"}</definedName>
    <definedName name="wrn.Eastgardens._.Feasibility." localSheetId="24" hidden="1">{#N/A,#N/A,TRUE,"Summary";#N/A,#N/A,TRUE,"Project Shops";#N/A,#N/A,TRUE,"Foodcourt";#N/A,#N/A,TRUE,"REMIX SHOPS"}</definedName>
    <definedName name="wrn.Eastgardens._.Feasibility." hidden="1">{#N/A,#N/A,TRUE,"Summary";#N/A,#N/A,TRUE,"Project Shops";#N/A,#N/A,TRUE,"Foodcourt";#N/A,#N/A,TRUE,"REMIX SHOPS"}</definedName>
    <definedName name="wrn.ELECTRICITY." localSheetId="23" hidden="1">{"ELECT JOURNAL 1",#N/A,FALSE,"ELECTRICITY";"ELECT JOURNAL 2",#N/A,FALSE,"ELECTRICITY";"ELECT SCHEDULE",#N/A,FALSE,"ELECTRICITY";"WORKSHEET",#N/A,FALSE,"ELECTRICITY"}</definedName>
    <definedName name="wrn.ELECTRICITY." localSheetId="18" hidden="1">{"ELECT JOURNAL 1",#N/A,FALSE,"ELECTRICITY";"ELECT JOURNAL 2",#N/A,FALSE,"ELECTRICITY";"ELECT SCHEDULE",#N/A,FALSE,"ELECTRICITY";"WORKSHEET",#N/A,FALSE,"ELECTRICITY"}</definedName>
    <definedName name="wrn.ELECTRICITY." localSheetId="24"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3" hidden="1">{#N/A,#N/A,FALSE,"ENGINEERING"}</definedName>
    <definedName name="wrn.Engineering." localSheetId="18" hidden="1">{#N/A,#N/A,FALSE,"ENGINEERING"}</definedName>
    <definedName name="wrn.Engineering." localSheetId="24" hidden="1">{#N/A,#N/A,FALSE,"ENGINEERING"}</definedName>
    <definedName name="wrn.Engineering." hidden="1">{#N/A,#N/A,FALSE,"ENGINEERING"}</definedName>
    <definedName name="wrn.Entire._.Asset._.Plan." localSheetId="23"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8"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3" hidden="1">{#N/A,#N/A,FALSE,"ENVIRONMENTAL"}</definedName>
    <definedName name="wrn.Environmental." localSheetId="18" hidden="1">{#N/A,#N/A,FALSE,"ENVIRONMENTAL"}</definedName>
    <definedName name="wrn.Environmental." localSheetId="24" hidden="1">{#N/A,#N/A,FALSE,"ENVIRONMENTAL"}</definedName>
    <definedName name="wrn.Environmental." hidden="1">{#N/A,#N/A,FALSE,"ENVIRONMENTAL"}</definedName>
    <definedName name="wrn.EP._.STATEMENTS." localSheetId="23"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8"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3" hidden="1">{#N/A,#N/A,FALSE,"ExitStratigy"}</definedName>
    <definedName name="wrn.ExitAndSalesAssumptions." localSheetId="18" hidden="1">{#N/A,#N/A,FALSE,"ExitStratigy"}</definedName>
    <definedName name="wrn.ExitAndSalesAssumptions." localSheetId="24" hidden="1">{#N/A,#N/A,FALSE,"ExitStratigy"}</definedName>
    <definedName name="wrn.ExitAndSalesAssumptions." hidden="1">{#N/A,#N/A,FALSE,"ExitStratigy"}</definedName>
    <definedName name="wrn.ExitAndSalesAssumptions._1" localSheetId="23" hidden="1">{#N/A,#N/A,FALSE,"ExitStratigy"}</definedName>
    <definedName name="wrn.ExitAndSalesAssumptions._1" localSheetId="18" hidden="1">{#N/A,#N/A,FALSE,"ExitStratigy"}</definedName>
    <definedName name="wrn.ExitAndSalesAssumptions._1" localSheetId="24" hidden="1">{#N/A,#N/A,FALSE,"ExitStratigy"}</definedName>
    <definedName name="wrn.ExitAndSalesAssumptions._1" hidden="1">{#N/A,#N/A,FALSE,"ExitStratigy"}</definedName>
    <definedName name="wrn.Expenses." localSheetId="23" hidden="1">{#N/A,#N/A,FALSE,"Expenses"}</definedName>
    <definedName name="wrn.Expenses." localSheetId="18" hidden="1">{#N/A,#N/A,FALSE,"Expenses"}</definedName>
    <definedName name="wrn.Expenses." localSheetId="24" hidden="1">{#N/A,#N/A,FALSE,"Expenses"}</definedName>
    <definedName name="wrn.Expenses." hidden="1">{#N/A,#N/A,FALSE,"Expenses"}</definedName>
    <definedName name="wrn.FCRP." localSheetId="23" hidden="1">{#N/A,#N/A,FALSE,"FCRP EQUITY BAL BY PROJECT";#N/A,#N/A,FALSE,"TB Variance (2)"}</definedName>
    <definedName name="wrn.FCRP." localSheetId="18" hidden="1">{#N/A,#N/A,FALSE,"FCRP EQUITY BAL BY PROJECT";#N/A,#N/A,FALSE,"TB Variance (2)"}</definedName>
    <definedName name="wrn.FCRP." localSheetId="24" hidden="1">{#N/A,#N/A,FALSE,"FCRP EQUITY BAL BY PROJECT";#N/A,#N/A,FALSE,"TB Variance (2)"}</definedName>
    <definedName name="wrn.FCRP." hidden="1">{#N/A,#N/A,FALSE,"FCRP EQUITY BAL BY PROJECT";#N/A,#N/A,FALSE,"TB Variance (2)"}</definedName>
    <definedName name="wrn.FCRP._.STRATEGIC._.PL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3" hidden="1">{"FEASABILITY",#N/A,FALSE,"P &amp; L"}</definedName>
    <definedName name="wrn.feasability." localSheetId="18" hidden="1">{"FEASABILITY",#N/A,FALSE,"P &amp; L"}</definedName>
    <definedName name="wrn.feasability." localSheetId="24" hidden="1">{"FEASABILITY",#N/A,FALSE,"P &amp; L"}</definedName>
    <definedName name="wrn.feasability." hidden="1">{"FEASABILITY",#N/A,FALSE,"P &amp; L"}</definedName>
    <definedName name="wrn.Financing._.Inputs." localSheetId="23"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localSheetId="24"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3" hidden="1">{#N/A,"Five Year",FALSE,"Assumptions";#N/A,"Five Year",FALSE,"Annual Summary";#N/A,"Five Year",FALSE,"Quarterly Summary";#N/A,#N/A,FALSE,"IRR"}</definedName>
    <definedName name="wrn.Five._.Year." localSheetId="18" hidden="1">{#N/A,"Five Year",FALSE,"Assumptions";#N/A,"Five Year",FALSE,"Annual Summary";#N/A,"Five Year",FALSE,"Quarterly Summary";#N/A,#N/A,FALSE,"IRR"}</definedName>
    <definedName name="wrn.Five._.Year." localSheetId="24"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3" hidden="1">{#N/A,#N/A,FALSE,"Forecasts"}</definedName>
    <definedName name="wrn.Forecasts." localSheetId="18" hidden="1">{#N/A,#N/A,FALSE,"Forecasts"}</definedName>
    <definedName name="wrn.Forecasts." localSheetId="24" hidden="1">{#N/A,#N/A,FALSE,"Forecasts"}</definedName>
    <definedName name="wrn.Forecasts." hidden="1">{#N/A,#N/A,FALSE,"Forecasts"}</definedName>
    <definedName name="wrn.Fountain._.gate._.report." localSheetId="23" hidden="1">{#N/A,#N/A,TRUE,"Summary1";#N/A,#N/A,TRUE,"Summary2";#N/A,#N/A,TRUE,"Rec to feasi";#N/A,#N/A,TRUE,"Ext-Shops";#N/A,#N/A,TRUE,"Lost"}</definedName>
    <definedName name="wrn.Fountain._.gate._.report." localSheetId="18" hidden="1">{#N/A,#N/A,TRUE,"Summary1";#N/A,#N/A,TRUE,"Summary2";#N/A,#N/A,TRUE,"Rec to feasi";#N/A,#N/A,TRUE,"Ext-Shops";#N/A,#N/A,TRUE,"Lost"}</definedName>
    <definedName name="wrn.Fountain._.gate._.report." localSheetId="24"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3" hidden="1">{"FS-北海道",#N/A,TRUE,"北海道";"FS-東北",#N/A,TRUE,"東北";"FS-東海",#N/A,TRUE,"東海";"FS-北陸",#N/A,TRUE,"北陸";"FS-関西",#N/A,TRUE,"関西";"FS-中国",#N/A,TRUE,"中国";"FS-四国",#N/A,TRUE,"四国";"FS-九州",#N/A,TRUE,"九州";"FS-連結",#N/A,TRUE,"連結"}</definedName>
    <definedName name="wrn.FS一括印刷." localSheetId="18" hidden="1">{"FS-北海道",#N/A,TRUE,"北海道";"FS-東北",#N/A,TRUE,"東北";"FS-東海",#N/A,TRUE,"東海";"FS-北陸",#N/A,TRUE,"北陸";"FS-関西",#N/A,TRUE,"関西";"FS-中国",#N/A,TRUE,"中国";"FS-四国",#N/A,TRUE,"四国";"FS-九州",#N/A,TRUE,"九州";"FS-連結",#N/A,TRUE,"連結"}</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3" hidden="1">{#N/A,#N/A,FALSE,"B"}</definedName>
    <definedName name="wrn.FULL." localSheetId="18" hidden="1">{#N/A,#N/A,FALSE,"B"}</definedName>
    <definedName name="wrn.FULL." localSheetId="24" hidden="1">{#N/A,#N/A,FALSE,"B"}</definedName>
    <definedName name="wrn.FULL." hidden="1">{#N/A,#N/A,FALSE,"B"}</definedName>
    <definedName name="wrn.Full._.Report." localSheetId="23" hidden="1">{#N/A,#N/A,FALSE,"1Executive Summary";#N/A,#N/A,FALSE,"2Assumptions (Input)";#N/A,#N/A,FALSE,"3Cash Flow Analysis";#N/A,#N/A,FALSE,"4Year One Financial Summary";#N/A,#N/A,FALSE,"5Value Matrix";#N/A,#N/A,FALSE,"Greenline Form Page 1";#N/A,#N/A,FALSE,"Greenline Form Page 2"}</definedName>
    <definedName name="wrn.Full._.Report." localSheetId="18" hidden="1">{#N/A,#N/A,FALSE,"1Executive Summary";#N/A,#N/A,FALSE,"2Assumptions (Input)";#N/A,#N/A,FALSE,"3Cash Flow Analysis";#N/A,#N/A,FALSE,"4Year One Financial Summary";#N/A,#N/A,FALSE,"5Value Matrix";#N/A,#N/A,FALSE,"Greenline Form Page 1";#N/A,#N/A,FALSE,"Greenline Form Page 2"}</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3" hidden="1">{#N/A,#N/A,FALSE,"B"}</definedName>
    <definedName name="wrn.FULL._1" localSheetId="18" hidden="1">{#N/A,#N/A,FALSE,"B"}</definedName>
    <definedName name="wrn.FULL._1" localSheetId="24" hidden="1">{#N/A,#N/A,FALSE,"B"}</definedName>
    <definedName name="wrn.FULL._1" hidden="1">{#N/A,#N/A,FALSE,"B"}</definedName>
    <definedName name="wrn.Full_Report." localSheetId="23"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8"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3"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8"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3" hidden="1">{"gain",#N/A,FALSE,"Focus"}</definedName>
    <definedName name="wrn.gain." localSheetId="18" hidden="1">{"gain",#N/A,FALSE,"Focus"}</definedName>
    <definedName name="wrn.gain." localSheetId="24" hidden="1">{"gain",#N/A,FALSE,"Focus"}</definedName>
    <definedName name="wrn.gain." hidden="1">{"gain",#N/A,FALSE,"Focus"}</definedName>
    <definedName name="wrn.gamme." localSheetId="23" hidden="1">{#N/A,#N/A,FALSE,"original";#N/A,#N/A,FALSE,"boiler";#N/A,#N/A,FALSE,"burner";#N/A,#N/A,FALSE,"absorbtion unit"}</definedName>
    <definedName name="wrn.gamme." localSheetId="18" hidden="1">{#N/A,#N/A,FALSE,"original";#N/A,#N/A,FALSE,"boiler";#N/A,#N/A,FALSE,"burner";#N/A,#N/A,FALSE,"absorbtion unit"}</definedName>
    <definedName name="wrn.gamme." localSheetId="24" hidden="1">{#N/A,#N/A,FALSE,"original";#N/A,#N/A,FALSE,"boiler";#N/A,#N/A,FALSE,"burner";#N/A,#N/A,FALSE,"absorbtion unit"}</definedName>
    <definedName name="wrn.gamme." hidden="1">{#N/A,#N/A,FALSE,"original";#N/A,#N/A,FALSE,"boiler";#N/A,#N/A,FALSE,"burner";#N/A,#N/A,FALSE,"absorbtion unit"}</definedName>
    <definedName name="wrn.HILTON._.GARDEN._.INN." localSheetId="23" hidden="1">{#N/A,#N/A,FALSE,"SUMMARY SHEET";#N/A,#N/A,FALSE,"CAT1-16 SUMM";#N/A,#N/A,FALSE,"LABOR";#N/A,#N/A,FALSE,"TELEPHONES";#N/A,#N/A,FALSE,"EQUIPMENT";#N/A,#N/A,FALSE,"SUPPLIES";#N/A,#N/A,FALSE,"FF &amp; E";#N/A,#N/A,FALSE,"DESIGN COSTS";#N/A,#N/A,FALSE,"PROGRAM"}</definedName>
    <definedName name="wrn.HILTON._.GARDEN._.INN." localSheetId="18" hidden="1">{#N/A,#N/A,FALSE,"SUMMARY SHEET";#N/A,#N/A,FALSE,"CAT1-16 SUMM";#N/A,#N/A,FALSE,"LABOR";#N/A,#N/A,FALSE,"TELEPHONES";#N/A,#N/A,FALSE,"EQUIPMENT";#N/A,#N/A,FALSE,"SUPPLIES";#N/A,#N/A,FALSE,"FF &amp; E";#N/A,#N/A,FALSE,"DESIGN COSTS";#N/A,#N/A,FALSE,"PROGRAM"}</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3" hidden="1">{#N/A,#N/A,FALSE,"SUMMARY SHEET";#N/A,#N/A,FALSE,"CAT1-16 SUMM";#N/A,#N/A,FALSE,"LABOR";#N/A,#N/A,FALSE,"TELEPHONES";#N/A,#N/A,FALSE,"EQUIPMENT";#N/A,#N/A,FALSE,"SUPPLIES";#N/A,#N/A,FALSE,"FF &amp; E";#N/A,#N/A,FALSE,"DESIGN COSTS";#N/A,#N/A,FALSE,"PROGRAM"}</definedName>
    <definedName name="wrn.HILTON._.GARDEN._.INN._1" localSheetId="18"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3" hidden="1">{#N/A,#N/A,FALSE,"HISTORICAL REV &amp; EXP"}</definedName>
    <definedName name="wrn.Historical._.Analysis." localSheetId="18" hidden="1">{#N/A,#N/A,FALSE,"HISTORICAL REV &amp; EXP"}</definedName>
    <definedName name="wrn.Historical._.Analysis." localSheetId="24" hidden="1">{#N/A,#N/A,FALSE,"HISTORICAL REV &amp; EXP"}</definedName>
    <definedName name="wrn.Historical._.Analysis." hidden="1">{#N/A,#N/A,FALSE,"HISTORICAL REV &amp; EXP"}</definedName>
    <definedName name="wrn.History._.Proforma." localSheetId="23" hidden="1">{"History &amp; Projection",#N/A,FALSE,"History - Proforma"}</definedName>
    <definedName name="wrn.History._.Proforma." localSheetId="18" hidden="1">{"History &amp; Projection",#N/A,FALSE,"History - Proforma"}</definedName>
    <definedName name="wrn.History._.Proforma." localSheetId="24" hidden="1">{"History &amp; Projection",#N/A,FALSE,"History - Proforma"}</definedName>
    <definedName name="wrn.History._.Proforma." hidden="1">{"History &amp; Projection",#N/A,FALSE,"History - Proforma"}</definedName>
    <definedName name="wrn.HO._.Accrls._.and._.Jnls." localSheetId="23" hidden="1">{#N/A,#N/A,FALSE,"Data Input";#N/A,#N/A,FALSE,"Accruals";#N/A,#N/A,FALSE,"Perm";#N/A,#N/A,FALSE,"WAG-SAL";#N/A,#N/A,FALSE,"WAG on cost";#N/A,#N/A,FALSE,"Payroll Tax";#N/A,#N/A,FALSE,"Electricity";#N/A,#N/A,FALSE,"% Rent";#N/A,#N/A,FALSE,"Accrual"}</definedName>
    <definedName name="wrn.HO._.Accrls._.and._.Jnls." localSheetId="18" hidden="1">{#N/A,#N/A,FALSE,"Data Input";#N/A,#N/A,FALSE,"Accruals";#N/A,#N/A,FALSE,"Perm";#N/A,#N/A,FALSE,"WAG-SAL";#N/A,#N/A,FALSE,"WAG on cost";#N/A,#N/A,FALSE,"Payroll Tax";#N/A,#N/A,FALSE,"Electricity";#N/A,#N/A,FALSE,"% Rent";#N/A,#N/A,FALSE,"Accrual"}</definedName>
    <definedName name="wrn.HO._.Accrls._.and._.Jnls." localSheetId="24"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3" hidden="1">{#N/A,#N/A,FALSE,"13Residual 2007";#N/A,#N/A,FALSE,"14Residual 2008";#N/A,#N/A,FALSE,"15Residual 2009";#N/A,#N/A,FALSE,"16Residual 2010";#N/A,#N/A,FALSE,"17Residual 2011";#N/A,#N/A,FALSE,"18Hold Disposition Matrix";#N/A,#N/A,FALSE,"19Other Disposition Matrix"}</definedName>
    <definedName name="wrn.Hold._.Sell." localSheetId="18" hidden="1">{#N/A,#N/A,FALSE,"13Residual 2007";#N/A,#N/A,FALSE,"14Residual 2008";#N/A,#N/A,FALSE,"15Residual 2009";#N/A,#N/A,FALSE,"16Residual 2010";#N/A,#N/A,FALSE,"17Residual 2011";#N/A,#N/A,FALSE,"18Hold Disposition Matrix";#N/A,#N/A,FALSE,"19Other Disposition Matrix"}</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3"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8"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3" hidden="1">{#N/A,#N/A,FALSE,"Income(Non Rent)"}</definedName>
    <definedName name="wrn.Income._.Non._.Rent." localSheetId="18" hidden="1">{#N/A,#N/A,FALSE,"Income(Non Rent)"}</definedName>
    <definedName name="wrn.Income._.Non._.Rent." localSheetId="24" hidden="1">{#N/A,#N/A,FALSE,"Income(Non Rent)"}</definedName>
    <definedName name="wrn.Income._.Non._.Rent." hidden="1">{#N/A,#N/A,FALSE,"Income(Non Rent)"}</definedName>
    <definedName name="wrn.Index." localSheetId="23" hidden="1">{#N/A,#N/A,FALSE,"Index"}</definedName>
    <definedName name="wrn.Index." localSheetId="18" hidden="1">{#N/A,#N/A,FALSE,"Index"}</definedName>
    <definedName name="wrn.Index." localSheetId="24" hidden="1">{#N/A,#N/A,FALSE,"Index"}</definedName>
    <definedName name="wrn.Index." hidden="1">{#N/A,#N/A,FALSE,"Index"}</definedName>
    <definedName name="wrn.Info." localSheetId="23" hidden="1">{"Info",#N/A,FALSE,"A"}</definedName>
    <definedName name="wrn.Info." localSheetId="18" hidden="1">{"Info",#N/A,FALSE,"A"}</definedName>
    <definedName name="wrn.Info." localSheetId="24" hidden="1">{"Info",#N/A,FALSE,"A"}</definedName>
    <definedName name="wrn.Info." hidden="1">{"Info",#N/A,FALSE,"A"}</definedName>
    <definedName name="wrn.Inputs." localSheetId="23" hidden="1">{"Inflation-BaseYear",#N/A,FALSE,"Inputs"}</definedName>
    <definedName name="wrn.Inputs." localSheetId="18" hidden="1">{"Inflation-BaseYear",#N/A,FALSE,"Inputs"}</definedName>
    <definedName name="wrn.Inputs." localSheetId="24" hidden="1">{"Inflation-BaseYear",#N/A,FALSE,"Inputs"}</definedName>
    <definedName name="wrn.Inputs." hidden="1">{"Inflation-BaseYear",#N/A,FALSE,"Inputs"}</definedName>
    <definedName name="wrn.IRR." localSheetId="23" hidden="1">{#N/A,#N/A,FALSE,"IRR"}</definedName>
    <definedName name="wrn.IRR." localSheetId="18" hidden="1">{#N/A,#N/A,FALSE,"IRR"}</definedName>
    <definedName name="wrn.IRR." localSheetId="24" hidden="1">{#N/A,#N/A,FALSE,"IRR"}</definedName>
    <definedName name="wrn.IRR." hidden="1">{#N/A,#N/A,FALSE,"IRR"}</definedName>
    <definedName name="wrn.jck94TAXRETURN."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3" hidden="1">{"Journal 1",#N/A,FALSE,"A";"JOURNAL 2",#N/A,FALSE,"A";"Journal 3",#N/A,FALSE,"A"}</definedName>
    <definedName name="wrn.JOURNALS." localSheetId="18" hidden="1">{"Journal 1",#N/A,FALSE,"A";"JOURNAL 2",#N/A,FALSE,"A";"Journal 3",#N/A,FALSE,"A"}</definedName>
    <definedName name="wrn.JOURNALS." localSheetId="24" hidden="1">{"Journal 1",#N/A,FALSE,"A";"JOURNAL 2",#N/A,FALSE,"A";"Journal 3",#N/A,FALSE,"A"}</definedName>
    <definedName name="wrn.JOURNALS." hidden="1">{"Journal 1",#N/A,FALSE,"A";"JOURNAL 2",#N/A,FALSE,"A";"Journal 3",#N/A,FALSE,"A"}</definedName>
    <definedName name="wrn.Lead._.Schedule."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3" hidden="1">{#N/A,#N/A,FALSE,"Leases"}</definedName>
    <definedName name="wrn.Leases." localSheetId="18" hidden="1">{#N/A,#N/A,FALSE,"Leases"}</definedName>
    <definedName name="wrn.Leases." localSheetId="24" hidden="1">{#N/A,#N/A,FALSE,"Leases"}</definedName>
    <definedName name="wrn.Leases." hidden="1">{#N/A,#N/A,FALSE,"Leases"}</definedName>
    <definedName name="wrn.Loan._.Pricing._.Analysis." localSheetId="23" hidden="1">{#N/A,#N/A,FALSE,"LOAN ANALYSIS"}</definedName>
    <definedName name="wrn.Loan._.Pricing._.Analysis." localSheetId="18" hidden="1">{#N/A,#N/A,FALSE,"LOAN ANALYSIS"}</definedName>
    <definedName name="wrn.Loan._.Pricing._.Analysis." localSheetId="24" hidden="1">{#N/A,#N/A,FALSE,"LOAN ANALYSIS"}</definedName>
    <definedName name="wrn.Loan._.Pricing._.Analysis." hidden="1">{#N/A,#N/A,FALSE,"LOAN ANALYSIS"}</definedName>
    <definedName name="wrn.LoanInformation." localSheetId="23" hidden="1">{#N/A,#N/A,FALSE,"LoanAssumptions"}</definedName>
    <definedName name="wrn.LoanInformation." localSheetId="18" hidden="1">{#N/A,#N/A,FALSE,"LoanAssumptions"}</definedName>
    <definedName name="wrn.LoanInformation." localSheetId="24" hidden="1">{#N/A,#N/A,FALSE,"LoanAssumptions"}</definedName>
    <definedName name="wrn.LoanInformation." hidden="1">{#N/A,#N/A,FALSE,"LoanAssumptions"}</definedName>
    <definedName name="wrn.LoanInformation._1" localSheetId="23" hidden="1">{#N/A,#N/A,FALSE,"LoanAssumptions"}</definedName>
    <definedName name="wrn.LoanInformation._1" localSheetId="18" hidden="1">{#N/A,#N/A,FALSE,"LoanAssumptions"}</definedName>
    <definedName name="wrn.LoanInformation._1" localSheetId="24" hidden="1">{#N/A,#N/A,FALSE,"LoanAssumptions"}</definedName>
    <definedName name="wrn.LoanInformation._1" hidden="1">{#N/A,#N/A,FALSE,"LoanAssumptions"}</definedName>
    <definedName name="wrn.lodging." localSheetId="23" hidden="1">{"p",#N/A,FALSE,"Sheet1";"p 2",#N/A,FALSE,"Sheet1";"p 3",#N/A,FALSE,"Sheet1"}</definedName>
    <definedName name="wrn.lodging." localSheetId="18" hidden="1">{"p",#N/A,FALSE,"Sheet1";"p 2",#N/A,FALSE,"Sheet1";"p 3",#N/A,FALSE,"Sheet1"}</definedName>
    <definedName name="wrn.lodging." localSheetId="24" hidden="1">{"p",#N/A,FALSE,"Sheet1";"p 2",#N/A,FALSE,"Sheet1";"p 3",#N/A,FALSE,"Sheet1"}</definedName>
    <definedName name="wrn.lodging." hidden="1">{"p",#N/A,FALSE,"Sheet1";"p 2",#N/A,FALSE,"Sheet1";"p 3",#N/A,FALSE,"Sheet1"}</definedName>
    <definedName name="wrn.lodging._1" localSheetId="23" hidden="1">{"p",#N/A,FALSE,"Sheet1";"p 2",#N/A,FALSE,"Sheet1";"p 3",#N/A,FALSE,"Sheet1"}</definedName>
    <definedName name="wrn.lodging._1" localSheetId="18" hidden="1">{"p",#N/A,FALSE,"Sheet1";"p 2",#N/A,FALSE,"Sheet1";"p 3",#N/A,FALSE,"Sheet1"}</definedName>
    <definedName name="wrn.lodging._1" localSheetId="24" hidden="1">{"p",#N/A,FALSE,"Sheet1";"p 2",#N/A,FALSE,"Sheet1";"p 3",#N/A,FALSE,"Sheet1"}</definedName>
    <definedName name="wrn.lodging._1" hidden="1">{"p",#N/A,FALSE,"Sheet1";"p 2",#N/A,FALSE,"Sheet1";"p 3",#N/A,FALSE,"Sheet1"}</definedName>
    <definedName name="wrn.LTF." localSheetId="23" hidden="1">{"LTF",#N/A,FALSE,"P &amp; L"}</definedName>
    <definedName name="wrn.LTF." localSheetId="18" hidden="1">{"LTF",#N/A,FALSE,"P &amp; L"}</definedName>
    <definedName name="wrn.LTF." localSheetId="24" hidden="1">{"LTF",#N/A,FALSE,"P &amp; L"}</definedName>
    <definedName name="wrn.LTF." hidden="1">{"LTF",#N/A,FALSE,"P &amp; L"}</definedName>
    <definedName name="wrn.LTF._.98_99." localSheetId="23" hidden="1">{"LTF 98_99",#N/A,FALSE,"Summary Profit";"Ltf 98_99",#N/A,FALSE,"Expense"}</definedName>
    <definedName name="wrn.LTF._.98_99." localSheetId="18" hidden="1">{"LTF 98_99",#N/A,FALSE,"Summary Profit";"Ltf 98_99",#N/A,FALSE,"Expense"}</definedName>
    <definedName name="wrn.LTF._.98_99." localSheetId="24" hidden="1">{"LTF 98_99",#N/A,FALSE,"Summary Profit";"Ltf 98_99",#N/A,FALSE,"Expense"}</definedName>
    <definedName name="wrn.LTF._.98_99." hidden="1">{"LTF 98_99",#N/A,FALSE,"Summary Profit";"Ltf 98_99",#N/A,FALSE,"Expense"}</definedName>
    <definedName name="wrn.Main2." localSheetId="23" hidden="1">{#N/A,#N/A,FALSE,"Val."}</definedName>
    <definedName name="wrn.Main2." localSheetId="18" hidden="1">{#N/A,#N/A,FALSE,"Val."}</definedName>
    <definedName name="wrn.Main2." localSheetId="24" hidden="1">{#N/A,#N/A,FALSE,"Val."}</definedName>
    <definedName name="wrn.Main2." hidden="1">{#N/A,#N/A,FALSE,"Val."}</definedName>
    <definedName name="wrn.Market_Report." localSheetId="23" hidden="1">{#N/A,#N/A,FALSE,"1Summary";#N/A,#N/A,FALSE,"2Assumptions";"CashFlowTen",#N/A,FALSE,"3Cash Flow";"Residual",#N/A,FALSE,"5Residual";#N/A,#N/A,FALSE,"9Vacancy Matrix";#N/A,#N/A,FALSE,"10Expiration Schedule"}</definedName>
    <definedName name="wrn.Market_Report." localSheetId="18" hidden="1">{#N/A,#N/A,FALSE,"1Summary";#N/A,#N/A,FALSE,"2Assumptions";"CashFlowTen",#N/A,FALSE,"3Cash Flow";"Residual",#N/A,FALSE,"5Residual";#N/A,#N/A,FALSE,"9Vacancy Matrix";#N/A,#N/A,FALSE,"10Expiration Schedule"}</definedName>
    <definedName name="wrn.Market_Report." localSheetId="24"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3" hidden="1">{#N/A,#N/A,TRUE,"MR Cover";#N/A,#N/A,TRUE,"MR Content";#N/A,#N/A,TRUE,"MR Exec Sum";#N/A,#N/A,TRUE,"MR Asset Performance";#N/A,#N/A,TRUE,"MR APIC Financials";#N/A,#N/A,TRUE,"MR REI Financials";#N/A,#N/A,TRUE,"MR Hedging";#N/A,#N/A,TRUE,"MR Risk Mgt";#N/A,#N/A,TRUE,"MR APIC Approved Exp"}</definedName>
    <definedName name="wrn.Mgt._.Report." localSheetId="18" hidden="1">{#N/A,#N/A,TRUE,"MR Cover";#N/A,#N/A,TRUE,"MR Content";#N/A,#N/A,TRUE,"MR Exec Sum";#N/A,#N/A,TRUE,"MR Asset Performance";#N/A,#N/A,TRUE,"MR APIC Financials";#N/A,#N/A,TRUE,"MR REI Financials";#N/A,#N/A,TRUE,"MR Hedging";#N/A,#N/A,TRUE,"MR Risk Mgt";#N/A,#N/A,TRUE,"MR APIC Approved Exp"}</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3" hidden="1">{#N/A,#N/A,FALSE,"Cover";#N/A,#N/A,FALSE,"Target Vacancies";#N/A,#N/A,FALSE,"Report1";#N/A,#N/A,FALSE,"Report1RGM";#N/A,#N/A,FALSE,"Report6";#N/A,#N/A,FALSE,"Report9";#N/A,#N/A,FALSE,"Report10";#N/A,#N/A,FALSE,"Report11";#N/A,#N/A,FALSE,"Report13";#N/A,#N/A,FALSE,"Report13RGM"}</definedName>
    <definedName name="wrn.Minsum_Report." localSheetId="18" hidden="1">{#N/A,#N/A,FALSE,"Cover";#N/A,#N/A,FALSE,"Target Vacancies";#N/A,#N/A,FALSE,"Report1";#N/A,#N/A,FALSE,"Report1RGM";#N/A,#N/A,FALSE,"Report6";#N/A,#N/A,FALSE,"Report9";#N/A,#N/A,FALSE,"Report10";#N/A,#N/A,FALSE,"Report11";#N/A,#N/A,FALSE,"Report13";#N/A,#N/A,FALSE,"Report13RGM"}</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3"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8"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3" hidden="1">{"Project Input",#N/A,FALSE,"Sheet1";"additions",#N/A,FALSE,"Sheet2";"demand",#N/A,FALSE,"Sheet3";"Market Mix",#N/A,FALSE,"Sheet4";"Occ projection",#N/A,FALSE,"Sheet6"}</definedName>
    <definedName name="wrn.mktstd." localSheetId="18" hidden="1">{"Project Input",#N/A,FALSE,"Sheet1";"additions",#N/A,FALSE,"Sheet2";"demand",#N/A,FALSE,"Sheet3";"Market Mix",#N/A,FALSE,"Sheet4";"Occ projection",#N/A,FALSE,"Sheet6"}</definedName>
    <definedName name="wrn.mktstd." localSheetId="24"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3" hidden="1">{#N/A,#N/A,FALSE,"Coversheet RPT";#N/A,#N/A,FALSE,"Investment Summary RPT";#N/A,#N/A,FALSE,"Annual CF RPT";#N/A,#N/A,FALSE,"Financing Summary RPT";#N/A,#N/A,FALSE,"Dev Cost RPT";#N/A,#N/A,FALSE,"Lease up RPT";#N/A,#N/A,FALSE,"Rent Roll RPT";#N/A,#N/A,FALSE,"Stabile NOI RPT"}</definedName>
    <definedName name="wrn.MN._.Montreal." localSheetId="18" hidden="1">{#N/A,#N/A,FALSE,"Coversheet RPT";#N/A,#N/A,FALSE,"Investment Summary RPT";#N/A,#N/A,FALSE,"Annual CF RPT";#N/A,#N/A,FALSE,"Financing Summary RPT";#N/A,#N/A,FALSE,"Dev Cost RPT";#N/A,#N/A,FALSE,"Lease up RPT";#N/A,#N/A,FALSE,"Rent Roll RPT";#N/A,#N/A,FALSE,"Stabile NOI RPT"}</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3" hidden="1">{"MonthlyRentRoll",#N/A,FALSE,"RentRoll"}</definedName>
    <definedName name="wrn.MonthlyRentRoll." localSheetId="18" hidden="1">{"MonthlyRentRoll",#N/A,FALSE,"RentRoll"}</definedName>
    <definedName name="wrn.MonthlyRentRoll." localSheetId="24" hidden="1">{"MonthlyRentRoll",#N/A,FALSE,"RentRoll"}</definedName>
    <definedName name="wrn.MonthlyRentRoll." hidden="1">{"MonthlyRentRoll",#N/A,FALSE,"RentRoll"}</definedName>
    <definedName name="wrn.MonthlyRentRoll._1" localSheetId="23" hidden="1">{"MonthlyRentRoll",#N/A,FALSE,"RentRoll"}</definedName>
    <definedName name="wrn.MonthlyRentRoll._1" localSheetId="18" hidden="1">{"MonthlyRentRoll",#N/A,FALSE,"RentRoll"}</definedName>
    <definedName name="wrn.MonthlyRentRoll._1" localSheetId="24" hidden="1">{"MonthlyRentRoll",#N/A,FALSE,"RentRoll"}</definedName>
    <definedName name="wrn.MonthlyRentRoll._1" hidden="1">{"MonthlyRentRoll",#N/A,FALSE,"RentRoll"}</definedName>
    <definedName name="wrn.mortassetplan."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3" hidden="1">{#N/A,#N/A,FALSE,"Summary1";#N/A,#N/A,FALSE,"Summary2";#N/A,#N/A,FALSE,"Variation";#N/A,#N/A,FALSE,"Ext-Shops";#N/A,#N/A,FALSE,"Lost"}</definedName>
    <definedName name="wrn.Nothgate." localSheetId="18" hidden="1">{#N/A,#N/A,FALSE,"Summary1";#N/A,#N/A,FALSE,"Summary2";#N/A,#N/A,FALSE,"Variation";#N/A,#N/A,FALSE,"Ext-Shops";#N/A,#N/A,FALSE,"Lost"}</definedName>
    <definedName name="wrn.Nothgate." localSheetId="24" hidden="1">{#N/A,#N/A,FALSE,"Summary1";#N/A,#N/A,FALSE,"Summary2";#N/A,#N/A,FALSE,"Variation";#N/A,#N/A,FALSE,"Ext-Shops";#N/A,#N/A,FALSE,"Lost"}</definedName>
    <definedName name="wrn.Nothgate." hidden="1">{#N/A,#N/A,FALSE,"Summary1";#N/A,#N/A,FALSE,"Summary2";#N/A,#N/A,FALSE,"Variation";#N/A,#N/A,FALSE,"Ext-Shops";#N/A,#N/A,FALSE,"Lost"}</definedName>
    <definedName name="Wrn.nov29" localSheetId="23" hidden="1">{#N/A,#N/A,FALSE,"BALLY COSTS";#N/A,#N/A,FALSE,"FF&amp;E";#N/A,#N/A,FALSE,"FEES";#N/A,#N/A,FALSE,"CONTINGENCY";#N/A,#N/A,FALSE,"SOFT COSTS";#N/A,#N/A,FALSE,"DETAIL";#N/A,#N/A,FALSE,"sum12-3"}</definedName>
    <definedName name="Wrn.nov29" localSheetId="18" hidden="1">{#N/A,#N/A,FALSE,"BALLY COSTS";#N/A,#N/A,FALSE,"FF&amp;E";#N/A,#N/A,FALSE,"FEES";#N/A,#N/A,FALSE,"CONTINGENCY";#N/A,#N/A,FALSE,"SOFT COSTS";#N/A,#N/A,FALSE,"DETAIL";#N/A,#N/A,FALSE,"sum12-3"}</definedName>
    <definedName name="Wrn.nov29" localSheetId="24"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3" hidden="1">{#N/A,#N/A,FALSE,"BALLY COSTS";#N/A,#N/A,FALSE,"FF&amp;E";#N/A,#N/A,FALSE,"FEES";#N/A,#N/A,FALSE,"CONTINGENCY";#N/A,#N/A,FALSE,"SOFT COSTS";#N/A,#N/A,FALSE,"DETAIL";#N/A,#N/A,FALSE,"sum12-3"}</definedName>
    <definedName name="Wrn.nov29_1" localSheetId="18"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3" hidden="1">{#N/A,#N/A,FALSE,"BALLY COSTS";#N/A,#N/A,FALSE,"FF&amp;E";#N/A,#N/A,FALSE,"FEES";#N/A,#N/A,FALSE,"CONTINGENCY";#N/A,#N/A,FALSE,"SOFT COSTS";#N/A,#N/A,FALSE,"DETAIL";#N/A,#N/A,FALSE,"sum12-3"}</definedName>
    <definedName name="wrn.NOV30." localSheetId="18"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3" hidden="1">{#N/A,#N/A,FALSE,"BALLY COSTS";#N/A,#N/A,FALSE,"FF&amp;E";#N/A,#N/A,FALSE,"FEES";#N/A,#N/A,FALSE,"CONTINGENCY";#N/A,#N/A,FALSE,"SOFT COSTS";#N/A,#N/A,FALSE,"DETAIL";#N/A,#N/A,FALSE,"sum12-3"}</definedName>
    <definedName name="wrn.NOV30._1" localSheetId="18"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3" hidden="1">{"On costs",#N/A,FALSE,"A"}</definedName>
    <definedName name="wrn.On._.costs." localSheetId="18" hidden="1">{"On costs",#N/A,FALSE,"A"}</definedName>
    <definedName name="wrn.On._.costs." localSheetId="24" hidden="1">{"On costs",#N/A,FALSE,"A"}</definedName>
    <definedName name="wrn.On._.costs." hidden="1">{"On costs",#N/A,FALSE,"A"}</definedName>
    <definedName name="wrn.OpCostIn." localSheetId="23"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3" hidden="1">{#N/A,#N/A,FALSE,"OperatingAssumptions"}</definedName>
    <definedName name="wrn.OperatingAssumtions." localSheetId="18" hidden="1">{#N/A,#N/A,FALSE,"OperatingAssumptions"}</definedName>
    <definedName name="wrn.OperatingAssumtions." localSheetId="24" hidden="1">{#N/A,#N/A,FALSE,"OperatingAssumptions"}</definedName>
    <definedName name="wrn.OperatingAssumtions." hidden="1">{#N/A,#N/A,FALSE,"OperatingAssumptions"}</definedName>
    <definedName name="wrn.OperatingAssumtions._1" localSheetId="23" hidden="1">{#N/A,#N/A,FALSE,"OperatingAssumptions"}</definedName>
    <definedName name="wrn.OperatingAssumtions._1" localSheetId="18" hidden="1">{#N/A,#N/A,FALSE,"OperatingAssumptions"}</definedName>
    <definedName name="wrn.OperatingAssumtions._1" localSheetId="24" hidden="1">{#N/A,#N/A,FALSE,"OperatingAssumptions"}</definedName>
    <definedName name="wrn.OperatingAssumtions._1" hidden="1">{#N/A,#N/A,FALSE,"OperatingAssumptions"}</definedName>
    <definedName name="wrn.Outgoings." localSheetId="23" hidden="1">{#N/A,#N/A,FALSE,"Outgoings"}</definedName>
    <definedName name="wrn.Outgoings." localSheetId="18" hidden="1">{#N/A,#N/A,FALSE,"Outgoings"}</definedName>
    <definedName name="wrn.Outgoings." localSheetId="24" hidden="1">{#N/A,#N/A,FALSE,"Outgoings"}</definedName>
    <definedName name="wrn.Outgoings." hidden="1">{#N/A,#N/A,FALSE,"Outgoings"}</definedName>
    <definedName name="wrn.Output3Column." localSheetId="23" hidden="1">{"Output-3Column",#N/A,FALSE,"Output"}</definedName>
    <definedName name="wrn.Output3Column." localSheetId="18" hidden="1">{"Output-3Column",#N/A,FALSE,"Output"}</definedName>
    <definedName name="wrn.Output3Column." localSheetId="24" hidden="1">{"Output-3Column",#N/A,FALSE,"Output"}</definedName>
    <definedName name="wrn.Output3Column." hidden="1">{"Output-3Column",#N/A,FALSE,"Output"}</definedName>
    <definedName name="wrn.OutputAll." localSheetId="23" hidden="1">{"Output-All",#N/A,FALSE,"Output"}</definedName>
    <definedName name="wrn.OutputAll." localSheetId="18" hidden="1">{"Output-All",#N/A,FALSE,"Output"}</definedName>
    <definedName name="wrn.OutputAll." localSheetId="24" hidden="1">{"Output-All",#N/A,FALSE,"Output"}</definedName>
    <definedName name="wrn.OutputAll." hidden="1">{"Output-All",#N/A,FALSE,"Output"}</definedName>
    <definedName name="wrn.OutputBaseYear." localSheetId="23" hidden="1">{"Output-BaseYear",#N/A,FALSE,"Output"}</definedName>
    <definedName name="wrn.OutputBaseYear." localSheetId="18" hidden="1">{"Output-BaseYear",#N/A,FALSE,"Output"}</definedName>
    <definedName name="wrn.OutputBaseYear." localSheetId="24" hidden="1">{"Output-BaseYear",#N/A,FALSE,"Output"}</definedName>
    <definedName name="wrn.OutputBaseYear." hidden="1">{"Output-BaseYear",#N/A,FALSE,"Output"}</definedName>
    <definedName name="wrn.OutputMin." localSheetId="23" hidden="1">{"Output-Min",#N/A,FALSE,"Output"}</definedName>
    <definedName name="wrn.OutputMin." localSheetId="18" hidden="1">{"Output-Min",#N/A,FALSE,"Output"}</definedName>
    <definedName name="wrn.OutputMin." localSheetId="24" hidden="1">{"Output-Min",#N/A,FALSE,"Output"}</definedName>
    <definedName name="wrn.OutputMin." hidden="1">{"Output-Min",#N/A,FALSE,"Output"}</definedName>
    <definedName name="wrn.OutputPercent." localSheetId="23" hidden="1">{"Output%",#N/A,FALSE,"Output"}</definedName>
    <definedName name="wrn.OutputPercent." localSheetId="18" hidden="1">{"Output%",#N/A,FALSE,"Output"}</definedName>
    <definedName name="wrn.OutputPercent." localSheetId="24" hidden="1">{"Output%",#N/A,FALSE,"Output"}</definedName>
    <definedName name="wrn.OutputPercent." hidden="1">{"Output%",#N/A,FALSE,"Output"}</definedName>
    <definedName name="wrn.Overview." localSheetId="23" hidden="1">{#N/A,#N/A,FALSE,"Overview-Page2";#N/A,#N/A,FALSE,"Overview-Page1"}</definedName>
    <definedName name="wrn.Overview." localSheetId="18" hidden="1">{#N/A,#N/A,FALSE,"Overview-Page2";#N/A,#N/A,FALSE,"Overview-Page1"}</definedName>
    <definedName name="wrn.Overview." localSheetId="24" hidden="1">{#N/A,#N/A,FALSE,"Overview-Page2";#N/A,#N/A,FALSE,"Overview-Page1"}</definedName>
    <definedName name="wrn.Overview." hidden="1">{#N/A,#N/A,FALSE,"Overview-Page2";#N/A,#N/A,FALSE,"Overview-Page1"}</definedName>
    <definedName name="wrn.Owner._.Copy." localSheetId="23" hidden="1">{#N/A,#N/A,FALSE,"H1a";#N/A,#N/A,FALSE,"H1b";#N/A,#N/A,FALSE,"H1c";#N/A,#N/A,FALSE,"H1d";#N/A,#N/A,FALSE,"H1e";#N/A,#N/A,FALSE,"H1f"}</definedName>
    <definedName name="wrn.Owner._.Copy." localSheetId="18" hidden="1">{#N/A,#N/A,FALSE,"H1a";#N/A,#N/A,FALSE,"H1b";#N/A,#N/A,FALSE,"H1c";#N/A,#N/A,FALSE,"H1d";#N/A,#N/A,FALSE,"H1e";#N/A,#N/A,FALSE,"H1f"}</definedName>
    <definedName name="wrn.Owner._.Copy." localSheetId="24" hidden="1">{#N/A,#N/A,FALSE,"H1a";#N/A,#N/A,FALSE,"H1b";#N/A,#N/A,FALSE,"H1c";#N/A,#N/A,FALSE,"H1d";#N/A,#N/A,FALSE,"H1e";#N/A,#N/A,FALSE,"H1f"}</definedName>
    <definedName name="wrn.Owner._.Copy." hidden="1">{#N/A,#N/A,FALSE,"H1a";#N/A,#N/A,FALSE,"H1b";#N/A,#N/A,FALSE,"H1c";#N/A,#N/A,FALSE,"H1d";#N/A,#N/A,FALSE,"H1e";#N/A,#N/A,FALSE,"H1f"}</definedName>
    <definedName name="wrn.PAIM._.TAX._.PRO."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3" hidden="1">{"Parameter Review Report",#N/A,FALSE,"C"}</definedName>
    <definedName name="wrn.Parameter._.Review._.Report." localSheetId="18" hidden="1">{"Parameter Review Report",#N/A,FALSE,"C"}</definedName>
    <definedName name="wrn.Parameter._.Review._.Report." localSheetId="24" hidden="1">{"Parameter Review Report",#N/A,FALSE,"C"}</definedName>
    <definedName name="wrn.Parameter._.Review._.Report." hidden="1">{"Parameter Review Report",#N/A,FALSE,"C"}</definedName>
    <definedName name="wrn.PL._.Summ." localSheetId="23" hidden="1">{"Summary PL",#N/A,FALSE,"P&amp;L"}</definedName>
    <definedName name="wrn.PL._.Summ." localSheetId="18" hidden="1">{"Summary PL",#N/A,FALSE,"P&amp;L"}</definedName>
    <definedName name="wrn.PL._.Summ." localSheetId="24" hidden="1">{"Summary PL",#N/A,FALSE,"P&amp;L"}</definedName>
    <definedName name="wrn.PL._.Summ." hidden="1">{"Summary PL",#N/A,FALSE,"P&amp;L"}</definedName>
    <definedName name="wrn.Plan._.Book._.FC._.Presentation." localSheetId="23" hidden="1">{#N/A,#N/A,FALSE,"RECAP of CASH";#N/A,#N/A,FALSE,"CASH @ FC %";#N/A,#N/A,FALSE,"EBDT Reconciliation";#N/A,#N/A,FALSE,"CASH &amp; EARNINGS @ OWN%";#N/A,#N/A,FALSE,"Total Return Summary @ FC %";#N/A,#N/A,FALSE,"Total Returns @ FC %";#N/A,#N/A,FALSE,"PROFORMA CASH"}</definedName>
    <definedName name="wrn.Plan._.Book._.FC._.Presentation." localSheetId="18" hidden="1">{#N/A,#N/A,FALSE,"RECAP of CASH";#N/A,#N/A,FALSE,"CASH @ FC %";#N/A,#N/A,FALSE,"EBDT Reconciliation";#N/A,#N/A,FALSE,"CASH &amp; EARNINGS @ OWN%";#N/A,#N/A,FALSE,"Total Return Summary @ FC %";#N/A,#N/A,FALSE,"Total Returns @ FC %";#N/A,#N/A,FALSE,"PROFORMA CASH"}</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3"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8"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3" hidden="1">{"pond1",#N/A,FALSE,"Focus";"pond2",#N/A,FALSE,"Focus"}</definedName>
    <definedName name="wrn.pond." localSheetId="18" hidden="1">{"pond1",#N/A,FALSE,"Focus";"pond2",#N/A,FALSE,"Focus"}</definedName>
    <definedName name="wrn.pond." localSheetId="24" hidden="1">{"pond1",#N/A,FALSE,"Focus";"pond2",#N/A,FALSE,"Focus"}</definedName>
    <definedName name="wrn.pond." hidden="1">{"pond1",#N/A,FALSE,"Focus";"pond2",#N/A,FALSE,"Focus"}</definedName>
    <definedName name="wrn.Presentation." localSheetId="23" hidden="1">{#N/A,#N/A,TRUE,"Summary";"AnnualRentRoll",#N/A,TRUE,"RentRoll";#N/A,#N/A,TRUE,"ExitStratigy";#N/A,#N/A,TRUE,"OperatingAssumptions"}</definedName>
    <definedName name="wrn.Presentation." localSheetId="18" hidden="1">{#N/A,#N/A,TRUE,"Summary";"AnnualRentRoll",#N/A,TRUE,"RentRoll";#N/A,#N/A,TRUE,"ExitStratigy";#N/A,#N/A,TRUE,"OperatingAssumptions"}</definedName>
    <definedName name="wrn.Presentation." localSheetId="24"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3" hidden="1">{#N/A,#N/A,TRUE,"Summary";"AnnualRentRoll",#N/A,TRUE,"RentRoll";#N/A,#N/A,TRUE,"ExitStratigy";#N/A,#N/A,TRUE,"OperatingAssumptions"}</definedName>
    <definedName name="wrn.Presentation._1" localSheetId="18"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8"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3" hidden="1">{"page1",#N/A,FALSE,"Sheet1";"page2",#N/A,FALSE,"Sheet1"}</definedName>
    <definedName name="wrn.print." localSheetId="18" hidden="1">{"page1",#N/A,FALSE,"Sheet1";"page2",#N/A,FALSE,"Sheet1"}</definedName>
    <definedName name="wrn.print." localSheetId="24" hidden="1">{"page1",#N/A,FALSE,"Sheet1";"page2",#N/A,FALSE,"Sheet1"}</definedName>
    <definedName name="wrn.print." hidden="1">{"page1",#N/A,FALSE,"Sheet1";"page2",#N/A,FALSE,"Sheet1"}</definedName>
    <definedName name="wrn.Print._.4." localSheetId="23" hidden="1">{"Outflow 1",#N/A,FALSE,"Outflows-Inflows";"Outflow 2",#N/A,FALSE,"Outflows-Inflows";"Inflow 1",#N/A,FALSE,"Outflows-Inflows";"Inflow 2",#N/A,FALSE,"Outflows-Inflows"}</definedName>
    <definedName name="wrn.Print._.4." localSheetId="18" hidden="1">{"Outflow 1",#N/A,FALSE,"Outflows-Inflows";"Outflow 2",#N/A,FALSE,"Outflows-Inflows";"Inflow 1",#N/A,FALSE,"Outflows-Inflows";"Inflow 2",#N/A,FALSE,"Outflows-Inflows"}</definedName>
    <definedName name="wrn.Print._.4." localSheetId="24"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3" hidden="1">{"print 1.6",#N/A,FALSE,"Sheet1";"print 2.6",#N/A,FALSE,"Sheet1";"print 3.6",#N/A,FALSE,"Sheet1";"print 4.6",#N/A,FALSE,"Sheet1";"print 5.6",#N/A,FALSE,"Sheet1";"print 6.6",#N/A,FALSE,"Sheet1"}</definedName>
    <definedName name="wrn.Print._.6." localSheetId="18" hidden="1">{"print 1.6",#N/A,FALSE,"Sheet1";"print 2.6",#N/A,FALSE,"Sheet1";"print 3.6",#N/A,FALSE,"Sheet1";"print 4.6",#N/A,FALSE,"Sheet1";"print 5.6",#N/A,FALSE,"Sheet1";"print 6.6",#N/A,FALSE,"Sheet1"}</definedName>
    <definedName name="wrn.Print._.6." localSheetId="24"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3" hidden="1">{#N/A,#N/A,FALSE,"Balance sheet";#N/A,#N/A,FALSE,"FAD";#N/A,#N/A,FALSE,"Cashflow";#N/A,#N/A,FALSE,"NAV";#N/A,#N/A,FALSE,"Notes 1-5";#N/A,#N/A,FALSE,"Notes 6-"}</definedName>
    <definedName name="wrn.Print._.Accounts." localSheetId="18" hidden="1">{#N/A,#N/A,FALSE,"Balance sheet";#N/A,#N/A,FALSE,"FAD";#N/A,#N/A,FALSE,"Cashflow";#N/A,#N/A,FALSE,"NAV";#N/A,#N/A,FALSE,"Notes 1-5";#N/A,#N/A,FALSE,"Notes 6-"}</definedName>
    <definedName name="wrn.Print._.Accounts." localSheetId="24"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3" hidden="1">{#N/A,#N/A,FALSE,"Data Input";#N/A,#N/A,FALSE,"1. Income";#N/A,#N/A,FALSE,"2. Rates &amp; Taxes";#N/A,#N/A,FALSE,"3. Extended Trade";#N/A,#N/A,FALSE,"4. Non Recoverable Expenses";#N/A,#N/A,FALSE,"5. Recoverable Expenses";#N/A,#N/A,FALSE,"6. Cleaning"}</definedName>
    <definedName name="wrn.Print._.All._.Journals." localSheetId="18" hidden="1">{#N/A,#N/A,FALSE,"Data Input";#N/A,#N/A,FALSE,"1. Income";#N/A,#N/A,FALSE,"2. Rates &amp; Taxes";#N/A,#N/A,FALSE,"3. Extended Trade";#N/A,#N/A,FALSE,"4. Non Recoverable Expenses";#N/A,#N/A,FALSE,"5. Recoverable Expenses";#N/A,#N/A,FALSE,"6. Cleaning"}</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3"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8"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3" hidden="1">{#N/A,#N/A,FALSE,"Trial Balance";#N/A,#N/A,FALSE,"Cover";#N/A,#N/A,FALSE,"P&amp;L";#N/A,#N/A,FALSE,"BS";#N/A,#N/A,FALSE,"CF";#N/A,#N/A,FALSE,"Note 1";#N/A,#N/A,FALSE,"Note 2-8";#N/A,#N/A,FALSE,"Note 9-14";#N/A,#N/A,FALSE,"Cashflow Statement"}</definedName>
    <definedName name="wrn.Print._.All._.Sheets." localSheetId="18" hidden="1">{#N/A,#N/A,FALSE,"Trial Balance";#N/A,#N/A,FALSE,"Cover";#N/A,#N/A,FALSE,"P&amp;L";#N/A,#N/A,FALSE,"BS";#N/A,#N/A,FALSE,"CF";#N/A,#N/A,FALSE,"Note 1";#N/A,#N/A,FALSE,"Note 2-8";#N/A,#N/A,FALSE,"Note 9-14";#N/A,#N/A,FALSE,"Cashflow Statement"}</definedName>
    <definedName name="wrn.Print._.All._.Sheets." localSheetId="24"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3" hidden="1">{#N/A,#N/A,FALSE,"BB Snapshot";#N/A,#N/A,FALSE,"BB Profit Overview";#N/A,#N/A,FALSE,"BB KPI";#N/A,#N/A,FALSE,"BB Corp Perf";#N/A,#N/A,FALSE,"BB Sensitivty";#N/A,#N/A,FALSE,"BB Cap Exp";#N/A,#N/A,FALSE,"BB Apic"}</definedName>
    <definedName name="wrn.Print._.Blue._.Book._.Schedules." localSheetId="18" hidden="1">{#N/A,#N/A,FALSE,"BB Snapshot";#N/A,#N/A,FALSE,"BB Profit Overview";#N/A,#N/A,FALSE,"BB KPI";#N/A,#N/A,FALSE,"BB Corp Perf";#N/A,#N/A,FALSE,"BB Sensitivty";#N/A,#N/A,FALSE,"BB Cap Exp";#N/A,#N/A,FALSE,"BB Apic"}</definedName>
    <definedName name="wrn.Print._.Blue._.Book._.Schedules." localSheetId="24"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3"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8"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3" hidden="1">{"Detailed Analysis Schedule",#N/A,FALSE,"Creditors Centre";"Detailed Analysis Creditors HO",#N/A,FALSE,"Creditors Head Office";"Detailed Analysis Debtors",#N/A,FALSE,"Debtors";"Detailed Analysis Prepayments",#N/A,FALSE,"Prepayments"}</definedName>
    <definedName name="wrn.Print._.Detailed._.Analysis." localSheetId="18" hidden="1">{"Detailed Analysis Schedule",#N/A,FALSE,"Creditors Centre";"Detailed Analysis Creditors HO",#N/A,FALSE,"Creditors Head Office";"Detailed Analysis Debtors",#N/A,FALSE,"Debtors";"Detailed Analysis Prepayments",#N/A,FALSE,"Prepayments"}</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3" hidden="1">{"Summary Report",#N/A,FALSE,"Pcent Rent Schedule";"Comparison Report",#N/A,FALSE,"Pcent Rent Schedule"}</definedName>
    <definedName name="wrn.Print._.Reports." localSheetId="18" hidden="1">{"Summary Report",#N/A,FALSE,"Pcent Rent Schedule";"Comparison Report",#N/A,FALSE,"Pcent Rent Schedule"}</definedName>
    <definedName name="wrn.Print._.Reports." localSheetId="24"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3" hidden="1">{"State",#N/A,FALSE,"state";"StatePM",#N/A,FALSE,"statepm"}</definedName>
    <definedName name="wrn.Print._.State._.Report." localSheetId="18" hidden="1">{"State",#N/A,FALSE,"state";"StatePM",#N/A,FALSE,"statepm"}</definedName>
    <definedName name="wrn.Print._.State._.Report." localSheetId="24" hidden="1">{"State",#N/A,FALSE,"state";"StatePM",#N/A,FALSE,"statepm"}</definedName>
    <definedName name="wrn.Print._.State._.Report." hidden="1">{"State",#N/A,FALSE,"state";"StatePM",#N/A,FALSE,"statepm"}</definedName>
    <definedName name="wrn.Print._.Summary._.Schedules." localSheetId="23" hidden="1">{#N/A,#N/A,FALSE,"Input Sheet";"Summary Report For Pack",#N/A,FALSE,"Creditors Centre";"Creditors HO Summary",#N/A,FALSE,"Creditors Head Office";"Debtors Summary",#N/A,FALSE,"Debtors";"Prepayments Summary",#N/A,FALSE,"Prepayments"}</definedName>
    <definedName name="wrn.Print._.Summary._.Schedules." localSheetId="18" hidden="1">{#N/A,#N/A,FALSE,"Input Sheet";"Summary Report For Pack",#N/A,FALSE,"Creditors Centre";"Creditors HO Summary",#N/A,FALSE,"Creditors Head Office";"Debtors Summary",#N/A,FALSE,"Debtors";"Prepayments Summary",#N/A,FALSE,"Prepayments"}</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3" hidden="1">{"page1",#N/A,FALSE,"Sheet1";"page2",#N/A,FALSE,"Sheet1"}</definedName>
    <definedName name="wrn.print._1" localSheetId="18" hidden="1">{"page1",#N/A,FALSE,"Sheet1";"page2",#N/A,FALSE,"Sheet1"}</definedName>
    <definedName name="wrn.print._1" localSheetId="24" hidden="1">{"page1",#N/A,FALSE,"Sheet1";"page2",#N/A,FALSE,"Sheet1"}</definedName>
    <definedName name="wrn.print._1" hidden="1">{"page1",#N/A,FALSE,"Sheet1";"page2",#N/A,FALSE,"Sheet1"}</definedName>
    <definedName name="wrn.print.capex" localSheetId="23" hidden="1">{#N/A,#N/A,TRUE,"Capex Summ";#N/A,#N/A,TRUE,"Essential Works.tw";#N/A,#N/A,TRUE,"Desirable Works.tw";#N/A,#N/A,TRUE,"Essential Works.rt";#N/A,#N/A,TRUE,"Desirable Works.rt";#N/A,#N/A,TRUE,"Mthly";#N/A,#N/A,TRUE,"Essential Works.ht";#N/A,#N/A,TRUE,"Desirable Works.ht";#N/A,#N/A,TRUE,"Incentives"}</definedName>
    <definedName name="wrn.print.capex" localSheetId="18" hidden="1">{#N/A,#N/A,TRUE,"Capex Summ";#N/A,#N/A,TRUE,"Essential Works.tw";#N/A,#N/A,TRUE,"Desirable Works.tw";#N/A,#N/A,TRUE,"Essential Works.rt";#N/A,#N/A,TRUE,"Desirable Works.rt";#N/A,#N/A,TRUE,"Mthly";#N/A,#N/A,TRUE,"Essential Works.ht";#N/A,#N/A,TRUE,"Desirable Works.ht";#N/A,#N/A,TRUE,"Incentives"}</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3" hidden="1">{#N/A,#N/A,FALSE,"5YRASSPl - consol'd";#N/A,#N/A,FALSE,"5YRASSPl - hotel";#N/A,#N/A,FALSE,"5YRASSPl - excl htl";#N/A,#N/A,FALSE,"VarReport";#N/A,#N/A,FALSE,"Sensitivity";#N/A,#N/A,FALSE,"House View ";#N/A,#N/A,FALSE,"KPI"}</definedName>
    <definedName name="wrn.print.QAPU" localSheetId="18" hidden="1">{#N/A,#N/A,FALSE,"5YRASSPl - consol'd";#N/A,#N/A,FALSE,"5YRASSPl - hotel";#N/A,#N/A,FALSE,"5YRASSPl - excl htl";#N/A,#N/A,FALSE,"VarReport";#N/A,#N/A,FALSE,"Sensitivity";#N/A,#N/A,FALSE,"House View ";#N/A,#N/A,FALSE,"KPI"}</definedName>
    <definedName name="wrn.print.QAPU" localSheetId="24"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3" hidden="1">{#N/A,#N/A,TRUE,"TOC";#N/A,#N/A,TRUE,"(1) Project Names LEE";#N/A,#N/A,TRUE,"(2) Project Names LWE";#N/A,#N/A,TRUE,"(3) LEE - Cash Proceeds";#N/A,#N/A,TRUE,"(4) LWE - Cash Proceeds ";#N/A,#N/A,TRUE,"(5) LEE - GAAP Gains"}</definedName>
    <definedName name="wrn.Print_Report." localSheetId="18" hidden="1">{#N/A,#N/A,TRUE,"TOC";#N/A,#N/A,TRUE,"(1) Project Names LEE";#N/A,#N/A,TRUE,"(2) Project Names LWE";#N/A,#N/A,TRUE,"(3) LEE - Cash Proceeds";#N/A,#N/A,TRUE,"(4) LWE - Cash Proceeds ";#N/A,#N/A,TRUE,"(5) LEE - GAAP Gains"}</definedName>
    <definedName name="wrn.Print_Report." localSheetId="24"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3" hidden="1">{#N/A,#N/A,TRUE,"TOC";#N/A,#N/A,TRUE,"(1) Project Names LEE";#N/A,#N/A,TRUE,"(2) Project Names LWE";#N/A,#N/A,TRUE,"(3) LEE - Cash Proceeds";#N/A,#N/A,TRUE,"(4) LWE - Cash Proceeds ";#N/A,#N/A,TRUE,"(5) LEE - GAAP Gains"}</definedName>
    <definedName name="wrn.Print_Report_2" localSheetId="18"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3" hidden="1">{#N/A,#N/A,TRUE,"TOC";#N/A,#N/A,TRUE,"(1) Project Names LEE";#N/A,#N/A,TRUE,"(2) Project Names LWE";#N/A,#N/A,TRUE,"(3) LEE - Cash Proceeds";#N/A,#N/A,TRUE,"(4) LWE - Cash Proceeds ";#N/A,#N/A,TRUE,"(5) LEE - GAAP Gains"}</definedName>
    <definedName name="wrn.Print_Report2" localSheetId="18"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3" hidden="1">{#N/A,#N/A,TRUE,"TOC";#N/A,#N/A,TRUE,"(1) Project Names LEE";#N/A,#N/A,TRUE,"(2) Project Names LWE";#N/A,#N/A,TRUE,"(3) LEE - Cash Proceeds";#N/A,#N/A,TRUE,"(4) LWE - Cash Proceeds ";#N/A,#N/A,TRUE,"(5) LEE - GAAP Gains"}</definedName>
    <definedName name="wrn.Print_Report3" localSheetId="18"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3" hidden="1">{"State",#N/A,FALSE,"state";"StatePM",#N/A,FALSE,"statepm";"Alpha",#N/A,FALSE,"alpha";"AlphaPM",#N/A,FALSE,"alphapm";"RGM",#N/A,FALSE,"rgm";"RGMMonth",#N/A,FALSE,"rgmpm";"Stab",#N/A,FALSE,"stab";"stabpm",#N/A,FALSE,"stabpm";"Trust",#N/A,FALSE,"trust";"TrustPM",#N/A,FALSE,"trustpm"}</definedName>
    <definedName name="wrn.PrintAll." localSheetId="18" hidden="1">{"State",#N/A,FALSE,"state";"StatePM",#N/A,FALSE,"statepm";"Alpha",#N/A,FALSE,"alpha";"AlphaPM",#N/A,FALSE,"alphapm";"RGM",#N/A,FALSE,"rgm";"RGMMonth",#N/A,FALSE,"rgmpm";"Stab",#N/A,FALSE,"stab";"stabpm",#N/A,FALSE,"stabpm";"Trust",#N/A,FALSE,"trust";"TrustPM",#N/A,FALSE,"trustpm"}</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3" hidden="1">{"Alpha",#N/A,FALSE,"alpha";"AlphaPM",#N/A,FALSE,"alphapm"}</definedName>
    <definedName name="wrn.PrintAlphaReports." localSheetId="18" hidden="1">{"Alpha",#N/A,FALSE,"alpha";"AlphaPM",#N/A,FALSE,"alphapm"}</definedName>
    <definedName name="wrn.PrintAlphaReports." localSheetId="24" hidden="1">{"Alpha",#N/A,FALSE,"alpha";"AlphaPM",#N/A,FALSE,"alphapm"}</definedName>
    <definedName name="wrn.PrintAlphaReports." hidden="1">{"Alpha",#N/A,FALSE,"alpha";"AlphaPM",#N/A,FALSE,"alphapm"}</definedName>
    <definedName name="wrn.PrintIRRCalcs." localSheetId="23" hidden="1">{"1",#N/A,FALSE,"Rolling IRRs";"2",#N/A,FALSE,"Rolling IRRs";"3",#N/A,FALSE,"Rolling IRRs";"4",#N/A,FALSE,"Rolling IRRs";"5",#N/A,FALSE,"Rolling IRRs";"6",#N/A,FALSE,"Rolling IRRs";"7",#N/A,FALSE,"Rolling IRRs"}</definedName>
    <definedName name="wrn.PrintIRRCalcs." localSheetId="18" hidden="1">{"1",#N/A,FALSE,"Rolling IRRs";"2",#N/A,FALSE,"Rolling IRRs";"3",#N/A,FALSE,"Rolling IRRs";"4",#N/A,FALSE,"Rolling IRRs";"5",#N/A,FALSE,"Rolling IRRs";"6",#N/A,FALSE,"Rolling IRRs";"7",#N/A,FALSE,"Rolling IRRs"}</definedName>
    <definedName name="wrn.PrintIRRCalcs." localSheetId="24"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3" hidden="1">{"JOURNAL1",#N/A,FALSE,"ACCRUALS";"JOURNAL2",#N/A,FALSE,"ACCRUALS";"JOURNAL3",#N/A,FALSE,"ACCRUALS";"WORKSHEET",#N/A,FALSE,"ACCRUALS"}</definedName>
    <definedName name="wrn.PRINTJOURNALS." localSheetId="18" hidden="1">{"JOURNAL1",#N/A,FALSE,"ACCRUALS";"JOURNAL2",#N/A,FALSE,"ACCRUALS";"JOURNAL3",#N/A,FALSE,"ACCRUALS";"WORKSHEET",#N/A,FALSE,"ACCRUALS"}</definedName>
    <definedName name="wrn.PRINTJOURNALS." localSheetId="24"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3" hidden="1">{"StatePM",#N/A,FALSE,"statepm";"TrustPM",#N/A,FALSE,"trustpm";"AlphaPM",#N/A,FALSE,"alphapm";"stabpm",#N/A,FALSE,"stabpm";"RGMMonth",#N/A,FALSE,"rgmpm"}</definedName>
    <definedName name="wrn.PrintPMReports." localSheetId="18" hidden="1">{"StatePM",#N/A,FALSE,"statepm";"TrustPM",#N/A,FALSE,"trustpm";"AlphaPM",#N/A,FALSE,"alphapm";"stabpm",#N/A,FALSE,"stabpm";"RGMMonth",#N/A,FALSE,"rgmpm"}</definedName>
    <definedName name="wrn.PrintPMReports." localSheetId="24"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3" hidden="1">{"RetSum1",#N/A,FALSE,"Returns Summary";"RetSum2",#N/A,FALSE,"Returns Summary"}</definedName>
    <definedName name="wrn.PrintReturnsSummary." localSheetId="18" hidden="1">{"RetSum1",#N/A,FALSE,"Returns Summary";"RetSum2",#N/A,FALSE,"Returns Summary"}</definedName>
    <definedName name="wrn.PrintReturnsSummary." localSheetId="24" hidden="1">{"RetSum1",#N/A,FALSE,"Returns Summary";"RetSum2",#N/A,FALSE,"Returns Summary"}</definedName>
    <definedName name="wrn.PrintReturnsSummary." hidden="1">{"RetSum1",#N/A,FALSE,"Returns Summary";"RetSum2",#N/A,FALSE,"Returns Summary"}</definedName>
    <definedName name="wrn.PrintRGMReport." localSheetId="23" hidden="1">{"RGM",#N/A,FALSE,"rgm";"RGMMonth",#N/A,FALSE,"rgmpm"}</definedName>
    <definedName name="wrn.PrintRGMReport." localSheetId="18" hidden="1">{"RGM",#N/A,FALSE,"rgm";"RGMMonth",#N/A,FALSE,"rgmpm"}</definedName>
    <definedName name="wrn.PrintRGMReport." localSheetId="24" hidden="1">{"RGM",#N/A,FALSE,"rgm";"RGMMonth",#N/A,FALSE,"rgmpm"}</definedName>
    <definedName name="wrn.PrintRGMReport." hidden="1">{"RGM",#N/A,FALSE,"rgm";"RGMMonth",#N/A,FALSE,"rgmpm"}</definedName>
    <definedName name="wrn.PrintStabReport." localSheetId="23" hidden="1">{"Stab",#N/A,FALSE,"stab";"stabpm",#N/A,FALSE,"stabpm"}</definedName>
    <definedName name="wrn.PrintStabReport." localSheetId="18" hidden="1">{"Stab",#N/A,FALSE,"stab";"stabpm",#N/A,FALSE,"stabpm"}</definedName>
    <definedName name="wrn.PrintStabReport." localSheetId="24" hidden="1">{"Stab",#N/A,FALSE,"stab";"stabpm",#N/A,FALSE,"stabpm"}</definedName>
    <definedName name="wrn.PrintStabReport." hidden="1">{"Stab",#N/A,FALSE,"stab";"stabpm",#N/A,FALSE,"stabpm"}</definedName>
    <definedName name="wrn.PrintTrustReports." localSheetId="23" hidden="1">{"Trust",#N/A,FALSE,"trust";"TrustPM",#N/A,FALSE,"trustpm"}</definedName>
    <definedName name="wrn.PrintTrustReports." localSheetId="18" hidden="1">{"Trust",#N/A,FALSE,"trust";"TrustPM",#N/A,FALSE,"trustpm"}</definedName>
    <definedName name="wrn.PrintTrustReports." localSheetId="24" hidden="1">{"Trust",#N/A,FALSE,"trust";"TrustPM",#N/A,FALSE,"trustpm"}</definedName>
    <definedName name="wrn.PrintTrustReports." hidden="1">{"Trust",#N/A,FALSE,"trust";"TrustPM",#N/A,FALSE,"trustpm"}</definedName>
    <definedName name="wrn.Profit." localSheetId="23" hidden="1">{#N/A,#N/A,FALSE,"Profit"}</definedName>
    <definedName name="wrn.Profit." localSheetId="18" hidden="1">{#N/A,#N/A,FALSE,"Profit"}</definedName>
    <definedName name="wrn.Profit." localSheetId="24" hidden="1">{#N/A,#N/A,FALSE,"Profit"}</definedName>
    <definedName name="wrn.Profit." hidden="1">{#N/A,#N/A,FALSE,"Profit"}</definedName>
    <definedName name="wrn.Proforma." localSheetId="23" hidden="1">{"Proforma - Dollars",#N/A,FALSE,"Proforma"}</definedName>
    <definedName name="wrn.Proforma." localSheetId="18" hidden="1">{"Proforma - Dollars",#N/A,FALSE,"Proforma"}</definedName>
    <definedName name="wrn.Proforma." localSheetId="24" hidden="1">{"Proforma - Dollars",#N/A,FALSE,"Proforma"}</definedName>
    <definedName name="wrn.Proforma." hidden="1">{"Proforma - Dollars",#N/A,FALSE,"Proforma"}</definedName>
    <definedName name="wrn.Program._.Compliance." localSheetId="23" hidden="1">{#N/A,#N/A,FALSE,"COMPLIANCE"}</definedName>
    <definedName name="wrn.Program._.Compliance." localSheetId="18" hidden="1">{#N/A,#N/A,FALSE,"COMPLIANCE"}</definedName>
    <definedName name="wrn.Program._.Compliance." localSheetId="24" hidden="1">{#N/A,#N/A,FALSE,"COMPLIANCE"}</definedName>
    <definedName name="wrn.Program._.Compliance." hidden="1">{#N/A,#N/A,FALSE,"COMPLIANCE"}</definedName>
    <definedName name="wrn.Property._.Description." localSheetId="23" hidden="1">{#N/A,#N/A,FALSE,"PROP. DESCRIPTION"}</definedName>
    <definedName name="wrn.Property._.Description." localSheetId="18" hidden="1">{#N/A,#N/A,FALSE,"PROP. DESCRIPTION"}</definedName>
    <definedName name="wrn.Property._.Description." localSheetId="24" hidden="1">{#N/A,#N/A,FALSE,"PROP. DESCRIPTION"}</definedName>
    <definedName name="wrn.Property._.Description." hidden="1">{#N/A,#N/A,FALSE,"PROP. DESCRIPTION"}</definedName>
    <definedName name="wrn.PropertyInformation." localSheetId="23" hidden="1">{#N/A,#N/A,FALSE,"PropertyInfo"}</definedName>
    <definedName name="wrn.PropertyInformation." localSheetId="18" hidden="1">{#N/A,#N/A,FALSE,"PropertyInfo"}</definedName>
    <definedName name="wrn.PropertyInformation." localSheetId="24" hidden="1">{#N/A,#N/A,FALSE,"PropertyInfo"}</definedName>
    <definedName name="wrn.PropertyInformation." hidden="1">{#N/A,#N/A,FALSE,"PropertyInfo"}</definedName>
    <definedName name="wrn.PropertyInformation._1" localSheetId="23" hidden="1">{#N/A,#N/A,FALSE,"PropertyInfo"}</definedName>
    <definedName name="wrn.PropertyInformation._1" localSheetId="18" hidden="1">{#N/A,#N/A,FALSE,"PropertyInfo"}</definedName>
    <definedName name="wrn.PropertyInformation._1" localSheetId="24" hidden="1">{#N/A,#N/A,FALSE,"PropertyInfo"}</definedName>
    <definedName name="wrn.PropertyInformation._1" hidden="1">{#N/A,#N/A,FALSE,"PropertyInfo"}</definedName>
    <definedName name="wrn.q" localSheetId="23"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8"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3" hidden="1">{#N/A,#N/A,FALSE,"5YRASSPl - consol'd";#N/A,#N/A,FALSE,"5YRASSPl - hotel";#N/A,#N/A,FALSE,"5YRASSPl - excl htl";#N/A,#N/A,FALSE,"VarReport";#N/A,#N/A,FALSE,"Sensitivity";#N/A,#N/A,FALSE,"House View ";#N/A,#N/A,FALSE,"KPI"}</definedName>
    <definedName name="wrn.QAPU." localSheetId="18" hidden="1">{#N/A,#N/A,FALSE,"5YRASSPl - consol'd";#N/A,#N/A,FALSE,"5YRASSPl - hotel";#N/A,#N/A,FALSE,"5YRASSPl - excl htl";#N/A,#N/A,FALSE,"VarReport";#N/A,#N/A,FALSE,"Sensitivity";#N/A,#N/A,FALSE,"House View ";#N/A,#N/A,FALSE,"KPI"}</definedName>
    <definedName name="wrn.QAPU." localSheetId="24"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3" hidden="1">{#N/A,#N/A,FALSE,"5YRASSPl - consol'd";#N/A,#N/A,FALSE,"5YRASSPl - hotel";#N/A,#N/A,FALSE,"5YRASSPl - excl htl";#N/A,#N/A,FALSE,"VarReport";#N/A,#N/A,FALSE,"Sensitivity";#N/A,#N/A,FALSE,"House View ";#N/A,#N/A,FALSE,"KPI"}</definedName>
    <definedName name="wrn.QAPU1" localSheetId="18"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3" hidden="1">{#N/A,#N/A,FALSE,"Quarterly Summary"}</definedName>
    <definedName name="wrn.Quarterly._.Summary." localSheetId="18" hidden="1">{#N/A,#N/A,FALSE,"Quarterly Summary"}</definedName>
    <definedName name="wrn.Quarterly._.Summary." localSheetId="24" hidden="1">{#N/A,#N/A,FALSE,"Quarterly Summary"}</definedName>
    <definedName name="wrn.Quarterly._.Summary." hidden="1">{#N/A,#N/A,FALSE,"Quarterly Summary"}</definedName>
    <definedName name="WRN.QW"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3" hidden="1">{"Raffr.",#N/A,FALSE,"Val."}</definedName>
    <definedName name="wrn.Raffr.." localSheetId="18" hidden="1">{"Raffr.",#N/A,FALSE,"Val."}</definedName>
    <definedName name="wrn.Raffr.." localSheetId="24" hidden="1">{"Raffr.",#N/A,FALSE,"Val."}</definedName>
    <definedName name="wrn.Raffr.." hidden="1">{"Raffr.",#N/A,FALSE,"Val."}</definedName>
    <definedName name="wrn.Rate._.PSM." localSheetId="23" hidden="1">{"AC Rate PSM",#N/A,FALSE,"Rate PSM";"OG Rate PSM",#N/A,FALSE,"Rate PSM";"OG and AC Recov",#N/A,FALSE,"Recov";"Stat Recov",#N/A,FALSE,"Recov"}</definedName>
    <definedName name="wrn.Rate._.PSM." localSheetId="18" hidden="1">{"AC Rate PSM",#N/A,FALSE,"Rate PSM";"OG Rate PSM",#N/A,FALSE,"Rate PSM";"OG and AC Recov",#N/A,FALSE,"Recov";"Stat Recov",#N/A,FALSE,"Recov"}</definedName>
    <definedName name="wrn.Rate._.PSM." localSheetId="24"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3" hidden="1">{"REC1",#N/A,FALSE,"Focus";"REC2",#N/A,FALSE,"Focus";"REC3",#N/A,FALSE,"Focus";"REC4",#N/A,FALSE,"Focus"}</definedName>
    <definedName name="wrn.RECONCILIATION." localSheetId="18" hidden="1">{"REC1",#N/A,FALSE,"Focus";"REC2",#N/A,FALSE,"Focus";"REC3",#N/A,FALSE,"Focus";"REC4",#N/A,FALSE,"Focus"}</definedName>
    <definedName name="wrn.RECONCILIATION." localSheetId="24" hidden="1">{"REC1",#N/A,FALSE,"Focus";"REC2",#N/A,FALSE,"Focus";"REC3",#N/A,FALSE,"Focus";"REC4",#N/A,FALSE,"Focus"}</definedName>
    <definedName name="wrn.RECONCILIATION." hidden="1">{"REC1",#N/A,FALSE,"Focus";"REC2",#N/A,FALSE,"Focus";"REC3",#N/A,FALSE,"Focus";"REC4",#N/A,FALSE,"Focus"}</definedName>
    <definedName name="wrn.Recovery." localSheetId="23" hidden="1">{#N/A,#N/A,FALSE,"2000";#N/A,#N/A,FALSE,"2001";#N/A,#N/A,FALSE,"2002";#N/A,#N/A,FALSE,"2003"}</definedName>
    <definedName name="wrn.Recovery." localSheetId="18" hidden="1">{#N/A,#N/A,FALSE,"2000";#N/A,#N/A,FALSE,"2001";#N/A,#N/A,FALSE,"2002";#N/A,#N/A,FALSE,"2003"}</definedName>
    <definedName name="wrn.Recovery." localSheetId="24" hidden="1">{#N/A,#N/A,FALSE,"2000";#N/A,#N/A,FALSE,"2001";#N/A,#N/A,FALSE,"2002";#N/A,#N/A,FALSE,"2003"}</definedName>
    <definedName name="wrn.Recovery." hidden="1">{#N/A,#N/A,FALSE,"2000";#N/A,#N/A,FALSE,"2001";#N/A,#N/A,FALSE,"2002";#N/A,#N/A,FALSE,"2003"}</definedName>
    <definedName name="wrn.Relevant._.Sections." localSheetId="23" hidden="1">{#N/A,#N/A,FALSE,"Summary";#N/A,#N/A,FALSE,"Program Scheme";#N/A,#N/A,FALSE,"Assumptions";#N/A,#N/A,FALSE,"Development Budget";#N/A,#N/A,FALSE,"Timing";#N/A,#N/A,FALSE,"Development Costs &amp; Revenues";#N/A,#N/A,FALSE,"Cash Flow to Debt &amp; Equity";#N/A,#N/A,FALSE,"Cash Flow to Athena LP"}</definedName>
    <definedName name="wrn.Relevant._.Sections." localSheetId="18" hidden="1">{#N/A,#N/A,FALSE,"Summary";#N/A,#N/A,FALSE,"Program Scheme";#N/A,#N/A,FALSE,"Assumptions";#N/A,#N/A,FALSE,"Development Budget";#N/A,#N/A,FALSE,"Timing";#N/A,#N/A,FALSE,"Development Costs &amp; Revenues";#N/A,#N/A,FALSE,"Cash Flow to Debt &amp; Equity";#N/A,#N/A,FALSE,"Cash Flow to Athena LP"}</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3" hidden="1">{"Rénovation",#N/A,FALSE,"Val."}</definedName>
    <definedName name="wrn.Rénovation." localSheetId="18" hidden="1">{"Rénovation",#N/A,FALSE,"Val."}</definedName>
    <definedName name="wrn.Rénovation." localSheetId="24" hidden="1">{"Rénovation",#N/A,FALSE,"Val."}</definedName>
    <definedName name="wrn.Rénovation." hidden="1">{"Rénovation",#N/A,FALSE,"Val."}</definedName>
    <definedName name="wrn.Rent." localSheetId="23" hidden="1">{#N/A,#N/A,FALSE,"Rent"}</definedName>
    <definedName name="wrn.Rent." localSheetId="18" hidden="1">{#N/A,#N/A,FALSE,"Rent"}</definedName>
    <definedName name="wrn.Rent." localSheetId="24" hidden="1">{#N/A,#N/A,FALSE,"Rent"}</definedName>
    <definedName name="wrn.Rent." hidden="1">{#N/A,#N/A,FALSE,"Rent"}</definedName>
    <definedName name="wrn.Report." localSheetId="23" hidden="1">{#N/A,#N/A,FALSE,"Loan Summary";#N/A,#N/A,FALSE,"NOI";"RR and Expir",#N/A,FALSE,"Rental";"Sales History",#N/A,FALSE,"Rental";#N/A,#N/A,FALSE,"Reserves"}</definedName>
    <definedName name="wrn.Report." localSheetId="18" hidden="1">{#N/A,#N/A,FALSE,"Loan Summary";#N/A,#N/A,FALSE,"NOI";"RR and Expir",#N/A,FALSE,"Rental";"Sales History",#N/A,FALSE,"Rental";#N/A,#N/A,FALSE,"Reserves"}</definedName>
    <definedName name="wrn.Report." localSheetId="24"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3" hidden="1">{#N/A,#N/A,FALSE,"MASTER SUMMARY";#N/A,#N/A,FALSE,"FF&amp;E COSTS";#N/A,#N/A,FALSE,"BALLY COSTS";#N/A,#N/A,FALSE,"GENERAL COND.";#N/A,#N/A,FALSE,"SOFT COSTS";#N/A,#N/A,FALSE,"GARAGE SUMMARY";#N/A,#N/A,FALSE,"CAP INTEREST";#N/A,#N/A,FALSE,"4.00 FEATURES";#N/A,#N/A,FALSE,"MISCELLANEOUS";#N/A,#N/A,FALSE,"DESIGN COSTS"}</definedName>
    <definedName name="wrn.REPORT._.ALL." localSheetId="18" hidden="1">{#N/A,#N/A,FALSE,"MASTER SUMMARY";#N/A,#N/A,FALSE,"FF&amp;E COSTS";#N/A,#N/A,FALSE,"BALLY COSTS";#N/A,#N/A,FALSE,"GENERAL COND.";#N/A,#N/A,FALSE,"SOFT COSTS";#N/A,#N/A,FALSE,"GARAGE SUMMARY";#N/A,#N/A,FALSE,"CAP INTEREST";#N/A,#N/A,FALSE,"4.00 FEATURES";#N/A,#N/A,FALSE,"MISCELLANEOUS";#N/A,#N/A,FALSE,"DESIGN COSTS"}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3" hidden="1">{#N/A,#N/A,FALSE,"MASTER SUMMARY";#N/A,#N/A,FALSE,"FF&amp;E COSTS";#N/A,#N/A,FALSE,"BALLY COSTS";#N/A,#N/A,FALSE,"GENERAL COND.";#N/A,#N/A,FALSE,"SOFT COSTS";#N/A,#N/A,FALSE,"GARAGE SUMMARY";#N/A,#N/A,FALSE,"CAP INTEREST";#N/A,#N/A,FALSE,"4.00 FEATURES";#N/A,#N/A,FALSE,"MISCELLANEOUS";#N/A,#N/A,FALSE,"DESIGN COSTS"}</definedName>
    <definedName name="wrn.REPORT._.ALL._1" localSheetId="18"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3" hidden="1">{#N/A,#N/A,FALSE,"Statement of Constitution";#N/A,#N/A,FALSE,"Notes 2 to 5";#N/A,#N/A,FALSE,"Notes 6 to 10";#N/A,#N/A,FALSE,"Net Assets Value";#N/A,#N/A,FALSE,"Trial Balance"}</definedName>
    <definedName name="wrn.Report._.For._.Sale." localSheetId="18" hidden="1">{#N/A,#N/A,FALSE,"Statement of Constitution";#N/A,#N/A,FALSE,"Notes 2 to 5";#N/A,#N/A,FALSE,"Notes 6 to 10";#N/A,#N/A,FALSE,"Net Assets Value";#N/A,#N/A,FALSE,"Trial Balance"}</definedName>
    <definedName name="wrn.Report._.For._.Sale." localSheetId="24"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3" hidden="1">{"Sal Bud",#N/A,FALSE,"A";"Sal Summ",#N/A,FALSE,"A"}</definedName>
    <definedName name="wrn.Salaries." localSheetId="18" hidden="1">{"Sal Bud",#N/A,FALSE,"A";"Sal Summ",#N/A,FALSE,"A"}</definedName>
    <definedName name="wrn.Salaries." localSheetId="24" hidden="1">{"Sal Bud",#N/A,FALSE,"A";"Sal Summ",#N/A,FALSE,"A"}</definedName>
    <definedName name="wrn.Salaries." hidden="1">{"Sal Bud",#N/A,FALSE,"A";"Sal Summ",#N/A,FALSE,"A"}</definedName>
    <definedName name="wrn.Salary." localSheetId="23" hidden="1">{"Salary",#N/A,FALSE,"A"}</definedName>
    <definedName name="wrn.Salary." localSheetId="18" hidden="1">{"Salary",#N/A,FALSE,"A"}</definedName>
    <definedName name="wrn.Salary." localSheetId="24" hidden="1">{"Salary",#N/A,FALSE,"A"}</definedName>
    <definedName name="wrn.Salary." hidden="1">{"Salary",#N/A,FALSE,"A"}</definedName>
    <definedName name="wrn.Short._.Print." localSheetId="23" hidden="1">{#N/A,#N/A,FALSE,"Cover";#N/A,#N/A,FALSE,"Stack";#N/A,#N/A,FALSE,"Cost S";#N/A,#N/A,FALSE," CF";#N/A,#N/A,FALSE,"Investor"}</definedName>
    <definedName name="wrn.Short._.Print." localSheetId="18" hidden="1">{#N/A,#N/A,FALSE,"Cover";#N/A,#N/A,FALSE,"Stack";#N/A,#N/A,FALSE,"Cost S";#N/A,#N/A,FALSE," CF";#N/A,#N/A,FALSE,"Investor"}</definedName>
    <definedName name="wrn.Short._.Print." localSheetId="24" hidden="1">{#N/A,#N/A,FALSE,"Cover";#N/A,#N/A,FALSE,"Stack";#N/A,#N/A,FALSE,"Cost S";#N/A,#N/A,FALSE," CF";#N/A,#N/A,FALSE,"Investor"}</definedName>
    <definedName name="wrn.Short._.Print." hidden="1">{#N/A,#N/A,FALSE,"Cover";#N/A,#N/A,FALSE,"Stack";#N/A,#N/A,FALSE,"Cost S";#N/A,#N/A,FALSE," CF";#N/A,#N/A,FALSE,"Investor"}</definedName>
    <definedName name="wrn.situation._.complet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3" hidden="1">{"FRANKLINS",#N/A,FALSE,"budget statements";"SUSSANS",#N/A,FALSE,"budget statements";"MYER",#N/A,FALSE,"budget statements";"TARGET",#N/A,FALSE,"budget statements"}</definedName>
    <definedName name="wrn.SPECIALTIES." localSheetId="18" hidden="1">{"FRANKLINS",#N/A,FALSE,"budget statements";"SUSSANS",#N/A,FALSE,"budget statements";"MYER",#N/A,FALSE,"budget statements";"TARGET",#N/A,FALSE,"budget statements"}</definedName>
    <definedName name="wrn.SPECIALTIES." localSheetId="24"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3" hidden="1">{"GENERAL INPUT",#N/A,FALSE,"GENERAL INPUT";"PROFORMA DRAW SCHEDULE",#N/A,FALSE,"WORKSHEET";"BUDGET ALL",#N/A,FALSE,"BUDGET";"OPERATING ALL",#N/A,FALSE,"OPERATING";"DRAW ESTIMATES",#N/A,FALSE,"DRAWS";"SOURCES &amp; USES",#N/A,FALSE,"SOURCES &amp; USES"}</definedName>
    <definedName name="wrn.STANDARD." localSheetId="18" hidden="1">{"GENERAL INPUT",#N/A,FALSE,"GENERAL INPUT";"PROFORMA DRAW SCHEDULE",#N/A,FALSE,"WORKSHEET";"BUDGET ALL",#N/A,FALSE,"BUDGET";"OPERATING ALL",#N/A,FALSE,"OPERATING";"DRAW ESTIMATES",#N/A,FALSE,"DRAWS";"SOURCES &amp; USES",#N/A,FALSE,"SOURCES &amp; USES"}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3" hidden="1">{"Franklins",#N/A,FALSE,"budget statements";"MYER",#N/A,FALSE,"budget statements";"Sussans",#N/A,FALSE,"budget statements";"Target",#N/A,FALSE,"budget statements";"TYPECEXCLLT",#N/A,FALSE,"budget statements";"typecwithlt",#N/A,FALSE,"budget statements"}</definedName>
    <definedName name="wrn.STATEMENTS." localSheetId="18" hidden="1">{"Franklins",#N/A,FALSE,"budget statements";"MYER",#N/A,FALSE,"budget statements";"Sussans",#N/A,FALSE,"budget statements";"Target",#N/A,FALSE,"budget statements";"TYPECEXCLLT",#N/A,FALSE,"budget statements";"typecwithlt",#N/A,FALSE,"budget statements"}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3" hidden="1">{"OnCost Summ",#N/A,FALSE,"A";"Sal Summ",#N/A,FALSE,"A"}</definedName>
    <definedName name="wrn.summ." localSheetId="18" hidden="1">{"OnCost Summ",#N/A,FALSE,"A";"Sal Summ",#N/A,FALSE,"A"}</definedName>
    <definedName name="wrn.summ." localSheetId="24" hidden="1">{"OnCost Summ",#N/A,FALSE,"A";"Sal Summ",#N/A,FALSE,"A"}</definedName>
    <definedName name="wrn.summ." hidden="1">{"OnCost Summ",#N/A,FALSE,"A";"Sal Summ",#N/A,FALSE,"A"}</definedName>
    <definedName name="wrn.Summary." localSheetId="23" hidden="1">{#N/A,#N/A,FALSE,"Summary"}</definedName>
    <definedName name="wrn.Summary." localSheetId="18" hidden="1">{#N/A,#N/A,FALSE,"Summary"}</definedName>
    <definedName name="wrn.Summary." localSheetId="24" hidden="1">{#N/A,#N/A,FALSE,"Summary"}</definedName>
    <definedName name="wrn.Summary." hidden="1">{#N/A,#N/A,FALSE,"Summary"}</definedName>
    <definedName name="wrn.Summary._.Budget." localSheetId="23" hidden="1">{"Summary LTF and Feasibility",#N/A,FALSE,"Summary Profit";"LTF and Feasibility",#N/A,FALSE,"Expense"}</definedName>
    <definedName name="wrn.Summary._.Budget." localSheetId="18" hidden="1">{"Summary LTF and Feasibility",#N/A,FALSE,"Summary Profit";"LTF and Feasibility",#N/A,FALSE,"Expense"}</definedName>
    <definedName name="wrn.Summary._.Budget." localSheetId="24"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3" hidden="1">{"Summary Excluding DHC",#N/A,FALSE,"SUMMARY"}</definedName>
    <definedName name="wrn.Summary._.Excluding._.DHC." localSheetId="18" hidden="1">{"Summary Excluding DHC",#N/A,FALSE,"SUMMARY"}</definedName>
    <definedName name="wrn.Summary._.Excluding._.DHC." localSheetId="24" hidden="1">{"Summary Excluding DHC",#N/A,FALSE,"SUMMARY"}</definedName>
    <definedName name="wrn.Summary._.Excluding._.DHC." hidden="1">{"Summary Excluding DHC",#N/A,FALSE,"SUMMARY"}</definedName>
    <definedName name="wrn.Summary._.Including._.DHC." localSheetId="23" hidden="1">{"Summary Including DHC",#N/A,FALSE,"SUMMARY"}</definedName>
    <definedName name="wrn.Summary._.Including._.DHC." localSheetId="18" hidden="1">{"Summary Including DHC",#N/A,FALSE,"SUMMARY"}</definedName>
    <definedName name="wrn.Summary._.Including._.DHC." localSheetId="24" hidden="1">{"Summary Including DHC",#N/A,FALSE,"SUMMARY"}</definedName>
    <definedName name="wrn.Summary._.Including._.DHC." hidden="1">{"Summary Including DHC",#N/A,FALSE,"SUMMARY"}</definedName>
    <definedName name="wrn.Summary._.Overview." localSheetId="23" hidden="1">{#N/A,#N/A,FALSE,"OVERVIEW"}</definedName>
    <definedName name="wrn.Summary._.Overview." localSheetId="18" hidden="1">{#N/A,#N/A,FALSE,"OVERVIEW"}</definedName>
    <definedName name="wrn.Summary._.Overview." localSheetId="24" hidden="1">{#N/A,#N/A,FALSE,"OVERVIEW"}</definedName>
    <definedName name="wrn.Summary._.Overview." hidden="1">{#N/A,#N/A,FALSE,"OVERVIEW"}</definedName>
    <definedName name="wrn.Summary._1" localSheetId="23" hidden="1">{#N/A,#N/A,FALSE,"Summary"}</definedName>
    <definedName name="wrn.Summary._1" localSheetId="18" hidden="1">{#N/A,#N/A,FALSE,"Summary"}</definedName>
    <definedName name="wrn.Summary._1" localSheetId="24" hidden="1">{#N/A,#N/A,FALSE,"Summary"}</definedName>
    <definedName name="wrn.Summary._1" hidden="1">{#N/A,#N/A,FALSE,"Summary"}</definedName>
    <definedName name="wrn.SupplyDemand." localSheetId="23" hidden="1">{"demand",#N/A,FALSE,"Sheet3";"Market Mix",#N/A,FALSE,"Sheet4";"FACILITIES",#N/A,FALSE,"Sheet5";"Occ Projection",#N/A,FALSE,"Sheet6"}</definedName>
    <definedName name="wrn.SupplyDemand." localSheetId="18" hidden="1">{"demand",#N/A,FALSE,"Sheet3";"Market Mix",#N/A,FALSE,"Sheet4";"FACILITIES",#N/A,FALSE,"Sheet5";"Occ Projection",#N/A,FALSE,"Sheet6"}</definedName>
    <definedName name="wrn.SupplyDemand." localSheetId="24"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3" hidden="1">{#N/A,"Ten Year",FALSE,"Assumptions";#N/A,"Ten Year",FALSE,"Annual Summary";#N/A,"Ten Year",FALSE,"Quarterly Summary";#N/A,#N/A,FALSE,"IRR"}</definedName>
    <definedName name="wrn.Ten._.Year." localSheetId="18" hidden="1">{#N/A,"Ten Year",FALSE,"Assumptions";#N/A,"Ten Year",FALSE,"Annual Summary";#N/A,"Ten Year",FALSE,"Quarterly Summary";#N/A,#N/A,FALSE,"IRR"}</definedName>
    <definedName name="wrn.Ten._.Year." localSheetId="24"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3" hidden="1">{#N/A,#N/A,FALSE,"TENANTS"}</definedName>
    <definedName name="wrn.Tenants." localSheetId="18" hidden="1">{#N/A,#N/A,FALSE,"TENANTS"}</definedName>
    <definedName name="wrn.Tenants." localSheetId="24" hidden="1">{#N/A,#N/A,FALSE,"TENANTS"}</definedName>
    <definedName name="wrn.Tenants." hidden="1">{#N/A,#N/A,FALSE,"TENANTS"}</definedName>
    <definedName name="wrn.Trial._.Balance." localSheetId="23" hidden="1">{#N/A,#N/A,TRUE,"constb"}</definedName>
    <definedName name="wrn.Trial._.Balance." localSheetId="18" hidden="1">{#N/A,#N/A,TRUE,"constb"}</definedName>
    <definedName name="wrn.Trial._.Balance." localSheetId="24" hidden="1">{#N/A,#N/A,TRUE,"constb"}</definedName>
    <definedName name="wrn.Trial._.Balance." hidden="1">{#N/A,#N/A,TRUE,"constb"}</definedName>
    <definedName name="wrn.t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3" hidden="1">{"rtn",#N/A,FALSE,"RTN";"tables",#N/A,FALSE,"RTN";"cf",#N/A,FALSE,"CF";"stats",#N/A,FALSE,"Stats";"prop",#N/A,FALSE,"Prop"}</definedName>
    <definedName name="wrn.Tycon._.Model." localSheetId="18" hidden="1">{"rtn",#N/A,FALSE,"RTN";"tables",#N/A,FALSE,"RTN";"cf",#N/A,FALSE,"CF";"stats",#N/A,FALSE,"Stats";"prop",#N/A,FALSE,"Prop"}</definedName>
    <definedName name="wrn.Tycon._.Model." localSheetId="24" hidden="1">{"rtn",#N/A,FALSE,"RTN";"tables",#N/A,FALSE,"RTN";"cf",#N/A,FALSE,"CF";"stats",#N/A,FALSE,"Stats";"prop",#N/A,FALSE,"Prop"}</definedName>
    <definedName name="wrn.Tycon._.Model." hidden="1">{"rtn",#N/A,FALSE,"RTN";"tables",#N/A,FALSE,"RTN";"cf",#N/A,FALSE,"CF";"stats",#N/A,FALSE,"Stats";"prop",#N/A,FALSE,"Prop"}</definedName>
    <definedName name="wrn.UNIONGAS94TAXRETURN."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3" hidden="1">{#N/A,#N/A,FALSE,"VacancyBud"}</definedName>
    <definedName name="wrn.Vacancy._.Budget." localSheetId="18" hidden="1">{#N/A,#N/A,FALSE,"VacancyBud"}</definedName>
    <definedName name="wrn.Vacancy._.Budget." localSheetId="24" hidden="1">{#N/A,#N/A,FALSE,"VacancyBud"}</definedName>
    <definedName name="wrn.Vacancy._.Budget." hidden="1">{#N/A,#N/A,FALSE,"VacancyBud"}</definedName>
    <definedName name="wrn.Vacancy._.FCast." localSheetId="23" hidden="1">{#N/A,#N/A,FALSE,"VacancyFCast"}</definedName>
    <definedName name="wrn.Vacancy._.FCast." localSheetId="18" hidden="1">{#N/A,#N/A,FALSE,"VacancyFCast"}</definedName>
    <definedName name="wrn.Vacancy._.FCast." localSheetId="24" hidden="1">{#N/A,#N/A,FALSE,"VacancyFCast"}</definedName>
    <definedName name="wrn.Vacancy._.FCast." hidden="1">{#N/A,#N/A,FALSE,"VacancyFCast"}</definedName>
    <definedName name="wrn.Wage._.Hours." localSheetId="23" hidden="1">{"Wage.Hours",#N/A,FALSE,"Wages"}</definedName>
    <definedName name="wrn.Wage._.Hours." localSheetId="18" hidden="1">{"Wage.Hours",#N/A,FALSE,"Wages"}</definedName>
    <definedName name="wrn.Wage._.Hours." localSheetId="24" hidden="1">{"Wage.Hours",#N/A,FALSE,"Wages"}</definedName>
    <definedName name="wrn.Wage._.Hours." hidden="1">{"Wage.Hours",#N/A,FALSE,"Wages"}</definedName>
    <definedName name="wrn.Wages._.Budget._.Detailed." localSheetId="23" hidden="1">{"Wages.Detail",#N/A,FALSE,"Wages"}</definedName>
    <definedName name="wrn.Wages._.Budget._.Detailed." localSheetId="18" hidden="1">{"Wages.Detail",#N/A,FALSE,"Wages"}</definedName>
    <definedName name="wrn.Wages._.Budget._.Detailed." localSheetId="24" hidden="1">{"Wages.Detail",#N/A,FALSE,"Wages"}</definedName>
    <definedName name="wrn.Wages._.Budget._.Detailed." hidden="1">{"Wages.Detail",#N/A,FALSE,"Wages"}</definedName>
    <definedName name="wrn.Wages._.On._.Cost." localSheetId="23" hidden="1">{"Wages.On.Costs",#N/A,FALSE,"Wages"}</definedName>
    <definedName name="wrn.Wages._.On._.Cost." localSheetId="18" hidden="1">{"Wages.On.Costs",#N/A,FALSE,"Wages"}</definedName>
    <definedName name="wrn.Wages._.On._.Cost." localSheetId="24" hidden="1">{"Wages.On.Costs",#N/A,FALSE,"Wages"}</definedName>
    <definedName name="wrn.Wages._.On._.Cost." hidden="1">{"Wages.On.Costs",#N/A,FALSE,"Wages"}</definedName>
    <definedName name="wrn.Wages._.On._.Costs." localSheetId="23" hidden="1">{"Wages.On.Costs",#N/A,FALSE,"Wages"}</definedName>
    <definedName name="wrn.Wages._.On._.Costs." localSheetId="18" hidden="1">{"Wages.On.Costs",#N/A,FALSE,"Wages"}</definedName>
    <definedName name="wrn.Wages._.On._.Costs." localSheetId="24" hidden="1">{"Wages.On.Costs",#N/A,FALSE,"Wages"}</definedName>
    <definedName name="wrn.Wages._.On._.Costs." hidden="1">{"Wages.On.Costs",#N/A,FALSE,"Wages"}</definedName>
    <definedName name="wrn.Wages._.Summary." localSheetId="23" hidden="1">{"Wage.Summ",#N/A,FALSE,"Wages"}</definedName>
    <definedName name="wrn.Wages._.Summary." localSheetId="18" hidden="1">{"Wage.Summ",#N/A,FALSE,"Wages"}</definedName>
    <definedName name="wrn.Wages._.Summary." localSheetId="24" hidden="1">{"Wage.Summ",#N/A,FALSE,"Wages"}</definedName>
    <definedName name="wrn.Wages._.Summary." hidden="1">{"Wage.Summ",#N/A,FALSE,"Wages"}</definedName>
    <definedName name="wrn.Working._.Party._.List." localSheetId="23" hidden="1">{#N/A,#N/A,FALSE,"Working List"}</definedName>
    <definedName name="wrn.Working._.Party._.List." localSheetId="18" hidden="1">{#N/A,#N/A,FALSE,"Working List"}</definedName>
    <definedName name="wrn.Working._.Party._.List." localSheetId="24" hidden="1">{#N/A,#N/A,FALSE,"Working List"}</definedName>
    <definedName name="wrn.Working._.Party._.List." hidden="1">{#N/A,#N/A,FALSE,"Working List"}</definedName>
    <definedName name="wrn.Y차._.종합." localSheetId="23" hidden="1">{#N/A,#N/A,TRUE,"Y생산";#N/A,#N/A,TRUE,"Y판매";#N/A,#N/A,TRUE,"Y총물량";#N/A,#N/A,TRUE,"Y능력";#N/A,#N/A,TRUE,"YKD"}</definedName>
    <definedName name="wrn.Y차._.종합." localSheetId="18" hidden="1">{#N/A,#N/A,TRUE,"Y생산";#N/A,#N/A,TRUE,"Y판매";#N/A,#N/A,TRUE,"Y총물량";#N/A,#N/A,TRUE,"Y능력";#N/A,#N/A,TRUE,"YKD"}</definedName>
    <definedName name="wrn.Y차._.종합." localSheetId="24" hidden="1">{#N/A,#N/A,TRUE,"Y생산";#N/A,#N/A,TRUE,"Y판매";#N/A,#N/A,TRUE,"Y총물량";#N/A,#N/A,TRUE,"Y능력";#N/A,#N/A,TRUE,"YKD"}</definedName>
    <definedName name="wrn.Y차._.종합." hidden="1">{#N/A,#N/A,TRUE,"Y생산";#N/A,#N/A,TRUE,"Y판매";#N/A,#N/A,TRUE,"Y총물량";#N/A,#N/A,TRUE,"Y능력";#N/A,#N/A,TRUE,"YKD"}</definedName>
    <definedName name="wrn.ｱﾛｰ." localSheetId="23" hidden="1">{"Actual",#N/A,FALSE,"(価格)";"Market",#N/A,FALSE,"(価格)";"Plan",#N/A,FALSE,"(価格)"}</definedName>
    <definedName name="wrn.ｱﾛｰ." localSheetId="18" hidden="1">{"Actual",#N/A,FALSE,"(価格)";"Market",#N/A,FALSE,"(価格)";"Plan",#N/A,FALSE,"(価格)"}</definedName>
    <definedName name="wrn.ｱﾛｰ." localSheetId="24" hidden="1">{"Actual",#N/A,FALSE,"(価格)";"Market",#N/A,FALSE,"(価格)";"Plan",#N/A,FALSE,"(価格)"}</definedName>
    <definedName name="wrn.ｱﾛｰ." hidden="1">{"Actual",#N/A,FALSE,"(価格)";"Market",#N/A,FALSE,"(価格)";"Plan",#N/A,FALSE,"(価格)"}</definedName>
    <definedName name="wrn.ｹﾝﾄ." localSheetId="23" hidden="1">{"ｹﾝﾄ（M)",#N/A,FALSE,"収支・日割";"ｹﾝﾄ（RD)",#N/A,FALSE,"収支・日割";"ｹﾝﾄ（PMC)",#N/A,FALSE,"収支・日割"}</definedName>
    <definedName name="wrn.ｹﾝﾄ." localSheetId="18" hidden="1">{"ｹﾝﾄ（M)",#N/A,FALSE,"収支・日割";"ｹﾝﾄ（RD)",#N/A,FALSE,"収支・日割";"ｹﾝﾄ（PMC)",#N/A,FALSE,"収支・日割"}</definedName>
    <definedName name="wrn.ｹﾝﾄ." localSheetId="24"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3" hidden="1">{"賃貸事例比較法",#N/A,FALSE,"Sheet2";"賃貸条件",#N/A,FALSE,"Sheet2"}</definedName>
    <definedName name="wrn.テスト." localSheetId="18" hidden="1">{"賃貸事例比較法",#N/A,FALSE,"Sheet2";"賃貸条件",#N/A,FALSE,"Sheet2"}</definedName>
    <definedName name="wrn.テスト." localSheetId="24" hidden="1">{"賃貸事例比較法",#N/A,FALSE,"Sheet2";"賃貸条件",#N/A,FALSE,"Sheet2"}</definedName>
    <definedName name="wrn.テスト." hidden="1">{"賃貸事例比較法",#N/A,FALSE,"Sheet2";"賃貸条件",#N/A,FALSE,"Sheet2"}</definedName>
    <definedName name="wrn.レポート." localSheetId="23" hidden="1">{"報告書",#N/A,FALSE,"報告書";"承諾書",#N/A,FALSE,"承認書"}</definedName>
    <definedName name="wrn.レポート." localSheetId="18" hidden="1">{"報告書",#N/A,FALSE,"報告書";"承諾書",#N/A,FALSE,"承認書"}</definedName>
    <definedName name="wrn.レポート." localSheetId="24" hidden="1">{"報告書",#N/A,FALSE,"報告書";"承諾書",#N/A,FALSE,"承認書"}</definedName>
    <definedName name="wrn.レポート." hidden="1">{"報告書",#N/A,FALSE,"報告書";"承諾書",#N/A,FALSE,"承認書"}</definedName>
    <definedName name="wrn.간단한세무조정계산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3" hidden="1">{#N/A,#N/A,TRUE,"1호 과표세액";#N/A,#N/A,TRUE,"6호 첨부(익)";#N/A,#N/A,TRUE,"6-3호 퇴충";#N/A,#N/A,TRUE,"PL";#N/A,#N/A,TRUE,"BS";#N/A,#N/A,TRUE,"RE";#N/A,#N/A,TRUE,"표지"}</definedName>
    <definedName name="wrn.간단한세무조정계산서._1" localSheetId="18" hidden="1">{#N/A,#N/A,TRUE,"1호 과표세액";#N/A,#N/A,TRUE,"6호 첨부(익)";#N/A,#N/A,TRUE,"6-3호 퇴충";#N/A,#N/A,TRUE,"PL";#N/A,#N/A,TRUE,"BS";#N/A,#N/A,TRUE,"RE";#N/A,#N/A,TRUE,"표지"}</definedName>
    <definedName name="wrn.간단한세무조정계산서._1" localSheetId="24"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3" hidden="1">{#N/A,#N/A,FALSE,"buildings"}</definedName>
    <definedName name="wrn.감가." localSheetId="18" hidden="1">{#N/A,#N/A,FALSE,"buildings"}</definedName>
    <definedName name="wrn.감가." localSheetId="24" hidden="1">{#N/A,#N/A,FALSE,"buildings"}</definedName>
    <definedName name="wrn.감가." hidden="1">{#N/A,#N/A,FALSE,"buildings"}</definedName>
    <definedName name="wrn.건물기초."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3" hidden="1">{#N/A,#N/A,FALSE,"골재소요량";#N/A,#N/A,FALSE,"골재소요량"}</definedName>
    <definedName name="wrn.골재소요량." localSheetId="18" hidden="1">{#N/A,#N/A,FALSE,"골재소요량";#N/A,#N/A,FALSE,"골재소요량"}</definedName>
    <definedName name="wrn.골재소요량." localSheetId="24" hidden="1">{#N/A,#N/A,FALSE,"골재소요량";#N/A,#N/A,FALSE,"골재소요량"}</definedName>
    <definedName name="wrn.골재소요량." hidden="1">{#N/A,#N/A,FALSE,"골재소요량";#N/A,#N/A,FALSE,"골재소요량"}</definedName>
    <definedName name="wrn.관섬예산."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3" hidden="1">{#N/A,#N/A,FALSE,"기초사업정보(1)";#N/A,#N/A,FALSE,"기초사업정보(2)";#N/A,#N/A,FALSE,"기초사업정보(3)";#N/A,#N/A,FALSE,"QG1 분양률 리스크 평가";#N/A,#N/A,FALSE,"QG1 주요 추가 리스크 평가";#N/A,#N/A,FALSE,"QG1 전략과 종합"}</definedName>
    <definedName name="wrn.광명._.장미." localSheetId="18" hidden="1">{#N/A,#N/A,FALSE,"기초사업정보(1)";#N/A,#N/A,FALSE,"기초사업정보(2)";#N/A,#N/A,FALSE,"기초사업정보(3)";#N/A,#N/A,FALSE,"QG1 분양률 리스크 평가";#N/A,#N/A,FALSE,"QG1 주요 추가 리스크 평가";#N/A,#N/A,FALSE,"QG1 전략과 종합"}</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3" hidden="1">{#N/A,#N/A,FALSE,"전력간선"}</definedName>
    <definedName name="wrn.교육청." localSheetId="18" hidden="1">{#N/A,#N/A,FALSE,"전력간선"}</definedName>
    <definedName name="wrn.교육청." localSheetId="24" hidden="1">{#N/A,#N/A,FALSE,"전력간선"}</definedName>
    <definedName name="wrn.교육청." hidden="1">{#N/A,#N/A,FALSE,"전력간선"}</definedName>
    <definedName name="wrn.구조2." localSheetId="23" hidden="1">{#N/A,#N/A,FALSE,"구조2"}</definedName>
    <definedName name="wrn.구조2." localSheetId="18" hidden="1">{#N/A,#N/A,FALSE,"구조2"}</definedName>
    <definedName name="wrn.구조2." localSheetId="24" hidden="1">{#N/A,#N/A,FALSE,"구조2"}</definedName>
    <definedName name="wrn.구조2." hidden="1">{#N/A,#N/A,FALSE,"구조2"}</definedName>
    <definedName name="wrn.단가표지." localSheetId="23" hidden="1">{#N/A,#N/A,FALSE,"단가표지"}</definedName>
    <definedName name="wrn.단가표지." localSheetId="18" hidden="1">{#N/A,#N/A,FALSE,"단가표지"}</definedName>
    <definedName name="wrn.단가표지." localSheetId="24" hidden="1">{#N/A,#N/A,FALSE,"단가표지"}</definedName>
    <definedName name="wrn.단가표지." hidden="1">{#N/A,#N/A,FALSE,"단가표지"}</definedName>
    <definedName name="wrn.대차._.대조표." localSheetId="23" hidden="1">{#N/A,#N/A,TRUE,"대 차 대 조 표"}</definedName>
    <definedName name="wrn.대차._.대조표." localSheetId="18" hidden="1">{#N/A,#N/A,TRUE,"대 차 대 조 표"}</definedName>
    <definedName name="wrn.대차._.대조표." localSheetId="24" hidden="1">{#N/A,#N/A,TRUE,"대 차 대 조 표"}</definedName>
    <definedName name="wrn.대차._.대조표." hidden="1">{#N/A,#N/A,TRUE,"대 차 대 조 표"}</definedName>
    <definedName name="wrn.대차._.대조표._1" localSheetId="23" hidden="1">{#N/A,#N/A,TRUE,"대 차 대 조 표"}</definedName>
    <definedName name="wrn.대차._.대조표._1" localSheetId="18" hidden="1">{#N/A,#N/A,TRUE,"대 차 대 조 표"}</definedName>
    <definedName name="wrn.대차._.대조표._1" localSheetId="24" hidden="1">{#N/A,#N/A,TRUE,"대 차 대 조 표"}</definedName>
    <definedName name="wrn.대차._.대조표._1" hidden="1">{#N/A,#N/A,TRUE,"대 차 대 조 표"}</definedName>
    <definedName name="wrn.리스크시트." localSheetId="23" hidden="1">{#N/A,#N/A,FALSE,"QG1 분양률 리스크 평가";#N/A,#N/A,FALSE,"QG1 주요 추가 리스크 평가";#N/A,#N/A,FALSE,"분양률";#N/A,#N/A,FALSE,"Back-up";#N/A,#N/A,FALSE,"QG1 전략과 종합"}</definedName>
    <definedName name="wrn.리스크시트." localSheetId="18" hidden="1">{#N/A,#N/A,FALSE,"QG1 분양률 리스크 평가";#N/A,#N/A,FALSE,"QG1 주요 추가 리스크 평가";#N/A,#N/A,FALSE,"분양률";#N/A,#N/A,FALSE,"Back-up";#N/A,#N/A,FALSE,"QG1 전략과 종합"}</definedName>
    <definedName name="wrn.리스크시트." localSheetId="24"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3" hidden="1">{#N/A,#N/A,FALSE,"배수1"}</definedName>
    <definedName name="wrn.배수1." localSheetId="18" hidden="1">{#N/A,#N/A,FALSE,"배수1"}</definedName>
    <definedName name="wrn.배수1." localSheetId="24" hidden="1">{#N/A,#N/A,FALSE,"배수1"}</definedName>
    <definedName name="wrn.배수1." hidden="1">{#N/A,#N/A,FALSE,"배수1"}</definedName>
    <definedName name="wrn.배수2." localSheetId="23" hidden="1">{#N/A,#N/A,FALSE,"배수2"}</definedName>
    <definedName name="wrn.배수2." localSheetId="18" hidden="1">{#N/A,#N/A,FALSE,"배수2"}</definedName>
    <definedName name="wrn.배수2." localSheetId="24" hidden="1">{#N/A,#N/A,FALSE,"배수2"}</definedName>
    <definedName name="wrn.배수2." hidden="1">{#N/A,#N/A,FALSE,"배수2"}</definedName>
    <definedName name="wrn.보고서." localSheetId="23" hidden="1">{#N/A,#N/A,FALSE,"Sheet1";#N/A,#N/A,FALSE,"기평9607"}</definedName>
    <definedName name="wrn.보고서." localSheetId="18" hidden="1">{#N/A,#N/A,FALSE,"Sheet1";#N/A,#N/A,FALSE,"기평9607"}</definedName>
    <definedName name="wrn.보고서." localSheetId="24" hidden="1">{#N/A,#N/A,FALSE,"Sheet1";#N/A,#N/A,FALSE,"기평9607"}</definedName>
    <definedName name="wrn.보고서." hidden="1">{#N/A,#N/A,FALSE,"Sheet1";#N/A,#N/A,FALSE,"기평9607"}</definedName>
    <definedName name="wrn.報告書." localSheetId="23" hidden="1">{"報告書",#N/A,FALSE,"報告書";"承諾書",#N/A,FALSE,"工事承諾書";#N/A,#N/A,FALSE,"承認書"}</definedName>
    <definedName name="wrn.報告書." localSheetId="18" hidden="1">{"報告書",#N/A,FALSE,"報告書";"承諾書",#N/A,FALSE,"工事承諾書";#N/A,#N/A,FALSE,"承認書"}</definedName>
    <definedName name="wrn.報告書." localSheetId="24" hidden="1">{"報告書",#N/A,FALSE,"報告書";"承諾書",#N/A,FALSE,"工事承諾書";#N/A,#N/A,FALSE,"承認書"}</definedName>
    <definedName name="wrn.報告書." hidden="1">{"報告書",#N/A,FALSE,"報告書";"承諾書",#N/A,FALSE,"工事承諾書";#N/A,#N/A,FALSE,"承認書"}</definedName>
    <definedName name="wrn.보고서._1" localSheetId="23" hidden="1">{#N/A,#N/A,FALSE,"Sheet1";#N/A,#N/A,FALSE,"기평9607"}</definedName>
    <definedName name="wrn.보고서._1" localSheetId="18" hidden="1">{#N/A,#N/A,FALSE,"Sheet1";#N/A,#N/A,FALSE,"기평9607"}</definedName>
    <definedName name="wrn.보고서._1" localSheetId="24" hidden="1">{#N/A,#N/A,FALSE,"Sheet1";#N/A,#N/A,FALSE,"기평9607"}</definedName>
    <definedName name="wrn.보고서._1" hidden="1">{#N/A,#N/A,FALSE,"Sheet1";#N/A,#N/A,FALSE,"기평9607"}</definedName>
    <definedName name="wrn.부대1." localSheetId="23" hidden="1">{#N/A,#N/A,FALSE,"부대1"}</definedName>
    <definedName name="wrn.부대1." localSheetId="18" hidden="1">{#N/A,#N/A,FALSE,"부대1"}</definedName>
    <definedName name="wrn.부대1." localSheetId="24" hidden="1">{#N/A,#N/A,FALSE,"부대1"}</definedName>
    <definedName name="wrn.부대1." hidden="1">{#N/A,#N/A,FALSE,"부대1"}</definedName>
    <definedName name="wrn.부대2." localSheetId="23" hidden="1">{#N/A,#N/A,FALSE,"부대2"}</definedName>
    <definedName name="wrn.부대2." localSheetId="18" hidden="1">{#N/A,#N/A,FALSE,"부대2"}</definedName>
    <definedName name="wrn.부대2." localSheetId="24" hidden="1">{#N/A,#N/A,FALSE,"부대2"}</definedName>
    <definedName name="wrn.부대2." hidden="1">{#N/A,#N/A,FALSE,"부대2"}</definedName>
    <definedName name="wrn.부문손익." localSheetId="23" hidden="1">{#N/A,#N/A,FALSE,"매출이익"}</definedName>
    <definedName name="wrn.부문손익." localSheetId="18" hidden="1">{#N/A,#N/A,FALSE,"매출이익"}</definedName>
    <definedName name="wrn.부문손익." localSheetId="24" hidden="1">{#N/A,#N/A,FALSE,"매출이익"}</definedName>
    <definedName name="wrn.부문손익." hidden="1">{#N/A,#N/A,FALSE,"매출이익"}</definedName>
    <definedName name="wrn.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3" hidden="1">{#N/A,#N/A,FALSE,"MV管理";#N/A,#N/A,FALSE,"MG管理";#N/A,#N/A,FALSE,"SC管理"}</definedName>
    <definedName name="wrn.部署別管理." localSheetId="18" hidden="1">{#N/A,#N/A,FALSE,"MV管理";#N/A,#N/A,FALSE,"MG管理";#N/A,#N/A,FALSE,"SC管理"}</definedName>
    <definedName name="wrn.部署別管理." localSheetId="24" hidden="1">{#N/A,#N/A,FALSE,"MV管理";#N/A,#N/A,FALSE,"MG管理";#N/A,#N/A,FALSE,"SC管理"}</definedName>
    <definedName name="wrn.部署別管理." hidden="1">{#N/A,#N/A,FALSE,"MV管理";#N/A,#N/A,FALSE,"MG管理";#N/A,#N/A,FALSE,"SC管理"}</definedName>
    <definedName name="wrn.部署別管理・会計・." localSheetId="23" hidden="1">{#N/A,#N/A,FALSE,"MV管理(会計)";#N/A,#N/A,FALSE,"MG管理(会計)";#N/A,#N/A,FALSE,"SC管理(会計)"}</definedName>
    <definedName name="wrn.部署別管理・会計・." localSheetId="18" hidden="1">{#N/A,#N/A,FALSE,"MV管理(会計)";#N/A,#N/A,FALSE,"MG管理(会計)";#N/A,#N/A,FALSE,"SC管理(会計)"}</definedName>
    <definedName name="wrn.部署別管理・会計・." localSheetId="24" hidden="1">{#N/A,#N/A,FALSE,"MV管理(会計)";#N/A,#N/A,FALSE,"MG管理(会計)";#N/A,#N/A,FALSE,"SC管理(会計)"}</definedName>
    <definedName name="wrn.部署別管理・会計・." hidden="1">{#N/A,#N/A,FALSE,"MV管理(会計)";#N/A,#N/A,FALSE,"MG管理(会計)";#N/A,#N/A,FALSE,"SC管理(会計)"}</definedName>
    <definedName name="wrn.部署別損益・会計・." localSheetId="23" hidden="1">{#N/A,#N/A,FALSE,"MV損益(会計)";#N/A,#N/A,FALSE,"MG損益(会計)";#N/A,#N/A,FALSE,"SC損益(会計)"}</definedName>
    <definedName name="wrn.部署別損益・会計・." localSheetId="18" hidden="1">{#N/A,#N/A,FALSE,"MV損益(会計)";#N/A,#N/A,FALSE,"MG損益(会計)";#N/A,#N/A,FALSE,"SC損益(会計)"}</definedName>
    <definedName name="wrn.部署別損益・会計・." localSheetId="24" hidden="1">{#N/A,#N/A,FALSE,"MV損益(会計)";#N/A,#N/A,FALSE,"MG損益(会計)";#N/A,#N/A,FALSE,"SC損益(会計)"}</definedName>
    <definedName name="wrn.部署別損益・会計・." hidden="1">{#N/A,#N/A,FALSE,"MV損益(会計)";#N/A,#N/A,FALSE,"MG損益(会計)";#N/A,#N/A,FALSE,"SC損益(会計)"}</definedName>
    <definedName name="wrn.部署別財務." localSheetId="23" hidden="1">{#N/A,#N/A,FALSE,"MV損益";#N/A,#N/A,FALSE,"MG損益";#N/A,#N/A,FALSE,"SC損益"}</definedName>
    <definedName name="wrn.部署別財務." localSheetId="18" hidden="1">{#N/A,#N/A,FALSE,"MV損益";#N/A,#N/A,FALSE,"MG損益";#N/A,#N/A,FALSE,"SC損益"}</definedName>
    <definedName name="wrn.部署別財務." localSheetId="24" hidden="1">{#N/A,#N/A,FALSE,"MV損益";#N/A,#N/A,FALSE,"MG損益";#N/A,#N/A,FALSE,"SC損益"}</definedName>
    <definedName name="wrn.部署別財務." hidden="1">{#N/A,#N/A,FALSE,"MV損益";#N/A,#N/A,FALSE,"MG損益";#N/A,#N/A,FALSE,"SC損益"}</definedName>
    <definedName name="wrn.事業別帳票印刷." localSheetId="23" hidden="1">{#N/A,#N/A,FALSE,"財務PL";#N/A,#N/A,FALSE,"管理PL";#N/A,#N/A,FALSE,"経費明細";#N/A,#N/A,FALSE,"ﾃﾞｰﾀ整理表"}</definedName>
    <definedName name="wrn.事業別帳票印刷." localSheetId="18" hidden="1">{#N/A,#N/A,FALSE,"財務PL";#N/A,#N/A,FALSE,"管理PL";#N/A,#N/A,FALSE,"経費明細";#N/A,#N/A,FALSE,"ﾃﾞｰﾀ整理表"}</definedName>
    <definedName name="wrn.事業別帳票印刷." localSheetId="24"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3" hidden="1">{#N/A,#N/A,FALSE,"속도"}</definedName>
    <definedName name="wrn.속도." localSheetId="18" hidden="1">{#N/A,#N/A,FALSE,"속도"}</definedName>
    <definedName name="wrn.속도." localSheetId="24" hidden="1">{#N/A,#N/A,FALSE,"속도"}</definedName>
    <definedName name="wrn.속도." hidden="1">{#N/A,#N/A,FALSE,"속도"}</definedName>
    <definedName name="wrn.손익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3" hidden="1">{#N/A,#N/A,TRUE,"토적및재료집계";#N/A,#N/A,TRUE,"토적및재료집계";#N/A,#N/A,TRUE,"단위량"}</definedName>
    <definedName name="wrn.신용찬." localSheetId="18" hidden="1">{#N/A,#N/A,TRUE,"토적및재료집계";#N/A,#N/A,TRUE,"토적및재료집계";#N/A,#N/A,TRUE,"단위량"}</definedName>
    <definedName name="wrn.신용찬." localSheetId="24" hidden="1">{#N/A,#N/A,TRUE,"토적및재료집계";#N/A,#N/A,TRUE,"토적및재료집계";#N/A,#N/A,TRUE,"단위량"}</definedName>
    <definedName name="wrn.신용찬." hidden="1">{#N/A,#N/A,TRUE,"토적및재료집계";#N/A,#N/A,TRUE,"토적및재료집계";#N/A,#N/A,TRUE,"단위량"}</definedName>
    <definedName name="wrn.업체별._.견적공사명." localSheetId="23" hidden="1">{"SJ - 기본 보기",#N/A,FALSE,"공사별 외주견적"}</definedName>
    <definedName name="wrn.업체별._.견적공사명." localSheetId="18" hidden="1">{"SJ - 기본 보기",#N/A,FALSE,"공사별 외주견적"}</definedName>
    <definedName name="wrn.업체별._.견적공사명." localSheetId="24" hidden="1">{"SJ - 기본 보기",#N/A,FALSE,"공사별 외주견적"}</definedName>
    <definedName name="wrn.업체별._.견적공사명." hidden="1">{"SJ - 기본 보기",#N/A,FALSE,"공사별 외주견적"}</definedName>
    <definedName name="wrn.업체선정보고서." localSheetId="23"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8"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3"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8"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3" hidden="1">{#N/A,#N/A,FALSE,"운반시간"}</definedName>
    <definedName name="wrn.운반시간." localSheetId="18" hidden="1">{#N/A,#N/A,FALSE,"운반시간"}</definedName>
    <definedName name="wrn.운반시간." localSheetId="24" hidden="1">{#N/A,#N/A,FALSE,"운반시간"}</definedName>
    <definedName name="wrn.운반시간." hidden="1">{#N/A,#N/A,FALSE,"운반시간"}</definedName>
    <definedName name="wrn.월보." localSheetId="23" hidden="1">{#N/A,#N/A,FALSE,"표지";#N/A,#N/A,FALSE,"생산현황";#N/A,#N/A,FALSE,"중량수율";#N/A,#N/A,FALSE,"길이수율";#N/A,#N/A,FALSE,"노동";#N/A,#N/A,FALSE,"기기";#N/A,#N/A,FALSE,"기기가동(누계)";#N/A,#N/A,FALSE,"자소원료"}</definedName>
    <definedName name="wrn.월보." localSheetId="18" hidden="1">{#N/A,#N/A,FALSE,"표지";#N/A,#N/A,FALSE,"생산현황";#N/A,#N/A,FALSE,"중량수율";#N/A,#N/A,FALSE,"길이수율";#N/A,#N/A,FALSE,"노동";#N/A,#N/A,FALSE,"기기";#N/A,#N/A,FALSE,"기기가동(누계)";#N/A,#N/A,FALSE,"자소원료"}</definedName>
    <definedName name="wrn.월보." localSheetId="24"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3" hidden="1">{#N/A,#N/A,FALSE,"월추정감가상각비";#N/A,#N/A,FALSE,"main_prog"}</definedName>
    <definedName name="wrn.월추정." localSheetId="18" hidden="1">{#N/A,#N/A,FALSE,"월추정감가상각비";#N/A,#N/A,FALSE,"main_prog"}</definedName>
    <definedName name="wrn.월추정." localSheetId="24" hidden="1">{#N/A,#N/A,FALSE,"월추정감가상각비";#N/A,#N/A,FALSE,"main_prog"}</definedName>
    <definedName name="wrn.월추정." hidden="1">{#N/A,#N/A,FALSE,"월추정감가상각비";#N/A,#N/A,FALSE,"main_prog"}</definedName>
    <definedName name="wrn.이력서._.자기소개서." localSheetId="23" hidden="1">{#N/A,#N/A,FALSE,"이력서&amp;자기소개서"}</definedName>
    <definedName name="wrn.이력서._.자기소개서." localSheetId="18" hidden="1">{#N/A,#N/A,FALSE,"이력서&amp;자기소개서"}</definedName>
    <definedName name="wrn.이력서._.자기소개서." localSheetId="24" hidden="1">{#N/A,#N/A,FALSE,"이력서&amp;자기소개서"}</definedName>
    <definedName name="wrn.이력서._.자기소개서." hidden="1">{#N/A,#N/A,FALSE,"이력서&amp;자기소개서"}</definedName>
    <definedName name="wrn.이력서._.자기소개서._1" localSheetId="23" hidden="1">{#N/A,#N/A,FALSE,"이력서&amp;자기소개서"}</definedName>
    <definedName name="wrn.이력서._.자기소개서._1" localSheetId="18" hidden="1">{#N/A,#N/A,FALSE,"이력서&amp;자기소개서"}</definedName>
    <definedName name="wrn.이력서._.자기소개서._1" localSheetId="24" hidden="1">{#N/A,#N/A,FALSE,"이력서&amp;자기소개서"}</definedName>
    <definedName name="wrn.이력서._.자기소개서._1" hidden="1">{#N/A,#N/A,FALSE,"이력서&amp;자기소개서"}</definedName>
    <definedName name="wrn.이정표." localSheetId="23" hidden="1">{#N/A,#N/A,FALSE,"이정표"}</definedName>
    <definedName name="wrn.이정표." localSheetId="18" hidden="1">{#N/A,#N/A,FALSE,"이정표"}</definedName>
    <definedName name="wrn.이정표." localSheetId="24" hidden="1">{#N/A,#N/A,FALSE,"이정표"}</definedName>
    <definedName name="wrn.이정표." hidden="1">{#N/A,#N/A,FALSE,"이정표"}</definedName>
    <definedName name="wrn.이태원._.철근." localSheetId="23" hidden="1">{#N/A,#N/A,FALSE,"이태원철근"}</definedName>
    <definedName name="wrn.이태원._.철근." localSheetId="18" hidden="1">{#N/A,#N/A,FALSE,"이태원철근"}</definedName>
    <definedName name="wrn.이태원._.철근." localSheetId="24" hidden="1">{#N/A,#N/A,FALSE,"이태원철근"}</definedName>
    <definedName name="wrn.이태원._.철근." hidden="1">{#N/A,#N/A,FALSE,"이태원철근"}</definedName>
    <definedName name="wrn.帳票全部印刷." localSheetId="23"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8"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3" hidden="1">{"PL2",#N/A,FALSE,"PL";"CH1",#N/A,FALSE,"현금흐름표";"CH2",#N/A,FALSE,"현금흐름표";"BS1",#N/A,FALSE,"BS";"CO",#N/A,FALSE,"매출원가";"BS2",#N/A,FALSE,"BS"}</definedName>
    <definedName name="wrn.재무제표." localSheetId="18" hidden="1">{"PL2",#N/A,FALSE,"PL";"CH1",#N/A,FALSE,"현금흐름표";"CH2",#N/A,FALSE,"현금흐름표";"BS1",#N/A,FALSE,"BS";"CO",#N/A,FALSE,"매출원가";"BS2",#N/A,FALSE,"BS"}</definedName>
    <definedName name="wrn.재무제표." localSheetId="24"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3" hidden="1">{#N/A,#N/A,FALSE,"수지분석";#N/A,#N/A,FALSE,"수지분석"}</definedName>
    <definedName name="wrn.전라남도._.나주시._.신일아파트._.수지분석." localSheetId="18" hidden="1">{#N/A,#N/A,FALSE,"수지분석";#N/A,#N/A,FALSE,"수지분석"}</definedName>
    <definedName name="wrn.전라남도._.나주시._.신일아파트._.수지분석." localSheetId="24" hidden="1">{#N/A,#N/A,FALSE,"수지분석";#N/A,#N/A,FALSE,"수지분석"}</definedName>
    <definedName name="wrn.전라남도._.나주시._.신일아파트._.수지분석." hidden="1">{#N/A,#N/A,FALSE,"수지분석";#N/A,#N/A,FALSE,"수지분석"}</definedName>
    <definedName name="wrn.전부인쇄." localSheetId="23" hidden="1">{#N/A,#N/A,FALSE,"단축1";#N/A,#N/A,FALSE,"단축2";#N/A,#N/A,FALSE,"단축3";#N/A,#N/A,FALSE,"장축";#N/A,#N/A,FALSE,"4WD"}</definedName>
    <definedName name="wrn.전부인쇄." localSheetId="18" hidden="1">{#N/A,#N/A,FALSE,"단축1";#N/A,#N/A,FALSE,"단축2";#N/A,#N/A,FALSE,"단축3";#N/A,#N/A,FALSE,"장축";#N/A,#N/A,FALSE,"4WD"}</definedName>
    <definedName name="wrn.전부인쇄." localSheetId="24" hidden="1">{#N/A,#N/A,FALSE,"단축1";#N/A,#N/A,FALSE,"단축2";#N/A,#N/A,FALSE,"단축3";#N/A,#N/A,FALSE,"장축";#N/A,#N/A,FALSE,"4WD"}</definedName>
    <definedName name="wrn.전부인쇄." hidden="1">{#N/A,#N/A,FALSE,"단축1";#N/A,#N/A,FALSE,"단축2";#N/A,#N/A,FALSE,"단축3";#N/A,#N/A,FALSE,"장축";#N/A,#N/A,FALSE,"4WD"}</definedName>
    <definedName name="wrn.전사예산."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3"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8"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3"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8"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3"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8"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3" hidden="1">{#N/A,#N/A,FALSE,"조골재"}</definedName>
    <definedName name="wrn.조골재." localSheetId="18" hidden="1">{#N/A,#N/A,FALSE,"조골재"}</definedName>
    <definedName name="wrn.조골재." localSheetId="24" hidden="1">{#N/A,#N/A,FALSE,"조골재"}</definedName>
    <definedName name="wrn.조골재." hidden="1">{#N/A,#N/A,FALSE,"조골재"}</definedName>
    <definedName name="wrn.조흥94세무."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3" hidden="1">{#N/A,#N/A,TRUE,"일정"}</definedName>
    <definedName name="wrn.주간._.보고." localSheetId="18" hidden="1">{#N/A,#N/A,TRUE,"일정"}</definedName>
    <definedName name="wrn.주간._.보고." localSheetId="24" hidden="1">{#N/A,#N/A,TRUE,"일정"}</definedName>
    <definedName name="wrn.주간._.보고." hidden="1">{#N/A,#N/A,TRUE,"일정"}</definedName>
    <definedName name="wrn.중공업군포견적서." localSheetId="23" hidden="1">{#N/A,#N/A,FALSE,"견적갑지";#N/A,#N/A,FALSE,"총괄표";#N/A,#N/A,FALSE,"철골공사";#N/A,#N/A,FALSE,"토목공사";#N/A,#N/A,FALSE,"판넬전기공사"}</definedName>
    <definedName name="wrn.중공업군포견적서." localSheetId="18" hidden="1">{#N/A,#N/A,FALSE,"견적갑지";#N/A,#N/A,FALSE,"총괄표";#N/A,#N/A,FALSE,"철골공사";#N/A,#N/A,FALSE,"토목공사";#N/A,#N/A,FALSE,"판넬전기공사"}</definedName>
    <definedName name="wrn.중공업군포견적서." localSheetId="24"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3" hidden="1">{#N/A,#N/A,FALSE,"１";#N/A,#N/A,FALSE,"２";#N/A,#N/A,FALSE,"３";#N/A,#N/A,FALSE,"４"}</definedName>
    <definedName name="wrn.重説." localSheetId="18" hidden="1">{#N/A,#N/A,FALSE,"１";#N/A,#N/A,FALSE,"２";#N/A,#N/A,FALSE,"３";#N/A,#N/A,FALSE,"４"}</definedName>
    <definedName name="wrn.重説." localSheetId="24" hidden="1">{#N/A,#N/A,FALSE,"１";#N/A,#N/A,FALSE,"２";#N/A,#N/A,FALSE,"３";#N/A,#N/A,FALSE,"４"}</definedName>
    <definedName name="wrn.重説." hidden="1">{#N/A,#N/A,FALSE,"１";#N/A,#N/A,FALSE,"２";#N/A,#N/A,FALSE,"３";#N/A,#N/A,FALSE,"４"}</definedName>
    <definedName name="wrn.직원교육." localSheetId="23"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8"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3" hidden="1">{#N/A,#N/A,TRUE,"사업자등록증 (2)"}</definedName>
    <definedName name="wrn.진흥." localSheetId="18" hidden="1">{#N/A,#N/A,TRUE,"사업자등록증 (2)"}</definedName>
    <definedName name="wrn.진흥." localSheetId="24" hidden="1">{#N/A,#N/A,TRUE,"사업자등록증 (2)"}</definedName>
    <definedName name="wrn.진흥." hidden="1">{#N/A,#N/A,TRUE,"사업자등록증 (2)"}</definedName>
    <definedName name="wrn.집기비품보고서._.품목별._.및._.현장별._.집계표." localSheetId="23" hidden="1">{#N/A,#N/A,FALSE,"Sheet6"}</definedName>
    <definedName name="wrn.집기비품보고서._.품목별._.및._.현장별._.집계표." localSheetId="18" hidden="1">{#N/A,#N/A,FALSE,"Sheet6"}</definedName>
    <definedName name="wrn.집기비품보고서._.품목별._.및._.현장별._.집계표." localSheetId="24" hidden="1">{#N/A,#N/A,FALSE,"Sheet6"}</definedName>
    <definedName name="wrn.집기비품보고서._.품목별._.및._.현장별._.집계표." hidden="1">{#N/A,#N/A,FALSE,"Sheet6"}</definedName>
    <definedName name="wrn.채권채무조회서." localSheetId="23" hidden="1">{#N/A,#N/A,FALSE,"채권채무";#N/A,#N/A,FALSE,"control sheet"}</definedName>
    <definedName name="wrn.채권채무조회서." localSheetId="18" hidden="1">{#N/A,#N/A,FALSE,"채권채무";#N/A,#N/A,FALSE,"control sheet"}</definedName>
    <definedName name="wrn.채권채무조회서." localSheetId="24" hidden="1">{#N/A,#N/A,FALSE,"채권채무";#N/A,#N/A,FALSE,"control sheet"}</definedName>
    <definedName name="wrn.채권채무조회서." hidden="1">{#N/A,#N/A,FALSE,"채권채무";#N/A,#N/A,FALSE,"control sheet"}</definedName>
    <definedName name="wrn.千代田地価調査収益価格." localSheetId="23" hidden="1">{#N/A,#N/A,FALSE,"5-1";#N/A,#N/A,FALSE,"5-2";#N/A,#N/A,FALSE,"5-6";#N/A,#N/A,FALSE,"5-9";#N/A,#N/A,FALSE,"5-15";#N/A,#N/A,FALSE,"5-32";#N/A,#N/A,FALSE,"5-34"}</definedName>
    <definedName name="wrn.千代田地価調査収益価格." localSheetId="18" hidden="1">{#N/A,#N/A,FALSE,"5-1";#N/A,#N/A,FALSE,"5-2";#N/A,#N/A,FALSE,"5-6";#N/A,#N/A,FALSE,"5-9";#N/A,#N/A,FALSE,"5-15";#N/A,#N/A,FALSE,"5-32";#N/A,#N/A,FALSE,"5-34"}</definedName>
    <definedName name="wrn.千代田地価調査収益価格." localSheetId="24"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3" hidden="1">{#N/A,#N/A,FALSE,"구조1"}</definedName>
    <definedName name="wrn.토공1." localSheetId="18" hidden="1">{#N/A,#N/A,FALSE,"구조1"}</definedName>
    <definedName name="wrn.토공1." localSheetId="24" hidden="1">{#N/A,#N/A,FALSE,"구조1"}</definedName>
    <definedName name="wrn.토공1." hidden="1">{#N/A,#N/A,FALSE,"구조1"}</definedName>
    <definedName name="wrn.토공2." localSheetId="23" hidden="1">{#N/A,#N/A,FALSE,"토공2"}</definedName>
    <definedName name="wrn.토공2." localSheetId="18" hidden="1">{#N/A,#N/A,FALSE,"토공2"}</definedName>
    <definedName name="wrn.토공2." localSheetId="24" hidden="1">{#N/A,#N/A,FALSE,"토공2"}</definedName>
    <definedName name="wrn.토공2." hidden="1">{#N/A,#N/A,FALSE,"토공2"}</definedName>
    <definedName name="wrn.통신지." localSheetId="23" hidden="1">{#N/A,#N/A,FALSE,"기안지";#N/A,#N/A,FALSE,"통신지"}</definedName>
    <definedName name="wrn.통신지." localSheetId="18" hidden="1">{#N/A,#N/A,FALSE,"기안지";#N/A,#N/A,FALSE,"통신지"}</definedName>
    <definedName name="wrn.통신지." localSheetId="24" hidden="1">{#N/A,#N/A,FALSE,"기안지";#N/A,#N/A,FALSE,"통신지"}</definedName>
    <definedName name="wrn.통신지." hidden="1">{#N/A,#N/A,FALSE,"기안지";#N/A,#N/A,FALSE,"통신지"}</definedName>
    <definedName name="wrn.판유리예산."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3"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8"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3" hidden="1">{#N/A,#N/A,FALSE,"포장1";#N/A,#N/A,FALSE,"포장1"}</definedName>
    <definedName name="wrn.포장1." localSheetId="18" hidden="1">{#N/A,#N/A,FALSE,"포장1";#N/A,#N/A,FALSE,"포장1"}</definedName>
    <definedName name="wrn.포장1." localSheetId="24" hidden="1">{#N/A,#N/A,FALSE,"포장1";#N/A,#N/A,FALSE,"포장1"}</definedName>
    <definedName name="wrn.포장1." hidden="1">{#N/A,#N/A,FALSE,"포장1";#N/A,#N/A,FALSE,"포장1"}</definedName>
    <definedName name="wrn.포장2." localSheetId="23" hidden="1">{#N/A,#N/A,FALSE,"포장2"}</definedName>
    <definedName name="wrn.포장2." localSheetId="18" hidden="1">{#N/A,#N/A,FALSE,"포장2"}</definedName>
    <definedName name="wrn.포장2." localSheetId="24" hidden="1">{#N/A,#N/A,FALSE,"포장2"}</definedName>
    <definedName name="wrn.포장2." hidden="1">{#N/A,#N/A,FALSE,"포장2"}</definedName>
    <definedName name="wrn.포장단가." localSheetId="23" hidden="1">{#N/A,#N/A,FALSE,"포장단가"}</definedName>
    <definedName name="wrn.포장단가." localSheetId="18" hidden="1">{#N/A,#N/A,FALSE,"포장단가"}</definedName>
    <definedName name="wrn.포장단가." localSheetId="24" hidden="1">{#N/A,#N/A,FALSE,"포장단가"}</definedName>
    <definedName name="wrn.포장단가." hidden="1">{#N/A,#N/A,FALSE,"포장단가"}</definedName>
    <definedName name="wrn.포항강판." localSheetId="23" hidden="1">{"현수",#N/A,FALSE,"월추정감가상각비"}</definedName>
    <definedName name="wrn.포항강판." localSheetId="18" hidden="1">{"현수",#N/A,FALSE,"월추정감가상각비"}</definedName>
    <definedName name="wrn.포항강판." localSheetId="24" hidden="1">{"현수",#N/A,FALSE,"월추정감가상각비"}</definedName>
    <definedName name="wrn.포항강판." hidden="1">{"현수",#N/A,FALSE,"월추정감가상각비"}</definedName>
    <definedName name="wrn.표지목차." localSheetId="23" hidden="1">{#N/A,#N/A,FALSE,"표지목차"}</definedName>
    <definedName name="wrn.표지목차." localSheetId="18" hidden="1">{#N/A,#N/A,FALSE,"표지목차"}</definedName>
    <definedName name="wrn.표지목차." localSheetId="24" hidden="1">{#N/A,#N/A,FALSE,"표지목차"}</definedName>
    <definedName name="wrn.표지목차." hidden="1">{#N/A,#N/A,FALSE,"표지목차"}</definedName>
    <definedName name="wrn.함영민." localSheetId="23" hidden="1">{#N/A,#N/A,FALSE,"범우구미";#N/A,#N/A,FALSE,"세한케미칼";#N/A,#N/A,FALSE,"세명화학";#N/A,#N/A,FALSE,"신영케미칼";#N/A,#N/A,FALSE,"일석상사"}</definedName>
    <definedName name="wrn.함영민." localSheetId="18" hidden="1">{#N/A,#N/A,FALSE,"범우구미";#N/A,#N/A,FALSE,"세한케미칼";#N/A,#N/A,FALSE,"세명화학";#N/A,#N/A,FALSE,"신영케미칼";#N/A,#N/A,FALSE,"일석상사"}</definedName>
    <definedName name="wrn.함영민." localSheetId="24"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3" hidden="1">{#N/A,#N/A,FALSE,"현장 NCR 분석";#N/A,#N/A,FALSE,"현장품질감사";#N/A,#N/A,FALSE,"현장품질감사"}</definedName>
    <definedName name="wrn.현장._.NCR._.분석." localSheetId="18" hidden="1">{#N/A,#N/A,FALSE,"현장 NCR 분석";#N/A,#N/A,FALSE,"현장품질감사";#N/A,#N/A,FALSE,"현장품질감사"}</definedName>
    <definedName name="wrn.현장._.NCR._.분석." localSheetId="24"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3" hidden="1">{#N/A,#N/A,FALSE,"혼합골재"}</definedName>
    <definedName name="wrn.혼합골재." localSheetId="18" hidden="1">{#N/A,#N/A,FALSE,"혼합골재"}</definedName>
    <definedName name="wrn.혼합골재." localSheetId="24" hidden="1">{#N/A,#N/A,FALSE,"혼합골재"}</definedName>
    <definedName name="wrn.혼합골재." hidden="1">{#N/A,#N/A,FALSE,"혼합골재"}</definedName>
    <definedName name="wrty" localSheetId="23" hidden="1">{"'용역비'!$A$4:$C$8"}</definedName>
    <definedName name="wrty" localSheetId="18" hidden="1">{"'용역비'!$A$4:$C$8"}</definedName>
    <definedName name="wrty" localSheetId="24" hidden="1">{"'용역비'!$A$4:$C$8"}</definedName>
    <definedName name="wrty" hidden="1">{"'용역비'!$A$4:$C$8"}</definedName>
    <definedName name="wrtyrtyrt" localSheetId="23" hidden="1">{"'용역비'!$A$4:$C$8"}</definedName>
    <definedName name="wrtyrtyrt" localSheetId="18" hidden="1">{"'용역비'!$A$4:$C$8"}</definedName>
    <definedName name="wrtyrtyrt" localSheetId="24" hidden="1">{"'용역비'!$A$4:$C$8"}</definedName>
    <definedName name="wrtyrtyrt" hidden="1">{"'용역비'!$A$4:$C$8"}</definedName>
    <definedName name="wrtywrtywr" localSheetId="23" hidden="1">{"'용역비'!$A$4:$C$8"}</definedName>
    <definedName name="wrtywrtywr" localSheetId="18" hidden="1">{"'용역비'!$A$4:$C$8"}</definedName>
    <definedName name="wrtywrtywr" localSheetId="24" hidden="1">{"'용역비'!$A$4:$C$8"}</definedName>
    <definedName name="wrtywrtywr" hidden="1">{"'용역비'!$A$4:$C$8"}</definedName>
    <definedName name="wrwr" localSheetId="23" hidden="1">{"ｹﾝﾄ（M)",#N/A,FALSE,"収支・日割";"ｹﾝﾄ（RD)",#N/A,FALSE,"収支・日割";"ｹﾝﾄ（PMC)",#N/A,FALSE,"収支・日割"}</definedName>
    <definedName name="wrwr" localSheetId="18" hidden="1">{"ｹﾝﾄ（M)",#N/A,FALSE,"収支・日割";"ｹﾝﾄ（RD)",#N/A,FALSE,"収支・日割";"ｹﾝﾄ（PMC)",#N/A,FALSE,"収支・日割"}</definedName>
    <definedName name="wrwr" localSheetId="24" hidden="1">{"ｹﾝﾄ（M)",#N/A,FALSE,"収支・日割";"ｹﾝﾄ（RD)",#N/A,FALSE,"収支・日割";"ｹﾝﾄ（PMC)",#N/A,FALSE,"収支・日割"}</definedName>
    <definedName name="wrwr" hidden="1">{"ｹﾝﾄ（M)",#N/A,FALSE,"収支・日割";"ｹﾝﾄ（RD)",#N/A,FALSE,"収支・日割";"ｹﾝﾄ（PMC)",#N/A,FALSE,"収支・日割"}</definedName>
    <definedName name="wuy" localSheetId="23" hidden="1">{"'용역비'!$A$4:$C$8"}</definedName>
    <definedName name="wuy" localSheetId="18" hidden="1">{"'용역비'!$A$4:$C$8"}</definedName>
    <definedName name="wuy" localSheetId="24" hidden="1">{"'용역비'!$A$4:$C$8"}</definedName>
    <definedName name="wuy" hidden="1">{"'용역비'!$A$4:$C$8"}</definedName>
    <definedName name="wvu.Annual._.Bgt." localSheetId="23"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8"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3"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8"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3"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8"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3"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8"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3"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8"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3"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8"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3"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8"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3"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8"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3"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8"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3"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8"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3"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8"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8"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3"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8"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3"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8"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3"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8"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3"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8"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3" hidden="1">{#N/A,#N/A,FALSE,"동부"}</definedName>
    <definedName name="ww" localSheetId="18" hidden="1">{#N/A,#N/A,FALSE,"동부"}</definedName>
    <definedName name="ww" localSheetId="24" hidden="1">{#N/A,#N/A,FALSE,"동부"}</definedName>
    <definedName name="ww" hidden="1">{#N/A,#N/A,FALSE,"동부"}</definedName>
    <definedName name="www" localSheetId="23" hidden="1">{#N/A,#N/A,FALSE,"동부"}</definedName>
    <definedName name="www" localSheetId="18" hidden="1">{#N/A,#N/A,FALSE,"동부"}</definedName>
    <definedName name="www" localSheetId="24" hidden="1">{#N/A,#N/A,FALSE,"동부"}</definedName>
    <definedName name="www" hidden="1">{#N/A,#N/A,FALSE,"동부"}</definedName>
    <definedName name="WWW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3" hidden="1">{#N/A,#N/A,TRUE,"대 차 대 조 표"}</definedName>
    <definedName name="xass" localSheetId="18" hidden="1">{#N/A,#N/A,TRUE,"대 차 대 조 표"}</definedName>
    <definedName name="xass" localSheetId="24" hidden="1">{#N/A,#N/A,TRUE,"대 차 대 조 표"}</definedName>
    <definedName name="xass" hidden="1">{#N/A,#N/A,TRUE,"대 차 대 조 표"}</definedName>
    <definedName name="xaxaswq" localSheetId="23" hidden="1">{"AnnualRentRoll",#N/A,FALSE,"RentRoll"}</definedName>
    <definedName name="xaxaswq" localSheetId="18" hidden="1">{"AnnualRentRoll",#N/A,FALSE,"RentRoll"}</definedName>
    <definedName name="xaxaswq" localSheetId="24" hidden="1">{"AnnualRentRoll",#N/A,FALSE,"RentRoll"}</definedName>
    <definedName name="xaxaswq" hidden="1">{"AnnualRentRoll",#N/A,FALSE,"RentRoll"}</definedName>
    <definedName name="xcxz" localSheetId="23" hidden="1">{"State",#N/A,FALSE,"state";"StatePM",#N/A,FALSE,"statepm";"Alpha",#N/A,FALSE,"alpha";"AlphaPM",#N/A,FALSE,"alphapm";"RGM",#N/A,FALSE,"rgm";"RGMMonth",#N/A,FALSE,"rgmpm";"Stab",#N/A,FALSE,"stab";"stabpm",#N/A,FALSE,"stabpm";"Trust",#N/A,FALSE,"trust";"TrustPM",#N/A,FALSE,"trustpm"}</definedName>
    <definedName name="xcxz" localSheetId="18" hidden="1">{"State",#N/A,FALSE,"state";"StatePM",#N/A,FALSE,"statepm";"Alpha",#N/A,FALSE,"alpha";"AlphaPM",#N/A,FALSE,"alphapm";"RGM",#N/A,FALSE,"rgm";"RGMMonth",#N/A,FALSE,"rgmpm";"Stab",#N/A,FALSE,"stab";"stabpm",#N/A,FALSE,"stabpm";"Trust",#N/A,FALSE,"trust";"TrustPM",#N/A,FALSE,"trustpm"}</definedName>
    <definedName name="xcxz" localSheetId="24"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3" hidden="1">{"AnnualRentRoll",#N/A,FALSE,"RentRoll"}</definedName>
    <definedName name="xxppo" localSheetId="18" hidden="1">{"AnnualRentRoll",#N/A,FALSE,"RentRoll"}</definedName>
    <definedName name="xxppo" localSheetId="24" hidden="1">{"AnnualRentRoll",#N/A,FALSE,"RentRoll"}</definedName>
    <definedName name="xxppo" hidden="1">{"AnnualRentRoll",#N/A,FALSE,"RentRoll"}</definedName>
    <definedName name="XXXXXX" localSheetId="23" hidden="1">{"'공사부문'!$A$6:$A$32"}</definedName>
    <definedName name="XXXXXX" localSheetId="18" hidden="1">{"'공사부문'!$A$6:$A$32"}</definedName>
    <definedName name="XXXXXX" localSheetId="24" hidden="1">{"'공사부문'!$A$6:$A$32"}</definedName>
    <definedName name="XXXXXX" hidden="1">{"'공사부문'!$A$6:$A$32"}</definedName>
    <definedName name="y" localSheetId="23" hidden="1">{"'용역비'!$A$4:$C$8"}</definedName>
    <definedName name="y" localSheetId="18" hidden="1">{"'용역비'!$A$4:$C$8"}</definedName>
    <definedName name="y" localSheetId="24" hidden="1">{"'용역비'!$A$4:$C$8"}</definedName>
    <definedName name="y" hidden="1">{"'용역비'!$A$4:$C$8"}</definedName>
    <definedName name="YFU" localSheetId="23" hidden="1">{"'용역비'!$A$4:$C$8"}</definedName>
    <definedName name="YFU" localSheetId="18" hidden="1">{"'용역비'!$A$4:$C$8"}</definedName>
    <definedName name="YFU" localSheetId="24" hidden="1">{"'용역비'!$A$4:$C$8"}</definedName>
    <definedName name="YFU" hidden="1">{"'용역비'!$A$4:$C$8"}</definedName>
    <definedName name="YL" localSheetId="23" hidden="1">{"'용역비'!$A$4:$C$8"}</definedName>
    <definedName name="YL" localSheetId="18" hidden="1">{"'용역비'!$A$4:$C$8"}</definedName>
    <definedName name="YL" localSheetId="24" hidden="1">{"'용역비'!$A$4:$C$8"}</definedName>
    <definedName name="YL" hidden="1">{"'용역비'!$A$4:$C$8"}</definedName>
    <definedName name="yt" localSheetId="23" hidden="1">{"AnnualRentRoll",#N/A,FALSE,"RentRoll"}</definedName>
    <definedName name="yt" localSheetId="18" hidden="1">{"AnnualRentRoll",#N/A,FALSE,"RentRoll"}</definedName>
    <definedName name="yt" localSheetId="24" hidden="1">{"AnnualRentRoll",#N/A,FALSE,"RentRoll"}</definedName>
    <definedName name="yt" hidden="1">{"AnnualRentRoll",#N/A,FALSE,"RentRoll"}</definedName>
    <definedName name="YTYTRYRYRYRE" localSheetId="23" hidden="1">{"BuildIn 2 Funding Assump",#N/A,FALSE,"Building Inputs";"BuildIn Capex plus Extras",#N/A,FALSE,"Building Inputs"}</definedName>
    <definedName name="YTYTRYRYRYRE" localSheetId="18" hidden="1">{"BuildIn 2 Funding Assump",#N/A,FALSE,"Building Inputs";"BuildIn Capex plus Extras",#N/A,FALSE,"Building Inputs"}</definedName>
    <definedName name="YTYTRYRYRYRE" localSheetId="24"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3" hidden="1">{"'용역비'!$A$4:$C$8"}</definedName>
    <definedName name="yu" localSheetId="18" hidden="1">{"'용역비'!$A$4:$C$8"}</definedName>
    <definedName name="yu" localSheetId="24" hidden="1">{"'용역비'!$A$4:$C$8"}</definedName>
    <definedName name="yu" hidden="1">{"'용역비'!$A$4:$C$8"}</definedName>
    <definedName name="YUK" localSheetId="23" hidden="1">{"'용역비'!$A$4:$C$8"}</definedName>
    <definedName name="YUK" localSheetId="18" hidden="1">{"'용역비'!$A$4:$C$8"}</definedName>
    <definedName name="YUK" localSheetId="24" hidden="1">{"'용역비'!$A$4:$C$8"}</definedName>
    <definedName name="YUK" hidden="1">{"'용역비'!$A$4:$C$8"}</definedName>
    <definedName name="YUKOI" localSheetId="23" hidden="1">{"'용역비'!$A$4:$C$8"}</definedName>
    <definedName name="YUKOI" localSheetId="18" hidden="1">{"'용역비'!$A$4:$C$8"}</definedName>
    <definedName name="YUKOI" localSheetId="24" hidden="1">{"'용역비'!$A$4:$C$8"}</definedName>
    <definedName name="YUKOI" hidden="1">{"'용역비'!$A$4:$C$8"}</definedName>
    <definedName name="yyy" localSheetId="23" hidden="1">{#N/A,#N/A,FALSE,"지침";#N/A,#N/A,FALSE,"환경분석";#N/A,#N/A,FALSE,"Sheet16"}</definedName>
    <definedName name="yyy" localSheetId="18" hidden="1">{#N/A,#N/A,FALSE,"지침";#N/A,#N/A,FALSE,"환경분석";#N/A,#N/A,FALSE,"Sheet16"}</definedName>
    <definedName name="yyy" localSheetId="24" hidden="1">{#N/A,#N/A,FALSE,"지침";#N/A,#N/A,FALSE,"환경분석";#N/A,#N/A,FALSE,"Sheet16"}</definedName>
    <definedName name="yyy" hidden="1">{#N/A,#N/A,FALSE,"지침";#N/A,#N/A,FALSE,"환경분석";#N/A,#N/A,FALSE,"Sheet16"}</definedName>
    <definedName name="zsd" localSheetId="23" hidden="1">{#N/A,#N/A,FALSE,"Menu";#N/A,#N/A,FALSE,"Sch A";#N/A,#N/A,FALSE,"Print Dummy";#N/A,#N/A,FALSE,"Sch B";#N/A,#N/A,FALSE,"Sch C";#N/A,#N/A,FALSE,"Sch D";#N/A,#N/A,FALSE,"Sch E";#N/A,#N/A,FALSE,"Sch F";#N/A,#N/A,FALSE,"Sch G";#N/A,#N/A,FALSE,"Sch H";#N/A,#N/A,FALSE,"Sch I";#N/A,#N/A,FALSE,"Sch J"}</definedName>
    <definedName name="zsd" localSheetId="18" hidden="1">{#N/A,#N/A,FALSE,"Menu";#N/A,#N/A,FALSE,"Sch A";#N/A,#N/A,FALSE,"Print Dummy";#N/A,#N/A,FALSE,"Sch B";#N/A,#N/A,FALSE,"Sch C";#N/A,#N/A,FALSE,"Sch D";#N/A,#N/A,FALSE,"Sch E";#N/A,#N/A,FALSE,"Sch F";#N/A,#N/A,FALSE,"Sch G";#N/A,#N/A,FALSE,"Sch H";#N/A,#N/A,FALSE,"Sch I";#N/A,#N/A,FALSE,"Sch J"}</definedName>
    <definedName name="zsd" localSheetId="24"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3" hidden="1">{"StatePM",#N/A,FALSE,"statepm";"TrustPM",#N/A,FALSE,"trustpm";"AlphaPM",#N/A,FALSE,"alphapm";"stabpm",#N/A,FALSE,"stabpm";"RGMMonth",#N/A,FALSE,"rgmpm"}</definedName>
    <definedName name="zxcvzxcvz" localSheetId="18" hidden="1">{"StatePM",#N/A,FALSE,"statepm";"TrustPM",#N/A,FALSE,"trustpm";"AlphaPM",#N/A,FALSE,"alphapm";"stabpm",#N/A,FALSE,"stabpm";"RGMMonth",#N/A,FALSE,"rgmpm"}</definedName>
    <definedName name="zxcvzxcvz" localSheetId="24"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3" hidden="1">{"Alpha",#N/A,FALSE,"alpha";"AlphaPM",#N/A,FALSE,"alphapm"}</definedName>
    <definedName name="zxcvzxv" localSheetId="18" hidden="1">{"Alpha",#N/A,FALSE,"alpha";"AlphaPM",#N/A,FALSE,"alphapm"}</definedName>
    <definedName name="zxcvzxv" localSheetId="24" hidden="1">{"Alpha",#N/A,FALSE,"alpha";"AlphaPM",#N/A,FALSE,"alphapm"}</definedName>
    <definedName name="zxcvzxv" hidden="1">{"Alpha",#N/A,FALSE,"alpha";"AlphaPM",#N/A,FALSE,"alphapm"}</definedName>
    <definedName name="zxsa" localSheetId="23" hidden="1">{"AnnualRentRoll",#N/A,FALSE,"RentRoll"}</definedName>
    <definedName name="zxsa" localSheetId="18" hidden="1">{"AnnualRentRoll",#N/A,FALSE,"RentRoll"}</definedName>
    <definedName name="zxsa" localSheetId="24" hidden="1">{"AnnualRentRoll",#N/A,FALSE,"RentRoll"}</definedName>
    <definedName name="zxsa" hidden="1">{"AnnualRentRoll",#N/A,FALSE,"RentRoll"}</definedName>
    <definedName name="zz" localSheetId="23" hidden="1">{#N/A,#N/A,TRUE,"대 차 대 조 표"}</definedName>
    <definedName name="zz" localSheetId="18" hidden="1">{#N/A,#N/A,TRUE,"대 차 대 조 표"}</definedName>
    <definedName name="zz" localSheetId="24" hidden="1">{#N/A,#N/A,TRUE,"대 차 대 조 표"}</definedName>
    <definedName name="zz" hidden="1">{#N/A,#N/A,TRUE,"대 차 대 조 표"}</definedName>
    <definedName name="ZZZ"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3" hidden="1">{#N/A,#N/A,FALSE,"財務PL";#N/A,#N/A,FALSE,"管理PL";#N/A,#N/A,FALSE,"経費明細";#N/A,#N/A,FALSE,"ﾃﾞｰﾀ整理表"}</definedName>
    <definedName name="あああ" localSheetId="18" hidden="1">{#N/A,#N/A,FALSE,"財務PL";#N/A,#N/A,FALSE,"管理PL";#N/A,#N/A,FALSE,"経費明細";#N/A,#N/A,FALSE,"ﾃﾞｰﾀ整理表"}</definedName>
    <definedName name="あああ" localSheetId="24" hidden="1">{#N/A,#N/A,FALSE,"財務PL";#N/A,#N/A,FALSE,"管理PL";#N/A,#N/A,FALSE,"経費明細";#N/A,#N/A,FALSE,"ﾃﾞｰﾀ整理表"}</definedName>
    <definedName name="あああ" hidden="1">{#N/A,#N/A,FALSE,"財務PL";#N/A,#N/A,FALSE,"管理PL";#N/A,#N/A,FALSE,"経費明細";#N/A,#N/A,FALSE,"ﾃﾞｰﾀ整理表"}</definedName>
    <definedName name="ああああ" localSheetId="23" hidden="1">{"REC1",#N/A,FALSE,"Focus";"REC2",#N/A,FALSE,"Focus";"REC3",#N/A,FALSE,"Focus";"REC4",#N/A,FALSE,"Focus"}</definedName>
    <definedName name="ああああ" localSheetId="18" hidden="1">{"REC1",#N/A,FALSE,"Focus";"REC2",#N/A,FALSE,"Focus";"REC3",#N/A,FALSE,"Focus";"REC4",#N/A,FALSE,"Focus"}</definedName>
    <definedName name="ああああ" localSheetId="24" hidden="1">{"REC1",#N/A,FALSE,"Focus";"REC2",#N/A,FALSE,"Focus";"REC3",#N/A,FALSE,"Focus";"REC4",#N/A,FALSE,"Focus"}</definedName>
    <definedName name="ああああ" hidden="1">{"REC1",#N/A,FALSE,"Focus";"REC2",#N/A,FALSE,"Focus";"REC3",#N/A,FALSE,"Focus";"REC4",#N/A,FALSE,"Focus"}</definedName>
    <definedName name="ああああああ" localSheetId="23" hidden="1">{#N/A,#N/A,FALSE,"Categories";#N/A,#N/A,FALSE,"MRi INCH";#N/A,#N/A,FALSE,"COA Usage";#N/A,#N/A,FALSE,"Detail"}</definedName>
    <definedName name="ああああああ" localSheetId="18" hidden="1">{#N/A,#N/A,FALSE,"Categories";#N/A,#N/A,FALSE,"MRi INCH";#N/A,#N/A,FALSE,"COA Usage";#N/A,#N/A,FALSE,"Detail"}</definedName>
    <definedName name="ああああああ" localSheetId="24"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3" hidden="1">{"AnnualRentRoll",#N/A,FALSE,"RentRoll"}</definedName>
    <definedName name="あああああああああああああああああああああああ" localSheetId="18" hidden="1">{"AnnualRentRoll",#N/A,FALSE,"RentRoll"}</definedName>
    <definedName name="あああああああああああああああああああああああ" localSheetId="24"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3" hidden="1">{"AnnualRentRoll",#N/A,FALSE,"RentRoll"}</definedName>
    <definedName name="あああああああああああああああああああああああああああ" localSheetId="18"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hidden="1">{"AnnualRentRoll",#N/A,FALSE,"RentRoll"}</definedName>
    <definedName name="い１" localSheetId="23" hidden="1">{"Actual",#N/A,FALSE,"(価格)";"Market",#N/A,FALSE,"(価格)";"Plan",#N/A,FALSE,"(価格)"}</definedName>
    <definedName name="い１" localSheetId="18" hidden="1">{"Actual",#N/A,FALSE,"(価格)";"Market",#N/A,FALSE,"(価格)";"Plan",#N/A,FALSE,"(価格)"}</definedName>
    <definedName name="い１" localSheetId="24" hidden="1">{"Actual",#N/A,FALSE,"(価格)";"Market",#N/A,FALSE,"(価格)";"Plan",#N/A,FALSE,"(価格)"}</definedName>
    <definedName name="い１" hidden="1">{"Actual",#N/A,FALSE,"(価格)";"Market",#N/A,FALSE,"(価格)";"Plan",#N/A,FALSE,"(価格)"}</definedName>
    <definedName name="い２" localSheetId="23" hidden="1">{#N/A,#N/A,FALSE,"１";#N/A,#N/A,FALSE,"２";#N/A,#N/A,FALSE,"３";#N/A,#N/A,FALSE,"４"}</definedName>
    <definedName name="い２" localSheetId="18" hidden="1">{#N/A,#N/A,FALSE,"１";#N/A,#N/A,FALSE,"２";#N/A,#N/A,FALSE,"３";#N/A,#N/A,FALSE,"４"}</definedName>
    <definedName name="い２" localSheetId="24" hidden="1">{#N/A,#N/A,FALSE,"１";#N/A,#N/A,FALSE,"２";#N/A,#N/A,FALSE,"３";#N/A,#N/A,FALSE,"４"}</definedName>
    <definedName name="い２" hidden="1">{#N/A,#N/A,FALSE,"１";#N/A,#N/A,FALSE,"２";#N/A,#N/A,FALSE,"３";#N/A,#N/A,FALSE,"４"}</definedName>
    <definedName name="い３" localSheetId="23" hidden="1">{"ｹﾝﾄ（M)",#N/A,FALSE,"収支・日割";"ｹﾝﾄ（RD)",#N/A,FALSE,"収支・日割";"ｹﾝﾄ（PMC)",#N/A,FALSE,"収支・日割"}</definedName>
    <definedName name="い３" localSheetId="18" hidden="1">{"ｹﾝﾄ（M)",#N/A,FALSE,"収支・日割";"ｹﾝﾄ（RD)",#N/A,FALSE,"収支・日割";"ｹﾝﾄ（PMC)",#N/A,FALSE,"収支・日割"}</definedName>
    <definedName name="い３" localSheetId="24" hidden="1">{"ｹﾝﾄ（M)",#N/A,FALSE,"収支・日割";"ｹﾝﾄ（RD)",#N/A,FALSE,"収支・日割";"ｹﾝﾄ（PMC)",#N/A,FALSE,"収支・日割"}</definedName>
    <definedName name="い３" hidden="1">{"ｹﾝﾄ（M)",#N/A,FALSE,"収支・日割";"ｹﾝﾄ（RD)",#N/A,FALSE,"収支・日割";"ｹﾝﾄ（PMC)",#N/A,FALSE,"収支・日割"}</definedName>
    <definedName name="お" localSheetId="23" hidden="1">{"summary",#N/A,TRUE,"Focus";"interestexpense",#N/A,TRUE,"Focus";"interestincome",#N/A,TRUE,"Focus";"dividend",#N/A,TRUE,"Focus";"feeincome",#N/A,TRUE,"Focus";"gain",#N/A,TRUE,"Focus"}</definedName>
    <definedName name="お" localSheetId="18" hidden="1">{"summary",#N/A,TRUE,"Focus";"interestexpense",#N/A,TRUE,"Focus";"interestincome",#N/A,TRUE,"Focus";"dividend",#N/A,TRUE,"Focus";"feeincome",#N/A,TRUE,"Focus";"gain",#N/A,TRUE,"Focus"}</definedName>
    <definedName name="お" localSheetId="24"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3" hidden="1">{#N/A,#N/A,FALSE,"OperatingAssumptions"}</definedName>
    <definedName name="ス田ッキング" localSheetId="18" hidden="1">{#N/A,#N/A,FALSE,"OperatingAssumptions"}</definedName>
    <definedName name="ス田ッキング" localSheetId="24" hidden="1">{#N/A,#N/A,FALSE,"OperatingAssumptions"}</definedName>
    <definedName name="ス田ッキング" hidden="1">{#N/A,#N/A,FALSE,"OperatingAssumptions"}</definedName>
    <definedName name="せ" localSheetId="23" hidden="1">{"AnnualRentRoll",#N/A,FALSE,"RentRoll"}</definedName>
    <definedName name="せ" localSheetId="18" hidden="1">{"AnnualRentRoll",#N/A,FALSE,"RentRoll"}</definedName>
    <definedName name="せ" localSheetId="24" hidden="1">{"AnnualRentRoll",#N/A,FALSE,"RentRoll"}</definedName>
    <definedName name="せ" hidden="1">{"AnnualRentRoll",#N/A,FALSE,"RentRoll"}</definedName>
    <definedName name="た" localSheetId="23" hidden="1">{"gain",#N/A,FALSE,"Focus"}</definedName>
    <definedName name="た" localSheetId="18" hidden="1">{"gain",#N/A,FALSE,"Focus"}</definedName>
    <definedName name="た" localSheetId="24" hidden="1">{"gain",#N/A,FALSE,"Focus"}</definedName>
    <definedName name="た" hidden="1">{"gain",#N/A,FALSE,"Focus"}</definedName>
    <definedName name="っｄ" localSheetId="23" hidden="1">{"'今後解決すべき点'!$M$26","'今後解決すべき点'!$A$1:$M$55"}</definedName>
    <definedName name="っｄ" localSheetId="18" hidden="1">{"'今後解決すべき点'!$M$26","'今後解決すべき点'!$A$1:$M$55"}</definedName>
    <definedName name="っｄ" localSheetId="24" hidden="1">{"'今後解決すべき点'!$M$26","'今後解決すべき点'!$A$1:$M$55"}</definedName>
    <definedName name="っｄ" hidden="1">{"'今後解決すべき点'!$M$26","'今後解決すべき点'!$A$1:$M$55"}</definedName>
    <definedName name="ナイス小石川" localSheetId="23" hidden="1">{"ｹﾝﾄ（M)",#N/A,FALSE,"収支・日割";"ｹﾝﾄ（RD)",#N/A,FALSE,"収支・日割";"ｹﾝﾄ（PMC)",#N/A,FALSE,"収支・日割"}</definedName>
    <definedName name="ナイス小石川" localSheetId="18" hidden="1">{"ｹﾝﾄ（M)",#N/A,FALSE,"収支・日割";"ｹﾝﾄ（RD)",#N/A,FALSE,"収支・日割";"ｹﾝﾄ（PMC)",#N/A,FALSE,"収支・日割"}</definedName>
    <definedName name="ナイス小石川" localSheetId="24"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3" hidden="1">{"p",#N/A,FALSE,"Sheet1";"p 2",#N/A,FALSE,"Sheet1";"p 3",#N/A,FALSE,"Sheet1"}</definedName>
    <definedName name="なにわサマリー" localSheetId="18" hidden="1">{"p",#N/A,FALSE,"Sheet1";"p 2",#N/A,FALSE,"Sheet1";"p 3",#N/A,FALSE,"Sheet1"}</definedName>
    <definedName name="なにわサマリー" localSheetId="24" hidden="1">{"p",#N/A,FALSE,"Sheet1";"p 2",#N/A,FALSE,"Sheet1";"p 3",#N/A,FALSE,"Sheet1"}</definedName>
    <definedName name="なにわサマリー" hidden="1">{"p",#N/A,FALSE,"Sheet1";"p 2",#N/A,FALSE,"Sheet1";"p 3",#N/A,FALSE,"Sheet1"}</definedName>
    <definedName name="マスターリース賃料" localSheetId="23" hidden="1">{"賃貸事例比較法",#N/A,FALSE,"Sheet2";"賃貸条件",#N/A,FALSE,"Sheet2"}</definedName>
    <definedName name="マスターリース賃料" localSheetId="18" hidden="1">{"賃貸事例比較法",#N/A,FALSE,"Sheet2";"賃貸条件",#N/A,FALSE,"Sheet2"}</definedName>
    <definedName name="マスターリース賃料" localSheetId="24" hidden="1">{"賃貸事例比較法",#N/A,FALSE,"Sheet2";"賃貸条件",#N/A,FALSE,"Sheet2"}</definedName>
    <definedName name="マスターリース賃料" hidden="1">{"賃貸事例比較法",#N/A,FALSE,"Sheet2";"賃貸条件",#N/A,FALSE,"Sheet2"}</definedName>
    <definedName name="メール" localSheetId="23" hidden="1">{"MonthlyRentRoll",#N/A,FALSE,"RentRoll"}</definedName>
    <definedName name="メール" localSheetId="18" hidden="1">{"MonthlyRentRoll",#N/A,FALSE,"RentRoll"}</definedName>
    <definedName name="メール" localSheetId="24" hidden="1">{"MonthlyRentRoll",#N/A,FALSE,"RentRoll"}</definedName>
    <definedName name="メール" hidden="1">{"MonthlyRentRoll",#N/A,FALSE,"RentRoll"}</definedName>
    <definedName name="や" localSheetId="23" hidden="1">{#N/A,#N/A,FALSE,"１";#N/A,#N/A,FALSE,"２";#N/A,#N/A,FALSE,"３";#N/A,#N/A,FALSE,"４"}</definedName>
    <definedName name="や" localSheetId="18" hidden="1">{#N/A,#N/A,FALSE,"１";#N/A,#N/A,FALSE,"２";#N/A,#N/A,FALSE,"３";#N/A,#N/A,FALSE,"４"}</definedName>
    <definedName name="や" localSheetId="24" hidden="1">{#N/A,#N/A,FALSE,"１";#N/A,#N/A,FALSE,"２";#N/A,#N/A,FALSE,"３";#N/A,#N/A,FALSE,"４"}</definedName>
    <definedName name="や" hidden="1">{#N/A,#N/A,FALSE,"１";#N/A,#N/A,FALSE,"２";#N/A,#N/A,FALSE,"３";#N/A,#N/A,FALSE,"４"}</definedName>
    <definedName name="り" localSheetId="23" hidden="1">{#N/A,#N/A,FALSE,"１";#N/A,#N/A,FALSE,"２";#N/A,#N/A,FALSE,"３";#N/A,#N/A,FALSE,"４"}</definedName>
    <definedName name="り" localSheetId="18" hidden="1">{#N/A,#N/A,FALSE,"１";#N/A,#N/A,FALSE,"２";#N/A,#N/A,FALSE,"３";#N/A,#N/A,FALSE,"４"}</definedName>
    <definedName name="り" localSheetId="24" hidden="1">{#N/A,#N/A,FALSE,"１";#N/A,#N/A,FALSE,"２";#N/A,#N/A,FALSE,"３";#N/A,#N/A,FALSE,"４"}</definedName>
    <definedName name="り" hidden="1">{#N/A,#N/A,FALSE,"１";#N/A,#N/A,FALSE,"２";#N/A,#N/A,FALSE,"３";#N/A,#N/A,FALSE,"４"}</definedName>
    <definedName name="リース" localSheetId="23" hidden="1">{"Actual",#N/A,FALSE,"(価格)";"Market",#N/A,FALSE,"(価格)";"Plan",#N/A,FALSE,"(価格)"}</definedName>
    <definedName name="リース" localSheetId="18" hidden="1">{"Actual",#N/A,FALSE,"(価格)";"Market",#N/A,FALSE,"(価格)";"Plan",#N/A,FALSE,"(価格)"}</definedName>
    <definedName name="リース" localSheetId="24" hidden="1">{"Actual",#N/A,FALSE,"(価格)";"Market",#N/A,FALSE,"(価格)";"Plan",#N/A,FALSE,"(価格)"}</definedName>
    <definedName name="リース" hidden="1">{"Actual",#N/A,FALSE,"(価格)";"Market",#N/A,FALSE,"(価格)";"Plan",#N/A,FALSE,"(価格)"}</definedName>
    <definedName name="れ" localSheetId="23" hidden="1">{"REC1",#N/A,FALSE,"Focus";"REC2",#N/A,FALSE,"Focus";"REC3",#N/A,FALSE,"Focus";"REC4",#N/A,FALSE,"Focus"}</definedName>
    <definedName name="れ" localSheetId="18" hidden="1">{"REC1",#N/A,FALSE,"Focus";"REC2",#N/A,FALSE,"Focus";"REC3",#N/A,FALSE,"Focus";"REC4",#N/A,FALSE,"Focus"}</definedName>
    <definedName name="れ" localSheetId="24" hidden="1">{"REC1",#N/A,FALSE,"Focus";"REC2",#N/A,FALSE,"Focus";"REC3",#N/A,FALSE,"Focus";"REC4",#N/A,FALSE,"Focus"}</definedName>
    <definedName name="れ" hidden="1">{"REC1",#N/A,FALSE,"Focus";"REC2",#N/A,FALSE,"Focus";"REC3",#N/A,FALSE,"Focus";"REC4",#N/A,FALSE,"Focus"}</definedName>
    <definedName name="れああｇれ" localSheetId="23" hidden="1">{#N/A,#N/A,FALSE,"5-1";#N/A,#N/A,FALSE,"5-2";#N/A,#N/A,FALSE,"5-6";#N/A,#N/A,FALSE,"5-9";#N/A,#N/A,FALSE,"5-15";#N/A,#N/A,FALSE,"5-32";#N/A,#N/A,FALSE,"5-34"}</definedName>
    <definedName name="れああｇれ" localSheetId="18" hidden="1">{#N/A,#N/A,FALSE,"5-1";#N/A,#N/A,FALSE,"5-2";#N/A,#N/A,FALSE,"5-6";#N/A,#N/A,FALSE,"5-9";#N/A,#N/A,FALSE,"5-15";#N/A,#N/A,FALSE,"5-32";#N/A,#N/A,FALSE,"5-34"}</definedName>
    <definedName name="れああｇれ" localSheetId="24" hidden="1">{#N/A,#N/A,FALSE,"5-1";#N/A,#N/A,FALSE,"5-2";#N/A,#N/A,FALSE,"5-6";#N/A,#N/A,FALSE,"5-9";#N/A,#N/A,FALSE,"5-15";#N/A,#N/A,FALSE,"5-32";#N/A,#N/A,FALSE,"5-34"}</definedName>
    <definedName name="れああｇれ" hidden="1">{#N/A,#N/A,FALSE,"5-1";#N/A,#N/A,FALSE,"5-2";#N/A,#N/A,FALSE,"5-6";#N/A,#N/A,FALSE,"5-9";#N/A,#N/A,FALSE,"5-15";#N/A,#N/A,FALSE,"5-32";#N/A,#N/A,FALSE,"5-34"}</definedName>
    <definedName name="レント" localSheetId="23" hidden="1">{"ｹﾝﾄ（M)",#N/A,FALSE,"収支・日割";"ｹﾝﾄ（RD)",#N/A,FALSE,"収支・日割";"ｹﾝﾄ（PMC)",#N/A,FALSE,"収支・日割"}</definedName>
    <definedName name="レント" localSheetId="18" hidden="1">{"ｹﾝﾄ（M)",#N/A,FALSE,"収支・日割";"ｹﾝﾄ（RD)",#N/A,FALSE,"収支・日割";"ｹﾝﾄ（PMC)",#N/A,FALSE,"収支・日割"}</definedName>
    <definedName name="レント" localSheetId="24"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3" hidden="1">{"'용역비'!$A$4:$C$8"}</definedName>
    <definedName name="ㄱㄱ" localSheetId="18" hidden="1">{"'용역비'!$A$4:$C$8"}</definedName>
    <definedName name="ㄱㄱ" localSheetId="24" hidden="1">{"'용역비'!$A$4:$C$8"}</definedName>
    <definedName name="ㄱㄱ" hidden="1">{"'용역비'!$A$4:$C$8"}</definedName>
    <definedName name="ㄱㄱㄱ" localSheetId="23" hidden="1">{"'용역비'!$A$4:$C$8"}</definedName>
    <definedName name="ㄱㄱㄱ" localSheetId="18" hidden="1">{"'용역비'!$A$4:$C$8"}</definedName>
    <definedName name="ㄱㄱㄱ" localSheetId="24" hidden="1">{"'용역비'!$A$4:$C$8"}</definedName>
    <definedName name="ㄱㄱㄱ" hidden="1">{"'용역비'!$A$4:$C$8"}</definedName>
    <definedName name="ㄱㄱㄱㄱ" localSheetId="23" hidden="1">{#N/A,#N/A,FALSE,"지침";#N/A,#N/A,FALSE,"환경분석";#N/A,#N/A,FALSE,"Sheet16"}</definedName>
    <definedName name="ㄱㄱㄱㄱ" localSheetId="18" hidden="1">{#N/A,#N/A,FALSE,"지침";#N/A,#N/A,FALSE,"환경분석";#N/A,#N/A,FALSE,"Sheet16"}</definedName>
    <definedName name="ㄱㄱㄱㄱ" localSheetId="24" hidden="1">{#N/A,#N/A,FALSE,"지침";#N/A,#N/A,FALSE,"환경분석";#N/A,#N/A,FALSE,"Sheet16"}</definedName>
    <definedName name="ㄱㄱㄱㄱ" hidden="1">{#N/A,#N/A,FALSE,"지침";#N/A,#N/A,FALSE,"환경분석";#N/A,#N/A,FALSE,"Sheet16"}</definedName>
    <definedName name="ㄱㄱㄱㄱㄱ" localSheetId="23" hidden="1">{"'용역비'!$A$4:$C$8"}</definedName>
    <definedName name="ㄱㄱㄱㄱㄱ" localSheetId="18" hidden="1">{"'용역비'!$A$4:$C$8"}</definedName>
    <definedName name="ㄱㄱㄱㄱㄱ" localSheetId="24" hidden="1">{"'용역비'!$A$4:$C$8"}</definedName>
    <definedName name="ㄱㄱㄱㄱㄱ" hidden="1">{"'용역비'!$A$4:$C$8"}</definedName>
    <definedName name="ㄱㄱㄱㄱㄱㄱ" localSheetId="23" hidden="1">{"'용역비'!$A$4:$C$8"}</definedName>
    <definedName name="ㄱㄱㄱㄱㄱㄱ" localSheetId="18" hidden="1">{"'용역비'!$A$4:$C$8"}</definedName>
    <definedName name="ㄱㄱㄱㄱㄱㄱ" localSheetId="24" hidden="1">{"'용역비'!$A$4:$C$8"}</definedName>
    <definedName name="ㄱㄱㄱㄱㄱㄱ" hidden="1">{"'용역비'!$A$4:$C$8"}</definedName>
    <definedName name="ㄱㄱㄷㅎㅇ" localSheetId="23" hidden="1">{#N/A,#N/A,FALSE,"동부"}</definedName>
    <definedName name="ㄱㄱㄷㅎㅇ" localSheetId="18" hidden="1">{#N/A,#N/A,FALSE,"동부"}</definedName>
    <definedName name="ㄱㄱㄷㅎㅇ" localSheetId="24" hidden="1">{#N/A,#N/A,FALSE,"동부"}</definedName>
    <definedName name="ㄱㄱㄷㅎㅇ" hidden="1">{#N/A,#N/A,FALSE,"동부"}</definedName>
    <definedName name="ㄱㄱㅈㄷㅂ"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3" hidden="1">{#N/A,#N/A,FALSE,"동부"}</definedName>
    <definedName name="ㄱㄷㄹㅇ" localSheetId="18" hidden="1">{#N/A,#N/A,FALSE,"동부"}</definedName>
    <definedName name="ㄱㄷㄹㅇ" localSheetId="24" hidden="1">{#N/A,#N/A,FALSE,"동부"}</definedName>
    <definedName name="ㄱㄷㄹㅇ" hidden="1">{#N/A,#N/A,FALSE,"동부"}</definedName>
    <definedName name="ㄱㄷㅅ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3" hidden="1">{#N/A,#N/A,FALSE,"수지분석";#N/A,#N/A,FALSE,"수지분석"}</definedName>
    <definedName name="ㄱㄷㅅㅎㄷ" localSheetId="18" hidden="1">{#N/A,#N/A,FALSE,"수지분석";#N/A,#N/A,FALSE,"수지분석"}</definedName>
    <definedName name="ㄱㄷㅅㅎㄷ" localSheetId="24" hidden="1">{#N/A,#N/A,FALSE,"수지분석";#N/A,#N/A,FALSE,"수지분석"}</definedName>
    <definedName name="ㄱㄷㅅㅎㄷ" hidden="1">{#N/A,#N/A,FALSE,"수지분석";#N/A,#N/A,FALSE,"수지분석"}</definedName>
    <definedName name="ㄱㄷ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3" hidden="1">{#N/A,#N/A,FALSE,"동부"}</definedName>
    <definedName name="ㄱㄷㅎㅇ" localSheetId="18" hidden="1">{#N/A,#N/A,FALSE,"동부"}</definedName>
    <definedName name="ㄱㄷㅎㅇ" localSheetId="24" hidden="1">{#N/A,#N/A,FALSE,"동부"}</definedName>
    <definedName name="ㄱㄷㅎㅇ" hidden="1">{#N/A,#N/A,FALSE,"동부"}</definedName>
    <definedName name="ㄱㄹㅇㅎㅇ" localSheetId="23" hidden="1">{"OpCostIn Technical",#N/A,FALSE,"Operations Cost Inputs";"OpCostIn V plus F",#N/A,FALSE,"Operations Cost Inputs";"OpCostIn Maint",#N/A,FALSE,"Operations Cost Inputs";"OpCostIn LDs Add Cost",#N/A,FALSE,"Operations Cost Inputs"}</definedName>
    <definedName name="ㄱㄹㅇㅎㅇ" localSheetId="18" hidden="1">{"OpCostIn Technical",#N/A,FALSE,"Operations Cost Inputs";"OpCostIn V plus F",#N/A,FALSE,"Operations Cost Inputs";"OpCostIn Maint",#N/A,FALSE,"Operations Cost Inputs";"OpCostIn LDs Add Cost",#N/A,FALSE,"Operations Cost Inputs"}</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3" hidden="1">{#N/A,#N/A,FALSE,"동부"}</definedName>
    <definedName name="ㄱㄻㄹ" localSheetId="18" hidden="1">{#N/A,#N/A,FALSE,"동부"}</definedName>
    <definedName name="ㄱㄻㄹ" localSheetId="24" hidden="1">{#N/A,#N/A,FALSE,"동부"}</definedName>
    <definedName name="ㄱㄻㄹ" hidden="1">{#N/A,#N/A,FALSE,"동부"}</definedName>
    <definedName name="ㄱㅇㄴㄹ" localSheetId="23" hidden="1">{#N/A,#N/A,FALSE,"동부"}</definedName>
    <definedName name="ㄱㅇㄴㄹ" localSheetId="18" hidden="1">{#N/A,#N/A,FALSE,"동부"}</definedName>
    <definedName name="ㄱㅇㄴㄹ" localSheetId="24" hidden="1">{#N/A,#N/A,FALSE,"동부"}</definedName>
    <definedName name="ㄱㅇㄴㄹ" hidden="1">{#N/A,#N/A,FALSE,"동부"}</definedName>
    <definedName name="ㄱㅇㅎㄴ" localSheetId="23" hidden="1">{"Const Costs Dev",#N/A,FALSE,"Construction Cost Inputs";"Const Costs orig ccy",#N/A,FALSE,"Construction Cost Inputs";"Const Costs USD",#N/A,FALSE,"Construction Cost Inputs"}</definedName>
    <definedName name="ㄱㅇㅎㄴ" localSheetId="18" hidden="1">{"Const Costs Dev",#N/A,FALSE,"Construction Cost Inputs";"Const Costs orig ccy",#N/A,FALSE,"Construction Cost Inputs";"Const Costs USD",#N/A,FALSE,"Construction Cost Inputs"}</definedName>
    <definedName name="ㄱㅇㅎㄴ" localSheetId="24"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3" hidden="1">{"AJD",#N/A,TRUE,"Summary";"AJD",#N/A,TRUE,"CFCONC-outputs";"AJD",#N/A,TRUE,"P&amp;LCONC-outputs";"AJD",#N/A,TRUE,"BSCONC-outputs";"AJD",#N/A,TRUE,"FSCONC-outputs"}</definedName>
    <definedName name="ㄱㅍㅇㅎㄴ" localSheetId="18" hidden="1">{"AJD",#N/A,TRUE,"Summary";"AJD",#N/A,TRUE,"CFCONC-outputs";"AJD",#N/A,TRUE,"P&amp;LCONC-outputs";"AJD",#N/A,TRUE,"BSCONC-outputs";"AJD",#N/A,TRUE,"FSCONC-outputs"}</definedName>
    <definedName name="ㄱㅍㅇㅎㄴ" localSheetId="24"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3" hidden="1">{"'용역비'!$A$4:$C$8"}</definedName>
    <definedName name="ㄱㅎ" localSheetId="18" hidden="1">{"'용역비'!$A$4:$C$8"}</definedName>
    <definedName name="ㄱㅎ" localSheetId="24" hidden="1">{"'용역비'!$A$4:$C$8"}</definedName>
    <definedName name="ㄱㅎ" hidden="1">{"'용역비'!$A$4:$C$8"}</definedName>
    <definedName name="ㄱㅎㄹㅇㅎ" localSheetId="23" hidden="1">{#N/A,#N/A,FALSE,"동부"}</definedName>
    <definedName name="ㄱㅎㄹㅇㅎ" localSheetId="18" hidden="1">{#N/A,#N/A,FALSE,"동부"}</definedName>
    <definedName name="ㄱㅎㄹㅇㅎ" localSheetId="24" hidden="1">{#N/A,#N/A,FALSE,"동부"}</definedName>
    <definedName name="ㄱㅎㄹㅇㅎ" hidden="1">{#N/A,#N/A,FALSE,"동부"}</definedName>
    <definedName name="ㄱ히망ㅎ" localSheetId="23" hidden="1">{#N/A,#N/A,FALSE,"1.CRITERIA";#N/A,#N/A,FALSE,"2.IS";#N/A,#N/A,FALSE,"3.BS";#N/A,#N/A,FALSE,"4.PER PL";#N/A,#N/A,FALSE,"5.INVESTMENT";#N/A,#N/A,FALSE,"6.공문";#N/A,#N/A,FALSE,"7.netinvest"}</definedName>
    <definedName name="ㄱ히망ㅎ" localSheetId="18" hidden="1">{#N/A,#N/A,FALSE,"1.CRITERIA";#N/A,#N/A,FALSE,"2.IS";#N/A,#N/A,FALSE,"3.BS";#N/A,#N/A,FALSE,"4.PER PL";#N/A,#N/A,FALSE,"5.INVESTMENT";#N/A,#N/A,FALSE,"6.공문";#N/A,#N/A,FALSE,"7.netinvest"}</definedName>
    <definedName name="ㄱ히망ㅎ" localSheetId="24"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3" hidden="1">{#N/A,#N/A,FALSE,"1.CRITERIA";#N/A,#N/A,FALSE,"2.IS";#N/A,#N/A,FALSE,"3.BS";#N/A,#N/A,FALSE,"4.PER PL";#N/A,#N/A,FALSE,"5.INVESTMENT";#N/A,#N/A,FALSE,"6.공문";#N/A,#N/A,FALSE,"7.netinvest"}</definedName>
    <definedName name="가" localSheetId="18"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3" hidden="1">{#N/A,#N/A,FALSE,"1.CRITERIA";#N/A,#N/A,FALSE,"2.IS";#N/A,#N/A,FALSE,"3.BS";#N/A,#N/A,FALSE,"4.PER PL";#N/A,#N/A,FALSE,"5.INVESTMENT";#N/A,#N/A,FALSE,"6.공문";#N/A,#N/A,FALSE,"7.netinvest"}</definedName>
    <definedName name="가가" localSheetId="18"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3" hidden="1">{"'미착금액'!$A$4:$G$14"}</definedName>
    <definedName name="가기긱" localSheetId="18" hidden="1">{"'미착금액'!$A$4:$G$14"}</definedName>
    <definedName name="가기긱" localSheetId="24" hidden="1">{"'미착금액'!$A$4:$G$14"}</definedName>
    <definedName name="가기긱" hidden="1">{"'미착금액'!$A$4:$G$14"}</definedName>
    <definedName name="가나" localSheetId="23" hidden="1">{#N/A,#N/A,FALSE,"1.CRITERIA";#N/A,#N/A,FALSE,"2.IS";#N/A,#N/A,FALSE,"3.BS";#N/A,#N/A,FALSE,"4.PER PL";#N/A,#N/A,FALSE,"5.INVESTMENT";#N/A,#N/A,FALSE,"6.공문";#N/A,#N/A,FALSE,"7.netinvest"}</definedName>
    <definedName name="가나" localSheetId="18" hidden="1">{#N/A,#N/A,FALSE,"1.CRITERIA";#N/A,#N/A,FALSE,"2.IS";#N/A,#N/A,FALSE,"3.BS";#N/A,#N/A,FALSE,"4.PER PL";#N/A,#N/A,FALSE,"5.INVESTMENT";#N/A,#N/A,FALSE,"6.공문";#N/A,#N/A,FALSE,"7.netinvest"}</definedName>
    <definedName name="가나" localSheetId="24"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3" hidden="1">{#N/A,#N/A,FALSE,"1.CRITERIA";#N/A,#N/A,FALSE,"2.IS";#N/A,#N/A,FALSE,"3.BS";#N/A,#N/A,FALSE,"4.PER PL";#N/A,#N/A,FALSE,"5.INVESTMENT";#N/A,#N/A,FALSE,"6.공문";#N/A,#N/A,FALSE,"7.netinvest"}</definedName>
    <definedName name="가나라" localSheetId="18"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3" hidden="1">{#N/A,#N/A,FALSE,"1.CRITERIA";#N/A,#N/A,FALSE,"2.IS";#N/A,#N/A,FALSE,"3.BS";#N/A,#N/A,FALSE,"4.PER PL";#N/A,#N/A,FALSE,"5.INVESTMENT";#N/A,#N/A,FALSE,"6.공문";#N/A,#N/A,FALSE,"7.netinvest"}</definedName>
    <definedName name="가다" localSheetId="18"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3" hidden="1">{#N/A,#N/A,FALSE,"1.CRITERIA";#N/A,#N/A,FALSE,"2.IS";#N/A,#N/A,FALSE,"3.BS";#N/A,#N/A,FALSE,"4.PER PL";#N/A,#N/A,FALSE,"5.INVESTMENT";#N/A,#N/A,FALSE,"6.공문";#N/A,#N/A,FALSE,"7.netinvest"}</definedName>
    <definedName name="가라" localSheetId="18"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3" hidden="1">{#N/A,#N/A,FALSE,"1.CRITERIA";#N/A,#N/A,FALSE,"2.IS";#N/A,#N/A,FALSE,"3.BS";#N/A,#N/A,FALSE,"4.PER PL";#N/A,#N/A,FALSE,"5.INVESTMENT";#N/A,#N/A,FALSE,"6.공문";#N/A,#N/A,FALSE,"7.netinvest"}</definedName>
    <definedName name="가아" localSheetId="18" hidden="1">{#N/A,#N/A,FALSE,"1.CRITERIA";#N/A,#N/A,FALSE,"2.IS";#N/A,#N/A,FALSE,"3.BS";#N/A,#N/A,FALSE,"4.PER PL";#N/A,#N/A,FALSE,"5.INVESTMENT";#N/A,#N/A,FALSE,"6.공문";#N/A,#N/A,FALSE,"7.netinvest"}</definedName>
    <definedName name="가아" localSheetId="24"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3" hidden="1">{#N/A,#N/A,FALSE,"1.CRITERIA";#N/A,#N/A,FALSE,"2.IS";#N/A,#N/A,FALSE,"3.BS";#N/A,#N/A,FALSE,"4.PER PL";#N/A,#N/A,FALSE,"5.INVESTMENT";#N/A,#N/A,FALSE,"6.공문";#N/A,#N/A,FALSE,"7.netinvest"}</definedName>
    <definedName name="가아노" localSheetId="18"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3" hidden="1">{#N/A,#N/A,FALSE,"1.CRITERIA";#N/A,#N/A,FALSE,"2.IS";#N/A,#N/A,FALSE,"3.BS";#N/A,#N/A,FALSE,"4.PER PL";#N/A,#N/A,FALSE,"5.INVESTMENT";#N/A,#N/A,FALSE,"6.공문";#N/A,#N/A,FALSE,"7.netinvest"}</definedName>
    <definedName name="가아다" localSheetId="18"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3" hidden="1">{#N/A,#N/A,FALSE,"1.CRITERIA";#N/A,#N/A,FALSE,"2.IS";#N/A,#N/A,FALSE,"3.BS";#N/A,#N/A,FALSE,"4.PER PL";#N/A,#N/A,FALSE,"5.INVESTMENT";#N/A,#N/A,FALSE,"6.공문";#N/A,#N/A,FALSE,"7.netinvest"}</definedName>
    <definedName name="가아차" localSheetId="18"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3" hidden="1">{#N/A,#N/A,FALSE,"1.CRITERIA";#N/A,#N/A,FALSE,"2.IS";#N/A,#N/A,FALSE,"3.BS";#N/A,#N/A,FALSE,"4.PER PL";#N/A,#N/A,FALSE,"5.INVESTMENT";#N/A,#N/A,FALSE,"6.공문";#N/A,#N/A,FALSE,"7.netinvest"}</definedName>
    <definedName name="가오" localSheetId="18"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3" hidden="1">{#N/A,#N/A,FALSE,"1.CRITERIA";#N/A,#N/A,FALSE,"2.IS";#N/A,#N/A,FALSE,"3.BS";#N/A,#N/A,FALSE,"4.PER PL";#N/A,#N/A,FALSE,"5.INVESTMENT";#N/A,#N/A,FALSE,"6.공문";#N/A,#N/A,FALSE,"7.netinvest"}</definedName>
    <definedName name="가오나" localSheetId="18"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3" hidden="1">{#N/A,#N/A,FALSE,"1.CRITERIA";#N/A,#N/A,FALSE,"2.IS";#N/A,#N/A,FALSE,"3.BS";#N/A,#N/A,FALSE,"4.PER PL";#N/A,#N/A,FALSE,"5.INVESTMENT";#N/A,#N/A,FALSE,"6.공문";#N/A,#N/A,FALSE,"7.netinvest"}</definedName>
    <definedName name="가오아" localSheetId="18"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3" hidden="1">{#N/A,#N/A,FALSE,"1.CRITERIA";#N/A,#N/A,FALSE,"2.IS";#N/A,#N/A,FALSE,"3.BS";#N/A,#N/A,FALSE,"4.PER PL";#N/A,#N/A,FALSE,"5.INVESTMENT";#N/A,#N/A,FALSE,"6.공문";#N/A,#N/A,FALSE,"7.netinvest"}</definedName>
    <definedName name="가카" localSheetId="18"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3" hidden="1">{#N/A,#N/A,FALSE,"1.CRITERIA";#N/A,#N/A,FALSE,"2.IS";#N/A,#N/A,FALSE,"3.BS";#N/A,#N/A,FALSE,"4.PER PL";#N/A,#N/A,FALSE,"5.INVESTMENT";#N/A,#N/A,FALSE,"6.공문";#N/A,#N/A,FALSE,"7.netinvest"}</definedName>
    <definedName name="가타" localSheetId="18"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3" hidden="1">{"'今後解決すべき点'!$M$26","'今後解決すべき点'!$A$1:$M$55"}</definedName>
    <definedName name="各物件表紙" localSheetId="18" hidden="1">{"'今後解決すべき点'!$M$26","'今後解決すべき点'!$A$1:$M$55"}</definedName>
    <definedName name="各物件表紙" localSheetId="24" hidden="1">{"'今後解決すべき点'!$M$26","'今後解決すべき点'!$A$1:$M$55"}</definedName>
    <definedName name="各物件表紙" hidden="1">{"'今後解決すべき点'!$M$26","'今後解決すべき点'!$A$1:$M$55"}</definedName>
    <definedName name="간지3" localSheetId="23" hidden="1">{"'용역비'!$A$4:$C$8"}</definedName>
    <definedName name="간지3" localSheetId="18" hidden="1">{"'용역비'!$A$4:$C$8"}</definedName>
    <definedName name="간지3" localSheetId="24" hidden="1">{"'용역비'!$A$4:$C$8"}</definedName>
    <definedName name="간지3" hidden="1">{"'용역비'!$A$4:$C$8"}</definedName>
    <definedName name="간호사절감효과" localSheetId="23" hidden="1">{#N/A,#N/A,TRUE,"Y생산";#N/A,#N/A,TRUE,"Y판매";#N/A,#N/A,TRUE,"Y총물량";#N/A,#N/A,TRUE,"Y능력";#N/A,#N/A,TRUE,"YKD"}</definedName>
    <definedName name="간호사절감효과" localSheetId="18" hidden="1">{#N/A,#N/A,TRUE,"Y생산";#N/A,#N/A,TRUE,"Y판매";#N/A,#N/A,TRUE,"Y총물량";#N/A,#N/A,TRUE,"Y능력";#N/A,#N/A,TRUE,"YKD"}</definedName>
    <definedName name="간호사절감효과" localSheetId="24" hidden="1">{#N/A,#N/A,TRUE,"Y생산";#N/A,#N/A,TRUE,"Y판매";#N/A,#N/A,TRUE,"Y총물량";#N/A,#N/A,TRUE,"Y능력";#N/A,#N/A,TRUE,"YKD"}</definedName>
    <definedName name="간호사절감효과" hidden="1">{#N/A,#N/A,TRUE,"Y생산";#N/A,#N/A,TRUE,"Y판매";#N/A,#N/A,TRUE,"Y총물량";#N/A,#N/A,TRUE,"Y능력";#N/A,#N/A,TRUE,"YKD"}</definedName>
    <definedName name="갈" localSheetId="23" hidden="1">{#N/A,#N/A,FALSE,"1.CRITERIA";#N/A,#N/A,FALSE,"2.IS";#N/A,#N/A,FALSE,"3.BS";#N/A,#N/A,FALSE,"4.PER PL";#N/A,#N/A,FALSE,"5.INVESTMENT";#N/A,#N/A,FALSE,"6.공문";#N/A,#N/A,FALSE,"7.netinvest"}</definedName>
    <definedName name="갈" localSheetId="18" hidden="1">{#N/A,#N/A,FALSE,"1.CRITERIA";#N/A,#N/A,FALSE,"2.IS";#N/A,#N/A,FALSE,"3.BS";#N/A,#N/A,FALSE,"4.PER PL";#N/A,#N/A,FALSE,"5.INVESTMENT";#N/A,#N/A,FALSE,"6.공문";#N/A,#N/A,FALSE,"7.netinvest"}</definedName>
    <definedName name="갈" localSheetId="24"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3" hidden="1">{"'2분기예산별'!$B$2:$O$38"}</definedName>
    <definedName name="감가" localSheetId="18" hidden="1">{"'2분기예산별'!$B$2:$O$38"}</definedName>
    <definedName name="감가" localSheetId="24" hidden="1">{"'2분기예산별'!$B$2:$O$38"}</definedName>
    <definedName name="감가" hidden="1">{"'2분기예산별'!$B$2:$O$38"}</definedName>
    <definedName name="감가3" localSheetId="23" hidden="1">{"'2분기예산별'!$B$2:$O$38"}</definedName>
    <definedName name="감가3" localSheetId="18" hidden="1">{"'2분기예산별'!$B$2:$O$38"}</definedName>
    <definedName name="감가3" localSheetId="24" hidden="1">{"'2분기예산별'!$B$2:$O$38"}</definedName>
    <definedName name="감가3" hidden="1">{"'2분기예산별'!$B$2:$O$38"}</definedName>
    <definedName name="감가상각미화" localSheetId="23" hidden="1">{#N/A,#N/A,FALSE,"이력서&amp;자기소개서"}</definedName>
    <definedName name="감가상각미화" localSheetId="18" hidden="1">{#N/A,#N/A,FALSE,"이력서&amp;자기소개서"}</definedName>
    <definedName name="감가상각미화" localSheetId="24" hidden="1">{#N/A,#N/A,FALSE,"이력서&amp;자기소개서"}</definedName>
    <definedName name="감가상각미화" hidden="1">{#N/A,#N/A,FALSE,"이력서&amp;자기소개서"}</definedName>
    <definedName name="갑지" localSheetId="23" hidden="1">{#N/A,#N/A,FALSE,"CCTV"}</definedName>
    <definedName name="갑지" localSheetId="18" hidden="1">{#N/A,#N/A,FALSE,"CCTV"}</definedName>
    <definedName name="갑지" localSheetId="24" hidden="1">{#N/A,#N/A,FALSE,"CCTV"}</definedName>
    <definedName name="갑지" hidden="1">{#N/A,#N/A,FALSE,"CCTV"}</definedName>
    <definedName name="갑지1" localSheetId="23" hidden="1">{#N/A,#N/A,FALSE,"CCTV"}</definedName>
    <definedName name="갑지1" localSheetId="18" hidden="1">{#N/A,#N/A,FALSE,"CCTV"}</definedName>
    <definedName name="갑지1" localSheetId="24" hidden="1">{#N/A,#N/A,FALSE,"CCTV"}</definedName>
    <definedName name="갑지1" hidden="1">{#N/A,#N/A,FALSE,"CCTV"}</definedName>
    <definedName name="갑지3" localSheetId="23" hidden="1">{#N/A,#N/A,FALSE,"CCTV"}</definedName>
    <definedName name="갑지3" localSheetId="18" hidden="1">{#N/A,#N/A,FALSE,"CCTV"}</definedName>
    <definedName name="갑지3" localSheetId="24" hidden="1">{#N/A,#N/A,FALSE,"CCTV"}</definedName>
    <definedName name="갑지3" hidden="1">{#N/A,#N/A,FALSE,"CCTV"}</definedName>
    <definedName name="값1">'IS(FY)'!$M$78:$DW$78</definedName>
    <definedName name="강" localSheetId="23" hidden="1">{#N/A,#N/A,FALSE,"1.CRITERIA";#N/A,#N/A,FALSE,"2.IS";#N/A,#N/A,FALSE,"3.BS";#N/A,#N/A,FALSE,"4.PER PL";#N/A,#N/A,FALSE,"5.INVESTMENT";#N/A,#N/A,FALSE,"6.공문";#N/A,#N/A,FALSE,"7.netinvest"}</definedName>
    <definedName name="강" localSheetId="18" hidden="1">{#N/A,#N/A,FALSE,"1.CRITERIA";#N/A,#N/A,FALSE,"2.IS";#N/A,#N/A,FALSE,"3.BS";#N/A,#N/A,FALSE,"4.PER PL";#N/A,#N/A,FALSE,"5.INVESTMENT";#N/A,#N/A,FALSE,"6.공문";#N/A,#N/A,FALSE,"7.netinvest"}</definedName>
    <definedName name="강" localSheetId="24"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3" hidden="1">{#N/A,#N/A,FALSE,"부대1"}</definedName>
    <definedName name="강관파일" localSheetId="18" hidden="1">{#N/A,#N/A,FALSE,"부대1"}</definedName>
    <definedName name="강관파일" localSheetId="24" hidden="1">{#N/A,#N/A,FALSE,"부대1"}</definedName>
    <definedName name="강관파일" hidden="1">{#N/A,#N/A,FALSE,"부대1"}</definedName>
    <definedName name="강남" localSheetId="23" hidden="1">{#N/A,#N/A,FALSE,"97년 투자계획 세부내역 "}</definedName>
    <definedName name="강남" localSheetId="18" hidden="1">{#N/A,#N/A,FALSE,"97년 투자계획 세부내역 "}</definedName>
    <definedName name="강남" localSheetId="24" hidden="1">{#N/A,#N/A,FALSE,"97년 투자계획 세부내역 "}</definedName>
    <definedName name="강남" hidden="1">{#N/A,#N/A,FALSE,"97년 투자계획 세부내역 "}</definedName>
    <definedName name="강북" localSheetId="23" hidden="1">{#N/A,#N/A,FALSE,"97년 투자계획 세부내역 "}</definedName>
    <definedName name="강북" localSheetId="18" hidden="1">{#N/A,#N/A,FALSE,"97년 투자계획 세부내역 "}</definedName>
    <definedName name="강북" localSheetId="24" hidden="1">{#N/A,#N/A,FALSE,"97년 투자계획 세부내역 "}</definedName>
    <definedName name="강북" hidden="1">{#N/A,#N/A,FALSE,"97년 투자계획 세부내역 "}</definedName>
    <definedName name="강서" localSheetId="23" hidden="1">{#N/A,#N/A,FALSE,"97년 투자계획 세부내역 "}</definedName>
    <definedName name="강서" localSheetId="18" hidden="1">{#N/A,#N/A,FALSE,"97년 투자계획 세부내역 "}</definedName>
    <definedName name="강서" localSheetId="24" hidden="1">{#N/A,#N/A,FALSE,"97년 투자계획 세부내역 "}</definedName>
    <definedName name="강서" hidden="1">{#N/A,#N/A,FALSE,"97년 투자계획 세부내역 "}</definedName>
    <definedName name="개발비"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3" hidden="1">{"'7'!$B$15:$D$32"}</definedName>
    <definedName name="개선" localSheetId="18" hidden="1">{"'7'!$B$15:$D$32"}</definedName>
    <definedName name="개선" localSheetId="24" hidden="1">{"'7'!$B$15:$D$32"}</definedName>
    <definedName name="개선" hidden="1">{"'7'!$B$15:$D$32"}</definedName>
    <definedName name="개선내용" localSheetId="23" hidden="1">{#N/A,#N/A,TRUE,"Y생산";#N/A,#N/A,TRUE,"Y판매";#N/A,#N/A,TRUE,"Y총물량";#N/A,#N/A,TRUE,"Y능력";#N/A,#N/A,TRUE,"YKD"}</definedName>
    <definedName name="개선내용" localSheetId="18" hidden="1">{#N/A,#N/A,TRUE,"Y생산";#N/A,#N/A,TRUE,"Y판매";#N/A,#N/A,TRUE,"Y총물량";#N/A,#N/A,TRUE,"Y능력";#N/A,#N/A,TRUE,"YKD"}</definedName>
    <definedName name="개선내용" localSheetId="24" hidden="1">{#N/A,#N/A,TRUE,"Y생산";#N/A,#N/A,TRUE,"Y판매";#N/A,#N/A,TRUE,"Y총물량";#N/A,#N/A,TRUE,"Y능력";#N/A,#N/A,TRUE,"YKD"}</definedName>
    <definedName name="개선내용" hidden="1">{#N/A,#N/A,TRUE,"Y생산";#N/A,#N/A,TRUE,"Y판매";#N/A,#N/A,TRUE,"Y총물량";#N/A,#N/A,TRUE,"Y능력";#N/A,#N/A,TRUE,"YKD"}</definedName>
    <definedName name="개선내용_1" localSheetId="23" hidden="1">{#N/A,#N/A,TRUE,"Y생산";#N/A,#N/A,TRUE,"Y판매";#N/A,#N/A,TRUE,"Y총물량";#N/A,#N/A,TRUE,"Y능력";#N/A,#N/A,TRUE,"YKD"}</definedName>
    <definedName name="개선내용_1" localSheetId="18" hidden="1">{#N/A,#N/A,TRUE,"Y생산";#N/A,#N/A,TRUE,"Y판매";#N/A,#N/A,TRUE,"Y총물량";#N/A,#N/A,TRUE,"Y능력";#N/A,#N/A,TRUE,"YKD"}</definedName>
    <definedName name="개선내용_1" localSheetId="24" hidden="1">{#N/A,#N/A,TRUE,"Y생산";#N/A,#N/A,TRUE,"Y판매";#N/A,#N/A,TRUE,"Y총물량";#N/A,#N/A,TRUE,"Y능력";#N/A,#N/A,TRUE,"YKD"}</definedName>
    <definedName name="개선내용_1" hidden="1">{#N/A,#N/A,TRUE,"Y생산";#N/A,#N/A,TRUE,"Y판매";#N/A,#N/A,TRUE,"Y총물량";#N/A,#N/A,TRUE,"Y능력";#N/A,#N/A,TRUE,"YKD"}</definedName>
    <definedName name="개선실적" localSheetId="23" hidden="1">{#N/A,#N/A,TRUE,"Y생산";#N/A,#N/A,TRUE,"Y판매";#N/A,#N/A,TRUE,"Y총물량";#N/A,#N/A,TRUE,"Y능력";#N/A,#N/A,TRUE,"YKD"}</definedName>
    <definedName name="개선실적" localSheetId="18" hidden="1">{#N/A,#N/A,TRUE,"Y생산";#N/A,#N/A,TRUE,"Y판매";#N/A,#N/A,TRUE,"Y총물량";#N/A,#N/A,TRUE,"Y능력";#N/A,#N/A,TRUE,"YKD"}</definedName>
    <definedName name="개선실적" localSheetId="24" hidden="1">{#N/A,#N/A,TRUE,"Y생산";#N/A,#N/A,TRUE,"Y판매";#N/A,#N/A,TRUE,"Y총물량";#N/A,#N/A,TRUE,"Y능력";#N/A,#N/A,TRUE,"YKD"}</definedName>
    <definedName name="개선실적" hidden="1">{#N/A,#N/A,TRUE,"Y생산";#N/A,#N/A,TRUE,"Y판매";#N/A,#N/A,TRUE,"Y총물량";#N/A,#N/A,TRUE,"Y능력";#N/A,#N/A,TRUE,"YKD"}</definedName>
    <definedName name="개선실적_1" localSheetId="23" hidden="1">{#N/A,#N/A,TRUE,"Y생산";#N/A,#N/A,TRUE,"Y판매";#N/A,#N/A,TRUE,"Y총물량";#N/A,#N/A,TRUE,"Y능력";#N/A,#N/A,TRUE,"YKD"}</definedName>
    <definedName name="개선실적_1" localSheetId="18" hidden="1">{#N/A,#N/A,TRUE,"Y생산";#N/A,#N/A,TRUE,"Y판매";#N/A,#N/A,TRUE,"Y총물량";#N/A,#N/A,TRUE,"Y능력";#N/A,#N/A,TRUE,"YKD"}</definedName>
    <definedName name="개선실적_1" localSheetId="24" hidden="1">{#N/A,#N/A,TRUE,"Y생산";#N/A,#N/A,TRUE,"Y판매";#N/A,#N/A,TRUE,"Y총물량";#N/A,#N/A,TRUE,"Y능력";#N/A,#N/A,TRUE,"YKD"}</definedName>
    <definedName name="개선실적_1" hidden="1">{#N/A,#N/A,TRUE,"Y생산";#N/A,#N/A,TRUE,"Y판매";#N/A,#N/A,TRUE,"Y총물량";#N/A,#N/A,TRUE,"Y능력";#N/A,#N/A,TRUE,"YKD"}</definedName>
    <definedName name="개선현황" localSheetId="23" hidden="1">{#N/A,#N/A,TRUE,"Y생산";#N/A,#N/A,TRUE,"Y판매";#N/A,#N/A,TRUE,"Y총물량";#N/A,#N/A,TRUE,"Y능력";#N/A,#N/A,TRUE,"YKD"}</definedName>
    <definedName name="개선현황" localSheetId="18" hidden="1">{#N/A,#N/A,TRUE,"Y생산";#N/A,#N/A,TRUE,"Y판매";#N/A,#N/A,TRUE,"Y총물량";#N/A,#N/A,TRUE,"Y능력";#N/A,#N/A,TRUE,"YKD"}</definedName>
    <definedName name="개선현황" localSheetId="24" hidden="1">{#N/A,#N/A,TRUE,"Y생산";#N/A,#N/A,TRUE,"Y판매";#N/A,#N/A,TRUE,"Y총물량";#N/A,#N/A,TRUE,"Y능력";#N/A,#N/A,TRUE,"YKD"}</definedName>
    <definedName name="개선현황" hidden="1">{#N/A,#N/A,TRUE,"Y생산";#N/A,#N/A,TRUE,"Y판매";#N/A,#N/A,TRUE,"Y총물량";#N/A,#N/A,TRUE,"Y능력";#N/A,#N/A,TRUE,"YKD"}</definedName>
    <definedName name="개요_본사" localSheetId="23" hidden="1">{#N/A,#N/A,FALSE,"97년 투자계획 세부내역 "}</definedName>
    <definedName name="개요_본사" localSheetId="18" hidden="1">{#N/A,#N/A,FALSE,"97년 투자계획 세부내역 "}</definedName>
    <definedName name="개요_본사" localSheetId="24" hidden="1">{#N/A,#N/A,FALSE,"97년 투자계획 세부내역 "}</definedName>
    <definedName name="개요_본사" hidden="1">{#N/A,#N/A,FALSE,"97년 투자계획 세부내역 "}</definedName>
    <definedName name="거" localSheetId="23" hidden="1">{#N/A,#N/A,FALSE,"1.CRITERIA";#N/A,#N/A,FALSE,"2.IS";#N/A,#N/A,FALSE,"3.BS";#N/A,#N/A,FALSE,"4.PER PL";#N/A,#N/A,FALSE,"5.INVESTMENT";#N/A,#N/A,FALSE,"6.공문";#N/A,#N/A,FALSE,"7.netinvest"}</definedName>
    <definedName name="거" localSheetId="18" hidden="1">{#N/A,#N/A,FALSE,"1.CRITERIA";#N/A,#N/A,FALSE,"2.IS";#N/A,#N/A,FALSE,"3.BS";#N/A,#N/A,FALSE,"4.PER PL";#N/A,#N/A,FALSE,"5.INVESTMENT";#N/A,#N/A,FALSE,"6.공문";#N/A,#N/A,FALSE,"7.netinvest"}</definedName>
    <definedName name="거" localSheetId="24"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3" hidden="1">{#N/A,#N/A,FALSE,"기안지";#N/A,#N/A,FALSE,"통신지"}</definedName>
    <definedName name="거눛" localSheetId="18" hidden="1">{#N/A,#N/A,FALSE,"기안지";#N/A,#N/A,FALSE,"통신지"}</definedName>
    <definedName name="거눛" localSheetId="24" hidden="1">{#N/A,#N/A,FALSE,"기안지";#N/A,#N/A,FALSE,"통신지"}</definedName>
    <definedName name="거눛" hidden="1">{#N/A,#N/A,FALSE,"기안지";#N/A,#N/A,FALSE,"통신지"}</definedName>
    <definedName name="거이" localSheetId="23" hidden="1">{#N/A,#N/A,FALSE,"1.CRITERIA";#N/A,#N/A,FALSE,"2.IS";#N/A,#N/A,FALSE,"3.BS";#N/A,#N/A,FALSE,"4.PER PL";#N/A,#N/A,FALSE,"5.INVESTMENT";#N/A,#N/A,FALSE,"6.공문";#N/A,#N/A,FALSE,"7.netinvest"}</definedName>
    <definedName name="거이" localSheetId="18" hidden="1">{#N/A,#N/A,FALSE,"1.CRITERIA";#N/A,#N/A,FALSE,"2.IS";#N/A,#N/A,FALSE,"3.BS";#N/A,#N/A,FALSE,"4.PER PL";#N/A,#N/A,FALSE,"5.INVESTMENT";#N/A,#N/A,FALSE,"6.공문";#N/A,#N/A,FALSE,"7.netinvest"}</definedName>
    <definedName name="거이" localSheetId="24"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3" hidden="1">{#N/A,#N/A,FALSE,"견적갑지";#N/A,#N/A,FALSE,"총괄표";#N/A,#N/A,FALSE,"철골공사";#N/A,#N/A,FALSE,"토목공사";#N/A,#N/A,FALSE,"판넬전기공사"}</definedName>
    <definedName name="거추서" localSheetId="18" hidden="1">{#N/A,#N/A,FALSE,"견적갑지";#N/A,#N/A,FALSE,"총괄표";#N/A,#N/A,FALSE,"철골공사";#N/A,#N/A,FALSE,"토목공사";#N/A,#N/A,FALSE,"판넬전기공사"}</definedName>
    <definedName name="거추서" localSheetId="24"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3" hidden="1">{#N/A,#N/A,FALSE,"견적갑지";#N/A,#N/A,FALSE,"총괄표";#N/A,#N/A,FALSE,"철골공사";#N/A,#N/A,FALSE,"토목공사";#N/A,#N/A,FALSE,"판넬전기공사"}</definedName>
    <definedName name="건3" localSheetId="18"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3" hidden="1">{#N/A,#N/A,FALSE,"견적갑지";#N/A,#N/A,FALSE,"총괄표";#N/A,#N/A,FALSE,"철골공사";#N/A,#N/A,FALSE,"토목공사";#N/A,#N/A,FALSE,"판넬전기공사"}</definedName>
    <definedName name="건444" localSheetId="18"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3" hidden="1">{#N/A,#N/A,FALSE,"견적갑지";#N/A,#N/A,FALSE,"총괄표";#N/A,#N/A,FALSE,"철골공사";#N/A,#N/A,FALSE,"토목공사";#N/A,#N/A,FALSE,"판넬전기공사"}</definedName>
    <definedName name="건검" localSheetId="18"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3" hidden="1">{"ｹﾝﾄ（M)",#N/A,FALSE,"収支・日割";"ｹﾝﾄ（RD)",#N/A,FALSE,"収支・日割";"ｹﾝﾄ（PMC)",#N/A,FALSE,"収支・日割"}</definedName>
    <definedName name="建物年間計画表" localSheetId="18" hidden="1">{"ｹﾝﾄ（M)",#N/A,FALSE,"収支・日割";"ｹﾝﾄ（RD)",#N/A,FALSE,"収支・日割";"ｹﾝﾄ（PMC)",#N/A,FALSE,"収支・日割"}</definedName>
    <definedName name="建物年間計画表" localSheetId="24"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3" hidden="1">{"'손익현황'!$A$1:$J$29"}</definedName>
    <definedName name="건물임." localSheetId="18" hidden="1">{"'손익현황'!$A$1:$J$29"}</definedName>
    <definedName name="건물임." localSheetId="24" hidden="1">{"'손익현황'!$A$1:$J$29"}</definedName>
    <definedName name="건물임." hidden="1">{"'손익현황'!$A$1:$J$29"}</definedName>
    <definedName name="건비" localSheetId="23" hidden="1">{"'2분기예산별'!$B$2:$O$38"}</definedName>
    <definedName name="건비" localSheetId="18" hidden="1">{"'2분기예산별'!$B$2:$O$38"}</definedName>
    <definedName name="건비" localSheetId="24" hidden="1">{"'2분기예산별'!$B$2:$O$38"}</definedName>
    <definedName name="건비" hidden="1">{"'2분기예산별'!$B$2:$O$38"}</definedName>
    <definedName name="건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3" hidden="1">{#N/A,#N/A,TRUE,"Y생산";#N/A,#N/A,TRUE,"Y판매";#N/A,#N/A,TRUE,"Y총물량";#N/A,#N/A,TRUE,"Y능력";#N/A,#N/A,TRUE,"YKD"}</definedName>
    <definedName name="건설팀" localSheetId="18" hidden="1">{#N/A,#N/A,TRUE,"Y생산";#N/A,#N/A,TRUE,"Y판매";#N/A,#N/A,TRUE,"Y총물량";#N/A,#N/A,TRUE,"Y능력";#N/A,#N/A,TRUE,"YKD"}</definedName>
    <definedName name="건설팀" localSheetId="24" hidden="1">{#N/A,#N/A,TRUE,"Y생산";#N/A,#N/A,TRUE,"Y판매";#N/A,#N/A,TRUE,"Y총물량";#N/A,#N/A,TRUE,"Y능력";#N/A,#N/A,TRUE,"YKD"}</definedName>
    <definedName name="건설팀" hidden="1">{#N/A,#N/A,TRUE,"Y생산";#N/A,#N/A,TRUE,"Y판매";#N/A,#N/A,TRUE,"Y총물량";#N/A,#N/A,TRUE,"Y능력";#N/A,#N/A,TRUE,"YKD"}</definedName>
    <definedName name="건설팀_1" localSheetId="23" hidden="1">{#N/A,#N/A,TRUE,"Y생산";#N/A,#N/A,TRUE,"Y판매";#N/A,#N/A,TRUE,"Y총물량";#N/A,#N/A,TRUE,"Y능력";#N/A,#N/A,TRUE,"YKD"}</definedName>
    <definedName name="건설팀_1" localSheetId="18" hidden="1">{#N/A,#N/A,TRUE,"Y생산";#N/A,#N/A,TRUE,"Y판매";#N/A,#N/A,TRUE,"Y총물량";#N/A,#N/A,TRUE,"Y능력";#N/A,#N/A,TRUE,"YKD"}</definedName>
    <definedName name="건설팀_1" localSheetId="24" hidden="1">{#N/A,#N/A,TRUE,"Y생산";#N/A,#N/A,TRUE,"Y판매";#N/A,#N/A,TRUE,"Y총물량";#N/A,#N/A,TRUE,"Y능력";#N/A,#N/A,TRUE,"YKD"}</definedName>
    <definedName name="건설팀_1" hidden="1">{#N/A,#N/A,TRUE,"Y생산";#N/A,#N/A,TRUE,"Y판매";#N/A,#N/A,TRUE,"Y총물량";#N/A,#N/A,TRUE,"Y능력";#N/A,#N/A,TRUE,"YKD"}</definedName>
    <definedName name="건추" localSheetId="23" hidden="1">{#N/A,#N/A,FALSE,"견적갑지";#N/A,#N/A,FALSE,"총괄표";#N/A,#N/A,FALSE,"철골공사";#N/A,#N/A,FALSE,"토목공사";#N/A,#N/A,FALSE,"판넬전기공사"}</definedName>
    <definedName name="건추" localSheetId="18" hidden="1">{#N/A,#N/A,FALSE,"견적갑지";#N/A,#N/A,FALSE,"총괄표";#N/A,#N/A,FALSE,"철골공사";#N/A,#N/A,FALSE,"토목공사";#N/A,#N/A,FALSE,"판넬전기공사"}</definedName>
    <definedName name="건추" localSheetId="24"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3" hidden="1">{#N/A,#N/A,FALSE,"기안지";#N/A,#N/A,FALSE,"통신지"}</definedName>
    <definedName name="건축토공" localSheetId="18" hidden="1">{#N/A,#N/A,FALSE,"기안지";#N/A,#N/A,FALSE,"통신지"}</definedName>
    <definedName name="건축토공" localSheetId="24" hidden="1">{#N/A,#N/A,FALSE,"기안지";#N/A,#N/A,FALSE,"통신지"}</definedName>
    <definedName name="건축토공" hidden="1">{#N/A,#N/A,FALSE,"기안지";#N/A,#N/A,FALSE,"통신지"}</definedName>
    <definedName name="건축팀별" localSheetId="23" hidden="1">{#N/A,#N/A,FALSE,"지침";#N/A,#N/A,FALSE,"환경분석";#N/A,#N/A,FALSE,"Sheet16"}</definedName>
    <definedName name="건축팀별" localSheetId="18" hidden="1">{#N/A,#N/A,FALSE,"지침";#N/A,#N/A,FALSE,"환경분석";#N/A,#N/A,FALSE,"Sheet16"}</definedName>
    <definedName name="건축팀별" localSheetId="24" hidden="1">{#N/A,#N/A,FALSE,"지침";#N/A,#N/A,FALSE,"환경분석";#N/A,#N/A,FALSE,"Sheet16"}</definedName>
    <definedName name="건축팀별" hidden="1">{#N/A,#N/A,FALSE,"지침";#N/A,#N/A,FALSE,"환경분석";#N/A,#N/A,FALSE,"Sheet16"}</definedName>
    <definedName name="검사기준서" localSheetId="23" hidden="1">{#N/A,#N/A,FALSE,"업체선정";#N/A,#N/A,FALSE,"업체선정sheet";#N/A,#N/A,FALSE,"업체실태";#N/A,#N/A,FALSE,"업체실태(1)";#N/A,#N/A,FALSE,"종업원현황(2)";#N/A,#N/A,FALSE,"생산품목(3)";#N/A,#N/A,FALSE,"장비보유현황";#N/A,#N/A,FALSE,"차량및약도";#N/A,#N/A,FALSE,"금형LIST"}</definedName>
    <definedName name="검사기준서" localSheetId="18" hidden="1">{#N/A,#N/A,FALSE,"업체선정";#N/A,#N/A,FALSE,"업체선정sheet";#N/A,#N/A,FALSE,"업체실태";#N/A,#N/A,FALSE,"업체실태(1)";#N/A,#N/A,FALSE,"종업원현황(2)";#N/A,#N/A,FALSE,"생산품목(3)";#N/A,#N/A,FALSE,"장비보유현황";#N/A,#N/A,FALSE,"차량및약도";#N/A,#N/A,FALSE,"금형LIST"}</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3" hidden="1">{#N/A,#N/A,TRUE,"Y생산";#N/A,#N/A,TRUE,"Y판매";#N/A,#N/A,TRUE,"Y총물량";#N/A,#N/A,TRUE,"Y능력";#N/A,#N/A,TRUE,"YKD"}</definedName>
    <definedName name="겉표지10" localSheetId="18" hidden="1">{#N/A,#N/A,TRUE,"Y생산";#N/A,#N/A,TRUE,"Y판매";#N/A,#N/A,TRUE,"Y총물량";#N/A,#N/A,TRUE,"Y능력";#N/A,#N/A,TRUE,"YKD"}</definedName>
    <definedName name="겉표지10" localSheetId="24" hidden="1">{#N/A,#N/A,TRUE,"Y생산";#N/A,#N/A,TRUE,"Y판매";#N/A,#N/A,TRUE,"Y총물량";#N/A,#N/A,TRUE,"Y능력";#N/A,#N/A,TRUE,"YKD"}</definedName>
    <definedName name="겉표지10" hidden="1">{#N/A,#N/A,TRUE,"Y생산";#N/A,#N/A,TRUE,"Y판매";#N/A,#N/A,TRUE,"Y총물량";#N/A,#N/A,TRUE,"Y능력";#N/A,#N/A,TRUE,"YKD"}</definedName>
    <definedName name="격려금기초자료11" localSheetId="23" hidden="1">{#N/A,#N/A,FALSE,"단축1";#N/A,#N/A,FALSE,"단축2";#N/A,#N/A,FALSE,"단축3";#N/A,#N/A,FALSE,"장축";#N/A,#N/A,FALSE,"4WD"}</definedName>
    <definedName name="격려금기초자료11" localSheetId="18" hidden="1">{#N/A,#N/A,FALSE,"단축1";#N/A,#N/A,FALSE,"단축2";#N/A,#N/A,FALSE,"단축3";#N/A,#N/A,FALSE,"장축";#N/A,#N/A,FALSE,"4WD"}</definedName>
    <definedName name="격려금기초자료11" localSheetId="24" hidden="1">{#N/A,#N/A,FALSE,"단축1";#N/A,#N/A,FALSE,"단축2";#N/A,#N/A,FALSE,"단축3";#N/A,#N/A,FALSE,"장축";#N/A,#N/A,FALSE,"4WD"}</definedName>
    <definedName name="격려금기초자료11" hidden="1">{#N/A,#N/A,FALSE,"단축1";#N/A,#N/A,FALSE,"단축2";#N/A,#N/A,FALSE,"단축3";#N/A,#N/A,FALSE,"장축";#N/A,#N/A,FALSE,"4WD"}</definedName>
    <definedName name="견적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3" hidden="1">{#N/A,#N/A,FALSE,"CCTV"}</definedName>
    <definedName name="견적내역" localSheetId="18" hidden="1">{#N/A,#N/A,FALSE,"CCTV"}</definedName>
    <definedName name="견적내역" localSheetId="24" hidden="1">{#N/A,#N/A,FALSE,"CCTV"}</definedName>
    <definedName name="견적내역" hidden="1">{#N/A,#N/A,FALSE,"CCTV"}</definedName>
    <definedName name="견적대실행" localSheetId="23" hidden="1">{#N/A,#N/A,FALSE,"CAM-G7";#N/A,#N/A,FALSE,"SPL";#N/A,#N/A,FALSE,"butt-in G7";#N/A,#N/A,FALSE,"dia-in G7";#N/A,#N/A,FALSE,"추가-STA G7"}</definedName>
    <definedName name="견적대실행" localSheetId="18" hidden="1">{#N/A,#N/A,FALSE,"CAM-G7";#N/A,#N/A,FALSE,"SPL";#N/A,#N/A,FALSE,"butt-in G7";#N/A,#N/A,FALSE,"dia-in G7";#N/A,#N/A,FALSE,"추가-STA G7"}</definedName>
    <definedName name="견적대실행" localSheetId="24" hidden="1">{#N/A,#N/A,FALSE,"CAM-G7";#N/A,#N/A,FALSE,"SPL";#N/A,#N/A,FALSE,"butt-in G7";#N/A,#N/A,FALSE,"dia-in G7";#N/A,#N/A,FALSE,"추가-STA G7"}</definedName>
    <definedName name="견적대실행" hidden="1">{#N/A,#N/A,FALSE,"CAM-G7";#N/A,#N/A,FALSE,"SPL";#N/A,#N/A,FALSE,"butt-in G7";#N/A,#N/A,FALSE,"dia-in G7";#N/A,#N/A,FALSE,"추가-STA G7"}</definedName>
    <definedName name="견적서" localSheetId="23" hidden="1">{#N/A,#N/A,FALSE,"CAM-G7";#N/A,#N/A,FALSE,"SPL";#N/A,#N/A,FALSE,"butt-in G7";#N/A,#N/A,FALSE,"dia-in G7";#N/A,#N/A,FALSE,"추가-STA G7"}</definedName>
    <definedName name="견적서" localSheetId="18" hidden="1">{#N/A,#N/A,FALSE,"CAM-G7";#N/A,#N/A,FALSE,"SPL";#N/A,#N/A,FALSE,"butt-in G7";#N/A,#N/A,FALSE,"dia-in G7";#N/A,#N/A,FALSE,"추가-STA G7"}</definedName>
    <definedName name="견적서" localSheetId="24" hidden="1">{#N/A,#N/A,FALSE,"CAM-G7";#N/A,#N/A,FALSE,"SPL";#N/A,#N/A,FALSE,"butt-in G7";#N/A,#N/A,FALSE,"dia-in G7";#N/A,#N/A,FALSE,"추가-STA G7"}</definedName>
    <definedName name="견적서" hidden="1">{#N/A,#N/A,FALSE,"CAM-G7";#N/A,#N/A,FALSE,"SPL";#N/A,#N/A,FALSE,"butt-in G7";#N/A,#N/A,FALSE,"dia-in G7";#N/A,#N/A,FALSE,"추가-STA G7"}</definedName>
    <definedName name="견적조건" localSheetId="23" hidden="1">{#N/A,#N/A,FALSE,"CCTV"}</definedName>
    <definedName name="견적조건" localSheetId="18" hidden="1">{#N/A,#N/A,FALSE,"CCTV"}</definedName>
    <definedName name="견적조건" localSheetId="24" hidden="1">{#N/A,#N/A,FALSE,"CCTV"}</definedName>
    <definedName name="견적조건" hidden="1">{#N/A,#N/A,FALSE,"CCTV"}</definedName>
    <definedName name="견적조건8" localSheetId="23" hidden="1">{#N/A,#N/A,FALSE,"CCTV"}</definedName>
    <definedName name="견적조건8" localSheetId="18" hidden="1">{#N/A,#N/A,FALSE,"CCTV"}</definedName>
    <definedName name="견적조건8" localSheetId="24" hidden="1">{#N/A,#N/A,FALSE,"CCTV"}</definedName>
    <definedName name="견적조건8" hidden="1">{#N/A,#N/A,FALSE,"CCTV"}</definedName>
    <definedName name="결과표1">'A&amp;R'!$AN$42:$AN$55</definedName>
    <definedName name="결과표2">'A&amp;R'!$AN$42:$AN$57</definedName>
    <definedName name="결산성과"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3" hidden="1">{#N/A,#N/A,FALSE,"동부"}</definedName>
    <definedName name="경비2" localSheetId="18" hidden="1">{#N/A,#N/A,FALSE,"동부"}</definedName>
    <definedName name="경비2" localSheetId="24" hidden="1">{#N/A,#N/A,FALSE,"동부"}</definedName>
    <definedName name="경비2" hidden="1">{#N/A,#N/A,FALSE,"동부"}</definedName>
    <definedName name="경비집계" localSheetId="23" hidden="1">{"'용역비'!$A$4:$C$8"}</definedName>
    <definedName name="경비집계" localSheetId="18" hidden="1">{"'용역비'!$A$4:$C$8"}</definedName>
    <definedName name="경비집계" localSheetId="24" hidden="1">{"'용역비'!$A$4:$C$8"}</definedName>
    <definedName name="경비집계" hidden="1">{"'용역비'!$A$4:$C$8"}</definedName>
    <definedName name="경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3" hidden="1">{#N/A,#N/A,FALSE,"단축1";#N/A,#N/A,FALSE,"단축2";#N/A,#N/A,FALSE,"단축3";#N/A,#N/A,FALSE,"장축";#N/A,#N/A,FALSE,"4WD"}</definedName>
    <definedName name="경상비8월" localSheetId="18" hidden="1">{#N/A,#N/A,FALSE,"단축1";#N/A,#N/A,FALSE,"단축2";#N/A,#N/A,FALSE,"단축3";#N/A,#N/A,FALSE,"장축";#N/A,#N/A,FALSE,"4WD"}</definedName>
    <definedName name="경상비8월" localSheetId="24" hidden="1">{#N/A,#N/A,FALSE,"단축1";#N/A,#N/A,FALSE,"단축2";#N/A,#N/A,FALSE,"단축3";#N/A,#N/A,FALSE,"장축";#N/A,#N/A,FALSE,"4WD"}</definedName>
    <definedName name="경상비8월" hidden="1">{#N/A,#N/A,FALSE,"단축1";#N/A,#N/A,FALSE,"단축2";#N/A,#N/A,FALSE,"단축3";#N/A,#N/A,FALSE,"장축";#N/A,#N/A,FALSE,"4WD"}</definedName>
    <definedName name="경양"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3" hidden="1">{#N/A,#N/A,FALSE,"97년 투자계획 세부내역 "}</definedName>
    <definedName name="경쟁사동향" localSheetId="18" hidden="1">{#N/A,#N/A,FALSE,"97년 투자계획 세부내역 "}</definedName>
    <definedName name="경쟁사동향" localSheetId="24" hidden="1">{#N/A,#N/A,FALSE,"97년 투자계획 세부내역 "}</definedName>
    <definedName name="경쟁사동향" hidden="1">{#N/A,#N/A,FALSE,"97년 투자계획 세부내역 "}</definedName>
    <definedName name="경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3" hidden="1">{#N/A,#N/A,FALSE,"1.CRITERIA";#N/A,#N/A,FALSE,"2.IS";#N/A,#N/A,FALSE,"3.BS";#N/A,#N/A,FALSE,"4.PER PL";#N/A,#N/A,FALSE,"5.INVESTMENT";#N/A,#N/A,FALSE,"6.공문";#N/A,#N/A,FALSE,"7.netinvest"}</definedName>
    <definedName name="계산" localSheetId="18" hidden="1">{#N/A,#N/A,FALSE,"1.CRITERIA";#N/A,#N/A,FALSE,"2.IS";#N/A,#N/A,FALSE,"3.BS";#N/A,#N/A,FALSE,"4.PER PL";#N/A,#N/A,FALSE,"5.INVESTMENT";#N/A,#N/A,FALSE,"6.공문";#N/A,#N/A,FALSE,"7.netinvest"}</definedName>
    <definedName name="계산" localSheetId="24"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3" hidden="1">{#N/A,#N/A,FALSE,"지침";#N/A,#N/A,FALSE,"환경분석";#N/A,#N/A,FALSE,"Sheet16"}</definedName>
    <definedName name="계수" localSheetId="18" hidden="1">{#N/A,#N/A,FALSE,"지침";#N/A,#N/A,FALSE,"환경분석";#N/A,#N/A,FALSE,"Sheet16"}</definedName>
    <definedName name="계수" localSheetId="24" hidden="1">{#N/A,#N/A,FALSE,"지침";#N/A,#N/A,FALSE,"환경분석";#N/A,#N/A,FALSE,"Sheet16"}</definedName>
    <definedName name="계수" hidden="1">{#N/A,#N/A,FALSE,"지침";#N/A,#N/A,FALSE,"환경분석";#N/A,#N/A,FALSE,"Sheet16"}</definedName>
    <definedName name="계측기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3" hidden="1">{"DCF-北海道",#N/A,TRUE,"北海道";"DCF-東北",#N/A,TRUE,"東北";"DCF-東海",#N/A,TRUE,"東海";"DCF-北陸",#N/A,TRUE,"北陸";"DCF-関西",#N/A,TRUE,"関西";"DCF-中国",#N/A,TRUE,"中国";"DCF-四国",#N/A,TRUE,"四国";"DCF-九州",#N/A,TRUE,"九州";"DCF-連結",#N/A,TRUE,"連結"}</definedName>
    <definedName name="系統外出資金" localSheetId="18" hidden="1">{"DCF-北海道",#N/A,TRUE,"北海道";"DCF-東北",#N/A,TRUE,"東北";"DCF-東海",#N/A,TRUE,"東海";"DCF-北陸",#N/A,TRUE,"北陸";"DCF-関西",#N/A,TRUE,"関西";"DCF-中国",#N/A,TRUE,"中国";"DCF-四国",#N/A,TRUE,"四国";"DCF-九州",#N/A,TRUE,"九州";"DCF-連結",#N/A,TRUE,"連結"}</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3" hidden="1">{"DCF-北海道",#N/A,TRUE,"北海道";"DCF-東北",#N/A,TRUE,"東北";"DCF-東海",#N/A,TRUE,"東海";"DCF-北陸",#N/A,TRUE,"北陸";"DCF-関西",#N/A,TRUE,"関西";"DCF-中国",#N/A,TRUE,"中国";"DCF-四国",#N/A,TRUE,"四国";"DCF-九州",#N/A,TRUE,"九州";"DCF-連結",#N/A,TRUE,"連結"}</definedName>
    <definedName name="系統出資金" localSheetId="18"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3" hidden="1">{#N/A,#N/A,FALSE,"97년 투자계획 세부내역 "}</definedName>
    <definedName name="고" localSheetId="18" hidden="1">{#N/A,#N/A,FALSE,"97년 투자계획 세부내역 "}</definedName>
    <definedName name="고" localSheetId="24" hidden="1">{#N/A,#N/A,FALSE,"97년 투자계획 세부내역 "}</definedName>
    <definedName name="고" hidden="1">{#N/A,#N/A,FALSE,"97년 투자계획 세부내역 "}</definedName>
    <definedName name="고객" localSheetId="23" hidden="1">{"'7'!$B$15:$D$32"}</definedName>
    <definedName name="고객" localSheetId="18" hidden="1">{"'7'!$B$15:$D$32"}</definedName>
    <definedName name="고객" localSheetId="24" hidden="1">{"'7'!$B$15:$D$32"}</definedName>
    <definedName name="고객" hidden="1">{"'7'!$B$15:$D$32"}</definedName>
    <definedName name="고고" localSheetId="23" hidden="1">{"'통신지'!$A$1:$J$41"}</definedName>
    <definedName name="고고" localSheetId="18" hidden="1">{"'통신지'!$A$1:$J$41"}</definedName>
    <definedName name="고고" localSheetId="24" hidden="1">{"'통신지'!$A$1:$J$41"}</definedName>
    <definedName name="고고" hidden="1">{"'통신지'!$A$1:$J$41"}</definedName>
    <definedName name="고재석" localSheetId="23" hidden="1">{#N/A,#N/A,FALSE,"97년 투자계획 세부내역 "}</definedName>
    <definedName name="고재석" localSheetId="18" hidden="1">{#N/A,#N/A,FALSE,"97년 투자계획 세부내역 "}</definedName>
    <definedName name="고재석" localSheetId="24" hidden="1">{#N/A,#N/A,FALSE,"97년 투자계획 세부내역 "}</definedName>
    <definedName name="고재석" hidden="1">{#N/A,#N/A,FALSE,"97년 투자계획 세부내역 "}</definedName>
    <definedName name="곡동" localSheetId="23" hidden="1">{"'Firr(선)'!$AS$1:$AY$62","'Firr(사)'!$AS$1:$AY$62","'Firr(회)'!$AS$1:$AY$62","'Firr(선)'!$L$1:$V$62","'Firr(사)'!$L$1:$V$62","'Firr(회)'!$L$1:$V$62"}</definedName>
    <definedName name="곡동" localSheetId="18" hidden="1">{"'Firr(선)'!$AS$1:$AY$62","'Firr(사)'!$AS$1:$AY$62","'Firr(회)'!$AS$1:$AY$62","'Firr(선)'!$L$1:$V$62","'Firr(사)'!$L$1:$V$62","'Firr(회)'!$L$1:$V$62"}</definedName>
    <definedName name="곡동" localSheetId="24" hidden="1">{"'Firr(선)'!$AS$1:$AY$62","'Firr(사)'!$AS$1:$AY$62","'Firr(회)'!$AS$1:$AY$62","'Firr(선)'!$L$1:$V$62","'Firr(사)'!$L$1:$V$62","'Firr(회)'!$L$1:$V$62"}</definedName>
    <definedName name="곡동" hidden="1">{"'Firr(선)'!$AS$1:$AY$62","'Firr(사)'!$AS$1:$AY$62","'Firr(회)'!$AS$1:$AY$62","'Firr(선)'!$L$1:$V$62","'Firr(사)'!$L$1:$V$62","'Firr(회)'!$L$1:$V$62"}</definedName>
    <definedName name="곡동1" localSheetId="23" hidden="1">{"'Firr(선)'!$AS$1:$AY$62","'Firr(사)'!$AS$1:$AY$62","'Firr(회)'!$AS$1:$AY$62","'Firr(선)'!$L$1:$V$62","'Firr(사)'!$L$1:$V$62","'Firr(회)'!$L$1:$V$62"}</definedName>
    <definedName name="곡동1" localSheetId="18" hidden="1">{"'Firr(선)'!$AS$1:$AY$62","'Firr(사)'!$AS$1:$AY$62","'Firr(회)'!$AS$1:$AY$62","'Firr(선)'!$L$1:$V$62","'Firr(사)'!$L$1:$V$62","'Firr(회)'!$L$1:$V$62"}</definedName>
    <definedName name="곡동1" localSheetId="24"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3" hidden="1">{"'손익현황'!$A$1:$J$29"}</definedName>
    <definedName name="공구기구" localSheetId="18" hidden="1">{"'손익현황'!$A$1:$J$29"}</definedName>
    <definedName name="공구기구" localSheetId="24" hidden="1">{"'손익현황'!$A$1:$J$29"}</definedName>
    <definedName name="공구기구" hidden="1">{"'손익현황'!$A$1:$J$29"}</definedName>
    <definedName name="공기구" localSheetId="23" hidden="1">{"'용역비'!$A$4:$C$8"}</definedName>
    <definedName name="공기구" localSheetId="18" hidden="1">{"'용역비'!$A$4:$C$8"}</definedName>
    <definedName name="공기구" localSheetId="24" hidden="1">{"'용역비'!$A$4:$C$8"}</definedName>
    <definedName name="공기구" hidden="1">{"'용역비'!$A$4:$C$8"}</definedName>
    <definedName name="공동구토공" localSheetId="23" hidden="1">{#N/A,#N/A,FALSE,"기안지";#N/A,#N/A,FALSE,"통신지"}</definedName>
    <definedName name="공동구토공" localSheetId="18" hidden="1">{#N/A,#N/A,FALSE,"기안지";#N/A,#N/A,FALSE,"통신지"}</definedName>
    <definedName name="공동구토공" localSheetId="24" hidden="1">{#N/A,#N/A,FALSE,"기안지";#N/A,#N/A,FALSE,"통신지"}</definedName>
    <definedName name="공동구토공" hidden="1">{#N/A,#N/A,FALSE,"기안지";#N/A,#N/A,FALSE,"통신지"}</definedName>
    <definedName name="공실대상" localSheetId="23" hidden="1">{#N/A,#N/A,FALSE,"동부"}</definedName>
    <definedName name="공실대상" localSheetId="18" hidden="1">{#N/A,#N/A,FALSE,"동부"}</definedName>
    <definedName name="공실대상" localSheetId="24" hidden="1">{#N/A,#N/A,FALSE,"동부"}</definedName>
    <definedName name="공실대상" hidden="1">{#N/A,#N/A,FALSE,"동부"}</definedName>
    <definedName name="공실대상현황" localSheetId="23" hidden="1">{#N/A,#N/A,FALSE,"동부"}</definedName>
    <definedName name="공실대상현황" localSheetId="18" hidden="1">{#N/A,#N/A,FALSE,"동부"}</definedName>
    <definedName name="공실대상현황" localSheetId="24" hidden="1">{#N/A,#N/A,FALSE,"동부"}</definedName>
    <definedName name="공실대상현황" hidden="1">{#N/A,#N/A,FALSE,"동부"}</definedName>
    <definedName name="공정기술안" localSheetId="23" hidden="1">{#N/A,#N/A,FALSE,"단축1";#N/A,#N/A,FALSE,"단축2";#N/A,#N/A,FALSE,"단축3";#N/A,#N/A,FALSE,"장축";#N/A,#N/A,FALSE,"4WD"}</definedName>
    <definedName name="공정기술안" localSheetId="18" hidden="1">{#N/A,#N/A,FALSE,"단축1";#N/A,#N/A,FALSE,"단축2";#N/A,#N/A,FALSE,"단축3";#N/A,#N/A,FALSE,"장축";#N/A,#N/A,FALSE,"4WD"}</definedName>
    <definedName name="공정기술안" localSheetId="24" hidden="1">{#N/A,#N/A,FALSE,"단축1";#N/A,#N/A,FALSE,"단축2";#N/A,#N/A,FALSE,"단축3";#N/A,#N/A,FALSE,"장축";#N/A,#N/A,FALSE,"4WD"}</definedName>
    <definedName name="공정기술안" hidden="1">{#N/A,#N/A,FALSE,"단축1";#N/A,#N/A,FALSE,"단축2";#N/A,#N/A,FALSE,"단축3";#N/A,#N/A,FALSE,"장축";#N/A,#N/A,FALSE,"4WD"}</definedName>
    <definedName name="공정율" localSheetId="23" hidden="1">{#N/A,#N/A,FALSE,"이태원철근"}</definedName>
    <definedName name="공정율" localSheetId="18" hidden="1">{#N/A,#N/A,FALSE,"이태원철근"}</definedName>
    <definedName name="공정율" localSheetId="24" hidden="1">{#N/A,#N/A,FALSE,"이태원철근"}</definedName>
    <definedName name="공정율" hidden="1">{#N/A,#N/A,FALSE,"이태원철근"}</definedName>
    <definedName name="공정율수정" localSheetId="23" hidden="1">{#N/A,#N/A,FALSE,"이태원철근"}</definedName>
    <definedName name="공정율수정" localSheetId="18" hidden="1">{#N/A,#N/A,FALSE,"이태원철근"}</definedName>
    <definedName name="공정율수정" localSheetId="24" hidden="1">{#N/A,#N/A,FALSE,"이태원철근"}</definedName>
    <definedName name="공정율수정" hidden="1">{#N/A,#N/A,FALSE,"이태원철근"}</definedName>
    <definedName name="공주2" localSheetId="23" hidden="1">{#N/A,#N/A,FALSE,"동부"}</definedName>
    <definedName name="공주2" localSheetId="18" hidden="1">{#N/A,#N/A,FALSE,"동부"}</definedName>
    <definedName name="공주2" localSheetId="24" hidden="1">{#N/A,#N/A,FALSE,"동부"}</definedName>
    <definedName name="공주2" hidden="1">{#N/A,#N/A,FALSE,"동부"}</definedName>
    <definedName name="곽동준" localSheetId="23" hidden="1">{"'Firr(선)'!$AS$1:$AY$62","'Firr(사)'!$AS$1:$AY$62","'Firr(회)'!$AS$1:$AY$62","'Firr(선)'!$L$1:$V$62","'Firr(사)'!$L$1:$V$62","'Firr(회)'!$L$1:$V$62"}</definedName>
    <definedName name="곽동준" localSheetId="18" hidden="1">{"'Firr(선)'!$AS$1:$AY$62","'Firr(사)'!$AS$1:$AY$62","'Firr(회)'!$AS$1:$AY$62","'Firr(선)'!$L$1:$V$62","'Firr(사)'!$L$1:$V$62","'Firr(회)'!$L$1:$V$62"}</definedName>
    <definedName name="곽동준" localSheetId="24" hidden="1">{"'Firr(선)'!$AS$1:$AY$62","'Firr(사)'!$AS$1:$AY$62","'Firr(회)'!$AS$1:$AY$62","'Firr(선)'!$L$1:$V$62","'Firr(사)'!$L$1:$V$62","'Firr(회)'!$L$1:$V$62"}</definedName>
    <definedName name="곽동준" hidden="1">{"'Firr(선)'!$AS$1:$AY$62","'Firr(사)'!$AS$1:$AY$62","'Firr(회)'!$AS$1:$AY$62","'Firr(선)'!$L$1:$V$62","'Firr(사)'!$L$1:$V$62","'Firr(회)'!$L$1:$V$62"}</definedName>
    <definedName name="곽동중" localSheetId="23" hidden="1">{"'Firr(선)'!$AS$1:$AY$62","'Firr(사)'!$AS$1:$AY$62","'Firr(회)'!$AS$1:$AY$62","'Firr(선)'!$L$1:$V$62","'Firr(사)'!$L$1:$V$62","'Firr(회)'!$L$1:$V$62"}</definedName>
    <definedName name="곽동중" localSheetId="18" hidden="1">{"'Firr(선)'!$AS$1:$AY$62","'Firr(사)'!$AS$1:$AY$62","'Firr(회)'!$AS$1:$AY$62","'Firr(선)'!$L$1:$V$62","'Firr(사)'!$L$1:$V$62","'Firr(회)'!$L$1:$V$62"}</definedName>
    <definedName name="곽동중" localSheetId="24" hidden="1">{"'Firr(선)'!$AS$1:$AY$62","'Firr(사)'!$AS$1:$AY$62","'Firr(회)'!$AS$1:$AY$62","'Firr(선)'!$L$1:$V$62","'Firr(사)'!$L$1:$V$62","'Firr(회)'!$L$1:$V$62"}</definedName>
    <definedName name="곽동중" hidden="1">{"'Firr(선)'!$AS$1:$AY$62","'Firr(사)'!$AS$1:$AY$62","'Firr(회)'!$AS$1:$AY$62","'Firr(선)'!$L$1:$V$62","'Firr(사)'!$L$1:$V$62","'Firr(회)'!$L$1:$V$62"}</definedName>
    <definedName name="관계회사" localSheetId="23" hidden="1">{"'9월'!$F$38"}</definedName>
    <definedName name="관계회사" localSheetId="18" hidden="1">{"'9월'!$F$38"}</definedName>
    <definedName name="관계회사" localSheetId="24" hidden="1">{"'9월'!$F$38"}</definedName>
    <definedName name="관계회사" hidden="1">{"'9월'!$F$38"}</definedName>
    <definedName name="관계회사2" localSheetId="23" hidden="1">{"'9월'!$F$38"}</definedName>
    <definedName name="관계회사2" localSheetId="18" hidden="1">{"'9월'!$F$38"}</definedName>
    <definedName name="관계회사2" localSheetId="24" hidden="1">{"'9월'!$F$38"}</definedName>
    <definedName name="관계회사2" hidden="1">{"'9월'!$F$38"}</definedName>
    <definedName name="管理概要2" localSheetId="23" hidden="1">{"賃貸事例比較法",#N/A,FALSE,"Sheet2";"賃貸条件",#N/A,FALSE,"Sheet2"}</definedName>
    <definedName name="管理概要2" localSheetId="18" hidden="1">{"賃貸事例比較法",#N/A,FALSE,"Sheet2";"賃貸条件",#N/A,FALSE,"Sheet2"}</definedName>
    <definedName name="管理概要2" localSheetId="24" hidden="1">{"賃貸事例比較法",#N/A,FALSE,"Sheet2";"賃貸条件",#N/A,FALSE,"Sheet2"}</definedName>
    <definedName name="管理概要2" hidden="1">{"賃貸事例比較法",#N/A,FALSE,"Sheet2";"賃貸条件",#N/A,FALSE,"Sheet2"}</definedName>
    <definedName name="관실적"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3" hidden="1">{#N/A,#N/A,FALSE,"Sheet6"}</definedName>
    <definedName name="광역위치도" localSheetId="18" hidden="1">{#N/A,#N/A,FALSE,"Sheet6"}</definedName>
    <definedName name="광역위치도" localSheetId="24" hidden="1">{#N/A,#N/A,FALSE,"Sheet6"}</definedName>
    <definedName name="광역위치도" hidden="1">{#N/A,#N/A,FALSE,"Sheet6"}</definedName>
    <definedName name="교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3" hidden="1">{#N/A,#N/A,FALSE,"구조2"}</definedName>
    <definedName name="구" localSheetId="18" hidden="1">{#N/A,#N/A,FALSE,"구조2"}</definedName>
    <definedName name="구" localSheetId="24" hidden="1">{#N/A,#N/A,FALSE,"구조2"}</definedName>
    <definedName name="구" hidden="1">{#N/A,#N/A,FALSE,"구조2"}</definedName>
    <definedName name="九段南" localSheetId="23" hidden="1">{"Actual",#N/A,FALSE,"(価格)";"Market",#N/A,FALSE,"(価格)";"Plan",#N/A,FALSE,"(価格)"}</definedName>
    <definedName name="九段南" localSheetId="18" hidden="1">{"Actual",#N/A,FALSE,"(価格)";"Market",#N/A,FALSE,"(価格)";"Plan",#N/A,FALSE,"(価格)"}</definedName>
    <definedName name="九段南" localSheetId="24" hidden="1">{"Actual",#N/A,FALSE,"(価格)";"Market",#N/A,FALSE,"(価格)";"Plan",#N/A,FALSE,"(価格)"}</definedName>
    <definedName name="九段南" hidden="1">{"Actual",#N/A,FALSE,"(価格)";"Market",#N/A,FALSE,"(価格)";"Plan",#N/A,FALSE,"(価格)"}</definedName>
    <definedName name="구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3" hidden="1">{"'손익현황'!$A$1:$J$29"}</definedName>
    <definedName name="구축물" localSheetId="18" hidden="1">{"'손익현황'!$A$1:$J$29"}</definedName>
    <definedName name="구축물" localSheetId="24" hidden="1">{"'손익현황'!$A$1:$J$29"}</definedName>
    <definedName name="구축물" hidden="1">{"'손익현황'!$A$1:$J$29"}</definedName>
    <definedName name="구축물임" localSheetId="23" hidden="1">{"'손익현황'!$A$1:$J$29"}</definedName>
    <definedName name="구축물임" localSheetId="18" hidden="1">{"'손익현황'!$A$1:$J$29"}</definedName>
    <definedName name="구축물임" localSheetId="24" hidden="1">{"'손익현황'!$A$1:$J$29"}</definedName>
    <definedName name="구축물임" hidden="1">{"'손익현황'!$A$1:$J$29"}</definedName>
    <definedName name="국제거래"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3" hidden="1">{#N/A,#N/A,FALSE,"CCTV"}</definedName>
    <definedName name="권대협" localSheetId="18" hidden="1">{#N/A,#N/A,FALSE,"CCTV"}</definedName>
    <definedName name="권대협" localSheetId="24" hidden="1">{#N/A,#N/A,FALSE,"CCTV"}</definedName>
    <definedName name="권대협" hidden="1">{#N/A,#N/A,FALSE,"CCTV"}</definedName>
    <definedName name="규남이"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3" hidden="1">{#N/A,#N/A,FALSE,"현장 NCR 분석";#N/A,#N/A,FALSE,"현장품질감사";#N/A,#N/A,FALSE,"현장품질감사"}</definedName>
    <definedName name="그린네트" localSheetId="18" hidden="1">{#N/A,#N/A,FALSE,"현장 NCR 분석";#N/A,#N/A,FALSE,"현장품질감사";#N/A,#N/A,FALSE,"현장품질감사"}</definedName>
    <definedName name="그린네트" localSheetId="24" hidden="1">{#N/A,#N/A,FALSE,"현장 NCR 분석";#N/A,#N/A,FALSE,"현장품질감사";#N/A,#N/A,FALSE,"현장품질감사"}</definedName>
    <definedName name="그린네트" hidden="1">{#N/A,#N/A,FALSE,"현장 NCR 분석";#N/A,#N/A,FALSE,"현장품질감사";#N/A,#N/A,FALSE,"현장품질감사"}</definedName>
    <definedName name="그수임" localSheetId="23" hidden="1">{#N/A,#N/A,FALSE,"97년 투자계획 세부내역 "}</definedName>
    <definedName name="그수임" localSheetId="18" hidden="1">{#N/A,#N/A,FALSE,"97년 투자계획 세부내역 "}</definedName>
    <definedName name="그수임" localSheetId="24" hidden="1">{#N/A,#N/A,FALSE,"97년 투자계획 세부내역 "}</definedName>
    <definedName name="그수임" hidden="1">{#N/A,#N/A,FALSE,"97년 투자계획 세부내역 "}</definedName>
    <definedName name="근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3" hidden="1">{#N/A,#N/A,FALSE,"단축1";#N/A,#N/A,FALSE,"단축2";#N/A,#N/A,FALSE,"단축3";#N/A,#N/A,FALSE,"장축";#N/A,#N/A,FALSE,"4WD"}</definedName>
    <definedName name="근속1" localSheetId="18" hidden="1">{#N/A,#N/A,FALSE,"단축1";#N/A,#N/A,FALSE,"단축2";#N/A,#N/A,FALSE,"단축3";#N/A,#N/A,FALSE,"장축";#N/A,#N/A,FALSE,"4WD"}</definedName>
    <definedName name="근속1" localSheetId="24" hidden="1">{#N/A,#N/A,FALSE,"단축1";#N/A,#N/A,FALSE,"단축2";#N/A,#N/A,FALSE,"단축3";#N/A,#N/A,FALSE,"장축";#N/A,#N/A,FALSE,"4WD"}</definedName>
    <definedName name="근속1" hidden="1">{#N/A,#N/A,FALSE,"단축1";#N/A,#N/A,FALSE,"단축2";#N/A,#N/A,FALSE,"단축3";#N/A,#N/A,FALSE,"장축";#N/A,#N/A,FALSE,"4WD"}</definedName>
    <definedName name="근속현황" localSheetId="23" hidden="1">{#N/A,#N/A,FALSE,"단축1";#N/A,#N/A,FALSE,"단축2";#N/A,#N/A,FALSE,"단축3";#N/A,#N/A,FALSE,"장축";#N/A,#N/A,FALSE,"4WD"}</definedName>
    <definedName name="근속현황" localSheetId="18" hidden="1">{#N/A,#N/A,FALSE,"단축1";#N/A,#N/A,FALSE,"단축2";#N/A,#N/A,FALSE,"단축3";#N/A,#N/A,FALSE,"장축";#N/A,#N/A,FALSE,"4WD"}</definedName>
    <definedName name="근속현황" localSheetId="24" hidden="1">{#N/A,#N/A,FALSE,"단축1";#N/A,#N/A,FALSE,"단축2";#N/A,#N/A,FALSE,"단축3";#N/A,#N/A,FALSE,"장축";#N/A,#N/A,FALSE,"4WD"}</definedName>
    <definedName name="근속현황" hidden="1">{#N/A,#N/A,FALSE,"단축1";#N/A,#N/A,FALSE,"단축2";#N/A,#N/A,FALSE,"단축3";#N/A,#N/A,FALSE,"장축";#N/A,#N/A,FALSE,"4WD"}</definedName>
    <definedName name="근태현황." localSheetId="23" hidden="1">{#N/A,#N/A,TRUE,"대 차 대 조 표"}</definedName>
    <definedName name="근태현황." localSheetId="18" hidden="1">{#N/A,#N/A,TRUE,"대 차 대 조 표"}</definedName>
    <definedName name="근태현황." localSheetId="24" hidden="1">{#N/A,#N/A,TRUE,"대 차 대 조 표"}</definedName>
    <definedName name="근태현황." hidden="1">{#N/A,#N/A,TRUE,"대 차 대 조 표"}</definedName>
    <definedName name="글쎄" localSheetId="23" hidden="1">{#N/A,#N/A,FALSE,"97년 투자계획 세부내역 "}</definedName>
    <definedName name="글쎄" localSheetId="18" hidden="1">{#N/A,#N/A,FALSE,"97년 투자계획 세부내역 "}</definedName>
    <definedName name="글쎄" localSheetId="24" hidden="1">{#N/A,#N/A,FALSE,"97년 투자계획 세부내역 "}</definedName>
    <definedName name="글쎄" hidden="1">{#N/A,#N/A,FALSE,"97년 투자계획 세부내역 "}</definedName>
    <definedName name="금오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3" hidden="1">{#N/A,#N/A,FALSE,"1.CRITERIA";#N/A,#N/A,FALSE,"2.IS";#N/A,#N/A,FALSE,"3.BS";#N/A,#N/A,FALSE,"4.PER PL";#N/A,#N/A,FALSE,"5.INVESTMENT";#N/A,#N/A,FALSE,"6.공문";#N/A,#N/A,FALSE,"7.netinvest"}</definedName>
    <definedName name="기" localSheetId="18" hidden="1">{#N/A,#N/A,FALSE,"1.CRITERIA";#N/A,#N/A,FALSE,"2.IS";#N/A,#N/A,FALSE,"3.BS";#N/A,#N/A,FALSE,"4.PER PL";#N/A,#N/A,FALSE,"5.INVESTMENT";#N/A,#N/A,FALSE,"6.공문";#N/A,#N/A,FALSE,"7.netinvest"}</definedName>
    <definedName name="기" localSheetId="24"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3" hidden="1">{#N/A,#N/A,FALSE,"견적갑지";#N/A,#N/A,FALSE,"총괄표";#N/A,#N/A,FALSE,"철골공사";#N/A,#N/A,FALSE,"토목공사";#N/A,#N/A,FALSE,"판넬전기공사"}</definedName>
    <definedName name="기계" localSheetId="18" hidden="1">{#N/A,#N/A,FALSE,"견적갑지";#N/A,#N/A,FALSE,"총괄표";#N/A,#N/A,FALSE,"철골공사";#N/A,#N/A,FALSE,"토목공사";#N/A,#N/A,FALSE,"판넬전기공사"}</definedName>
    <definedName name="기계" localSheetId="24"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3" hidden="1">{#N/A,#N/A,FALSE,"견적갑지";#N/A,#N/A,FALSE,"총괄표";#N/A,#N/A,FALSE,"철골공사";#N/A,#N/A,FALSE,"토목공사";#N/A,#N/A,FALSE,"판넬전기공사"}</definedName>
    <definedName name="기계1" localSheetId="18"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3" hidden="1">{#N/A,#N/A,FALSE,"견적갑지";#N/A,#N/A,FALSE,"총괄표";#N/A,#N/A,FALSE,"철골공사";#N/A,#N/A,FALSE,"토목공사";#N/A,#N/A,FALSE,"판넬전기공사"}</definedName>
    <definedName name="기계2" localSheetId="18"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3" hidden="1">{#N/A,#N/A,FALSE,"견적갑지";#N/A,#N/A,FALSE,"총괄표";#N/A,#N/A,FALSE,"철골공사";#N/A,#N/A,FALSE,"토목공사";#N/A,#N/A,FALSE,"판넬전기공사"}</definedName>
    <definedName name="기계5" localSheetId="18"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3" hidden="1">{"'손익현황'!$A$1:$J$29"}</definedName>
    <definedName name="기계장치" localSheetId="18" hidden="1">{"'손익현황'!$A$1:$J$29"}</definedName>
    <definedName name="기계장치" localSheetId="24" hidden="1">{"'손익현황'!$A$1:$J$29"}</definedName>
    <definedName name="기계장치" hidden="1">{"'손익현황'!$A$1:$J$29"}</definedName>
    <definedName name="기계집계" localSheetId="23" hidden="1">{#N/A,#N/A,FALSE,"견적갑지";#N/A,#N/A,FALSE,"총괄표";#N/A,#N/A,FALSE,"철골공사";#N/A,#N/A,FALSE,"토목공사";#N/A,#N/A,FALSE,"판넬전기공사"}</definedName>
    <definedName name="기계집계" localSheetId="18" hidden="1">{#N/A,#N/A,FALSE,"견적갑지";#N/A,#N/A,FALSE,"총괄표";#N/A,#N/A,FALSE,"철골공사";#N/A,#N/A,FALSE,"토목공사";#N/A,#N/A,FALSE,"판넬전기공사"}</definedName>
    <definedName name="기계집계" localSheetId="24"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3" hidden="1">{#N/A,#N/A,FALSE,"BS";#N/A,#N/A,FALSE,"PL";#N/A,#N/A,FALSE,"처분";#N/A,#N/A,FALSE,"현금";#N/A,#N/A,FALSE,"매출";#N/A,#N/A,FALSE,"원가";#N/A,#N/A,FALSE,"경영"}</definedName>
    <definedName name="기말중점검토" localSheetId="18" hidden="1">{#N/A,#N/A,FALSE,"BS";#N/A,#N/A,FALSE,"PL";#N/A,#N/A,FALSE,"처분";#N/A,#N/A,FALSE,"현금";#N/A,#N/A,FALSE,"매출";#N/A,#N/A,FALSE,"원가";#N/A,#N/A,FALSE,"경영"}</definedName>
    <definedName name="기말중점검토" localSheetId="24"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3" hidden="1">{#N/A,#N/A,FALSE,"CCTV"}</definedName>
    <definedName name="기성3" localSheetId="18" hidden="1">{#N/A,#N/A,FALSE,"CCTV"}</definedName>
    <definedName name="기성3" localSheetId="24" hidden="1">{#N/A,#N/A,FALSE,"CCTV"}</definedName>
    <definedName name="기성3" hidden="1">{#N/A,#N/A,FALSE,"CCTV"}</definedName>
    <definedName name="기성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3" hidden="1">{"'용역비'!$A$4:$C$8"}</definedName>
    <definedName name="기술료산출표" localSheetId="18" hidden="1">{"'용역비'!$A$4:$C$8"}</definedName>
    <definedName name="기술료산출표" localSheetId="24" hidden="1">{"'용역비'!$A$4:$C$8"}</definedName>
    <definedName name="기술료산출표" hidden="1">{"'용역비'!$A$4:$C$8"}</definedName>
    <definedName name="기아" localSheetId="23" hidden="1">{#N/A,#N/A,FALSE,"1.CRITERIA";#N/A,#N/A,FALSE,"2.IS";#N/A,#N/A,FALSE,"3.BS";#N/A,#N/A,FALSE,"4.PER PL";#N/A,#N/A,FALSE,"5.INVESTMENT";#N/A,#N/A,FALSE,"6.공문";#N/A,#N/A,FALSE,"7.netinvest"}</definedName>
    <definedName name="기아" localSheetId="18" hidden="1">{#N/A,#N/A,FALSE,"1.CRITERIA";#N/A,#N/A,FALSE,"2.IS";#N/A,#N/A,FALSE,"3.BS";#N/A,#N/A,FALSE,"4.PER PL";#N/A,#N/A,FALSE,"5.INVESTMENT";#N/A,#N/A,FALSE,"6.공문";#N/A,#N/A,FALSE,"7.netinvest"}</definedName>
    <definedName name="기아" localSheetId="24"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3" hidden="1">{#N/A,#N/A,FALSE,"1.CRITERIA";#N/A,#N/A,FALSE,"2.IS";#N/A,#N/A,FALSE,"3.BS";#N/A,#N/A,FALSE,"4.PER PL";#N/A,#N/A,FALSE,"5.INVESTMENT";#N/A,#N/A,FALSE,"6.공문";#N/A,#N/A,FALSE,"7.netinvest"}</definedName>
    <definedName name="기아차" localSheetId="18"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3" hidden="1">{#N/A,#N/A,TRUE,"토적및재료집계";#N/A,#N/A,TRUE,"토적및재료집계";#N/A,#N/A,TRUE,"단위량"}</definedName>
    <definedName name="기타경비" localSheetId="18" hidden="1">{#N/A,#N/A,TRUE,"토적및재료집계";#N/A,#N/A,TRUE,"토적및재료집계";#N/A,#N/A,TRUE,"단위량"}</definedName>
    <definedName name="기타경비" localSheetId="24" hidden="1">{#N/A,#N/A,TRUE,"토적및재료집계";#N/A,#N/A,TRUE,"토적및재료집계";#N/A,#N/A,TRUE,"단위량"}</definedName>
    <definedName name="기타경비" hidden="1">{#N/A,#N/A,TRUE,"토적및재료집계";#N/A,#N/A,TRUE,"토적및재료집계";#N/A,#N/A,TRUE,"단위량"}</definedName>
    <definedName name="기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3" hidden="1">{#N/A,#N/A,FALSE,"운반시간"}</definedName>
    <definedName name="김금봉" localSheetId="18" hidden="1">{#N/A,#N/A,FALSE,"운반시간"}</definedName>
    <definedName name="김금봉" localSheetId="24" hidden="1">{#N/A,#N/A,FALSE,"운반시간"}</definedName>
    <definedName name="김금봉" hidden="1">{#N/A,#N/A,FALSE,"운반시간"}</definedName>
    <definedName name="김ㄴㅇ리망ㄴ리ㅏㅁ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3" hidden="1">{"'Firr(선)'!$AS$1:$AY$62","'Firr(사)'!$AS$1:$AY$62","'Firr(회)'!$AS$1:$AY$62","'Firr(선)'!$L$1:$V$62","'Firr(사)'!$L$1:$V$62","'Firr(회)'!$L$1:$V$62"}</definedName>
    <definedName name="김동" localSheetId="18" hidden="1">{"'Firr(선)'!$AS$1:$AY$62","'Firr(사)'!$AS$1:$AY$62","'Firr(회)'!$AS$1:$AY$62","'Firr(선)'!$L$1:$V$62","'Firr(사)'!$L$1:$V$62","'Firr(회)'!$L$1:$V$62"}</definedName>
    <definedName name="김동" localSheetId="24" hidden="1">{"'Firr(선)'!$AS$1:$AY$62","'Firr(사)'!$AS$1:$AY$62","'Firr(회)'!$AS$1:$AY$62","'Firr(선)'!$L$1:$V$62","'Firr(사)'!$L$1:$V$62","'Firr(회)'!$L$1:$V$62"}</definedName>
    <definedName name="김동" hidden="1">{"'Firr(선)'!$AS$1:$AY$62","'Firr(사)'!$AS$1:$AY$62","'Firr(회)'!$AS$1:$AY$62","'Firr(선)'!$L$1:$V$62","'Firr(사)'!$L$1:$V$62","'Firr(회)'!$L$1:$V$62"}</definedName>
    <definedName name="김동준" localSheetId="23" hidden="1">{"'Firr(선)'!$AS$1:$AY$62","'Firr(사)'!$AS$1:$AY$62","'Firr(회)'!$AS$1:$AY$62","'Firr(선)'!$L$1:$V$62","'Firr(사)'!$L$1:$V$62","'Firr(회)'!$L$1:$V$62"}</definedName>
    <definedName name="김동준" localSheetId="18" hidden="1">{"'Firr(선)'!$AS$1:$AY$62","'Firr(사)'!$AS$1:$AY$62","'Firr(회)'!$AS$1:$AY$62","'Firr(선)'!$L$1:$V$62","'Firr(사)'!$L$1:$V$62","'Firr(회)'!$L$1:$V$62"}</definedName>
    <definedName name="김동준" localSheetId="24" hidden="1">{"'Firr(선)'!$AS$1:$AY$62","'Firr(사)'!$AS$1:$AY$62","'Firr(회)'!$AS$1:$AY$62","'Firr(선)'!$L$1:$V$62","'Firr(사)'!$L$1:$V$62","'Firr(회)'!$L$1:$V$62"}</definedName>
    <definedName name="김동준" hidden="1">{"'Firr(선)'!$AS$1:$AY$62","'Firr(사)'!$AS$1:$AY$62","'Firr(회)'!$AS$1:$AY$62","'Firr(선)'!$L$1:$V$62","'Firr(사)'!$L$1:$V$62","'Firr(회)'!$L$1:$V$62"}</definedName>
    <definedName name="김선미" localSheetId="23" hidden="1">{"'Firr(선)'!$AS$1:$AY$62","'Firr(사)'!$AS$1:$AY$62","'Firr(회)'!$AS$1:$AY$62","'Firr(선)'!$L$1:$V$62","'Firr(사)'!$L$1:$V$62","'Firr(회)'!$L$1:$V$62"}</definedName>
    <definedName name="김선미" localSheetId="18" hidden="1">{"'Firr(선)'!$AS$1:$AY$62","'Firr(사)'!$AS$1:$AY$62","'Firr(회)'!$AS$1:$AY$62","'Firr(선)'!$L$1:$V$62","'Firr(사)'!$L$1:$V$62","'Firr(회)'!$L$1:$V$62"}</definedName>
    <definedName name="김선미" localSheetId="24" hidden="1">{"'Firr(선)'!$AS$1:$AY$62","'Firr(사)'!$AS$1:$AY$62","'Firr(회)'!$AS$1:$AY$62","'Firr(선)'!$L$1:$V$62","'Firr(사)'!$L$1:$V$62","'Firr(회)'!$L$1:$V$62"}</definedName>
    <definedName name="김선미" hidden="1">{"'Firr(선)'!$AS$1:$AY$62","'Firr(사)'!$AS$1:$AY$62","'Firr(회)'!$AS$1:$AY$62","'Firr(선)'!$L$1:$V$62","'Firr(사)'!$L$1:$V$62","'Firr(회)'!$L$1:$V$62"}</definedName>
    <definedName name="김영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3" hidden="1">{#N/A,#N/A,FALSE,"이력서&amp;자기소개서"}</definedName>
    <definedName name="김재철" localSheetId="18" hidden="1">{#N/A,#N/A,FALSE,"이력서&amp;자기소개서"}</definedName>
    <definedName name="김재철" localSheetId="24" hidden="1">{#N/A,#N/A,FALSE,"이력서&amp;자기소개서"}</definedName>
    <definedName name="김재철" hidden="1">{#N/A,#N/A,FALSE,"이력서&amp;자기소개서"}</definedName>
    <definedName name="김제욱" localSheetId="23" hidden="1">{#N/A,#N/A,FALSE,"지침";#N/A,#N/A,FALSE,"환경분석";#N/A,#N/A,FALSE,"Sheet16"}</definedName>
    <definedName name="김제욱" localSheetId="18" hidden="1">{#N/A,#N/A,FALSE,"지침";#N/A,#N/A,FALSE,"환경분석";#N/A,#N/A,FALSE,"Sheet16"}</definedName>
    <definedName name="김제욱" localSheetId="24" hidden="1">{#N/A,#N/A,FALSE,"지침";#N/A,#N/A,FALSE,"환경분석";#N/A,#N/A,FALSE,"Sheet16"}</definedName>
    <definedName name="김제욱" hidden="1">{#N/A,#N/A,FALSE,"지침";#N/A,#N/A,FALSE,"환경분석";#N/A,#N/A,FALSE,"Sheet16"}</definedName>
    <definedName name="김철희" localSheetId="23" hidden="1">{#N/A,#N/A,TRUE,"대 차 대 조 표"}</definedName>
    <definedName name="김철희" localSheetId="18" hidden="1">{#N/A,#N/A,TRUE,"대 차 대 조 표"}</definedName>
    <definedName name="김철희" localSheetId="24" hidden="1">{#N/A,#N/A,TRUE,"대 차 대 조 표"}</definedName>
    <definedName name="김철희" hidden="1">{#N/A,#N/A,TRUE,"대 차 대 조 표"}</definedName>
    <definedName name="김형수" localSheetId="23" hidden="1">{#N/A,#N/A,FALSE,"CAM-G7";#N/A,#N/A,FALSE,"SPL";#N/A,#N/A,FALSE,"butt-in G7";#N/A,#N/A,FALSE,"dia-in G7";#N/A,#N/A,FALSE,"추가-STA G7"}</definedName>
    <definedName name="김형수" localSheetId="18" hidden="1">{#N/A,#N/A,FALSE,"CAM-G7";#N/A,#N/A,FALSE,"SPL";#N/A,#N/A,FALSE,"butt-in G7";#N/A,#N/A,FALSE,"dia-in G7";#N/A,#N/A,FALSE,"추가-STA G7"}</definedName>
    <definedName name="김형수" localSheetId="24" hidden="1">{#N/A,#N/A,FALSE,"CAM-G7";#N/A,#N/A,FALSE,"SPL";#N/A,#N/A,FALSE,"butt-in G7";#N/A,#N/A,FALSE,"dia-in G7";#N/A,#N/A,FALSE,"추가-STA G7"}</definedName>
    <definedName name="김형수" hidden="1">{#N/A,#N/A,FALSE,"CAM-G7";#N/A,#N/A,FALSE,"SPL";#N/A,#N/A,FALSE,"butt-in G7";#N/A,#N/A,FALSE,"dia-in G7";#N/A,#N/A,FALSE,"추가-STA G7"}</definedName>
    <definedName name="김흥주"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3" hidden="1">{"'용역비'!$A$4:$C$8"}</definedName>
    <definedName name="ㄳㄱ" localSheetId="18" hidden="1">{"'용역비'!$A$4:$C$8"}</definedName>
    <definedName name="ㄳㄱ" localSheetId="24" hidden="1">{"'용역비'!$A$4:$C$8"}</definedName>
    <definedName name="ㄳㄱ" hidden="1">{"'용역비'!$A$4:$C$8"}</definedName>
    <definedName name="ㄳㄳㄳㄳ" localSheetId="23" hidden="1">{"'용역비'!$A$4:$C$8"}</definedName>
    <definedName name="ㄳㄳㄳㄳ" localSheetId="18" hidden="1">{"'용역비'!$A$4:$C$8"}</definedName>
    <definedName name="ㄳㄳㄳㄳ" localSheetId="24" hidden="1">{"'용역비'!$A$4:$C$8"}</definedName>
    <definedName name="ㄳㄳㄳㄳ" hidden="1">{"'용역비'!$A$4:$C$8"}</definedName>
    <definedName name="ㄳㄷㄳ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3" hidden="1">{"'9월'!$F$38"}</definedName>
    <definedName name="ㄴ" localSheetId="18" hidden="1">{"'9월'!$F$38"}</definedName>
    <definedName name="ㄴ" localSheetId="24" hidden="1">{"'9월'!$F$38"}</definedName>
    <definedName name="ㄴ" hidden="1">{"'9월'!$F$38"}</definedName>
    <definedName name="ㄴㄴ" localSheetId="23" hidden="1">{"'용역비'!$A$4:$C$8"}</definedName>
    <definedName name="ㄴㄴ" localSheetId="18" hidden="1">{"'용역비'!$A$4:$C$8"}</definedName>
    <definedName name="ㄴㄴ" localSheetId="24" hidden="1">{"'용역비'!$A$4:$C$8"}</definedName>
    <definedName name="ㄴㄴ" hidden="1">{"'용역비'!$A$4:$C$8"}</definedName>
    <definedName name="ㄴㄴㄴ" localSheetId="23" hidden="1">{#N/A,#N/A,TRUE,"대 차 대 조 표"}</definedName>
    <definedName name="ㄴㄴㄴ" localSheetId="18" hidden="1">{#N/A,#N/A,TRUE,"대 차 대 조 표"}</definedName>
    <definedName name="ㄴㄴㄴ" localSheetId="24" hidden="1">{#N/A,#N/A,TRUE,"대 차 대 조 표"}</definedName>
    <definedName name="ㄴㄴㄴ" hidden="1">{#N/A,#N/A,TRUE,"대 차 대 조 표"}</definedName>
    <definedName name="ㄴㄴㄴ_1" localSheetId="23" hidden="1">{#N/A,#N/A,TRUE,"대 차 대 조 표"}</definedName>
    <definedName name="ㄴㄴㄴ_1" localSheetId="18" hidden="1">{#N/A,#N/A,TRUE,"대 차 대 조 표"}</definedName>
    <definedName name="ㄴㄴㄴ_1" localSheetId="24" hidden="1">{#N/A,#N/A,TRUE,"대 차 대 조 표"}</definedName>
    <definedName name="ㄴㄴㄴ_1" hidden="1">{#N/A,#N/A,TRUE,"대 차 대 조 표"}</definedName>
    <definedName name="ㄴㄴㄴㄴㄴ" localSheetId="23" hidden="1">{"'7'!$B$15:$D$32"}</definedName>
    <definedName name="ㄴㄴㄴㄴㄴ" localSheetId="18" hidden="1">{"'7'!$B$15:$D$32"}</definedName>
    <definedName name="ㄴㄴㄴㄴㄴ" localSheetId="24" hidden="1">{"'7'!$B$15:$D$32"}</definedName>
    <definedName name="ㄴㄴㄴㄴㄴ" hidden="1">{"'7'!$B$15:$D$32"}</definedName>
    <definedName name="ㄴㄴㄴㄴㄴㄴㄴ" localSheetId="23" hidden="1">{"'7'!$B$15:$D$32"}</definedName>
    <definedName name="ㄴㄴㄴㄴㄴㄴㄴ" localSheetId="18" hidden="1">{"'7'!$B$15:$D$32"}</definedName>
    <definedName name="ㄴㄴㄴㄴㄴㄴㄴ" localSheetId="24" hidden="1">{"'7'!$B$15:$D$32"}</definedName>
    <definedName name="ㄴㄴㄴㄴㄴㄴㄴ" hidden="1">{"'7'!$B$15:$D$32"}</definedName>
    <definedName name="ㄴㄴㅁㄴㅁㅇㅁㄴ" localSheetId="23" hidden="1">{"'7'!$B$15:$D$32"}</definedName>
    <definedName name="ㄴㄴㅁㄴㅁㅇㅁㄴ" localSheetId="18" hidden="1">{"'7'!$B$15:$D$32"}</definedName>
    <definedName name="ㄴㄴㅁㄴㅁㅇㅁㄴ" localSheetId="24" hidden="1">{"'7'!$B$15:$D$32"}</definedName>
    <definedName name="ㄴㄴㅁㄴㅁㅇㅁㄴ" hidden="1">{"'7'!$B$15:$D$32"}</definedName>
    <definedName name="ㄴㄴㅇ" localSheetId="23" hidden="1">{#N/A,#N/A,TRUE,"대 차 대 조 표"}</definedName>
    <definedName name="ㄴㄴㅇ" localSheetId="18" hidden="1">{#N/A,#N/A,TRUE,"대 차 대 조 표"}</definedName>
    <definedName name="ㄴㄴㅇ" localSheetId="24" hidden="1">{#N/A,#N/A,TRUE,"대 차 대 조 표"}</definedName>
    <definedName name="ㄴㄴㅇ" hidden="1">{#N/A,#N/A,TRUE,"대 차 대 조 표"}</definedName>
    <definedName name="ㄴㄷ" localSheetId="23" hidden="1">{#N/A,#N/A,FALSE,"96 3월물량표";#N/A,#N/A,FALSE,"96 4월물량표";#N/A,#N/A,FALSE,"96 5월물량표"}</definedName>
    <definedName name="ㄴㄷ" localSheetId="18" hidden="1">{#N/A,#N/A,FALSE,"96 3월물량표";#N/A,#N/A,FALSE,"96 4월물량표";#N/A,#N/A,FALSE,"96 5월물량표"}</definedName>
    <definedName name="ㄴㄷ" localSheetId="24" hidden="1">{#N/A,#N/A,FALSE,"96 3월물량표";#N/A,#N/A,FALSE,"96 4월물량표";#N/A,#N/A,FALSE,"96 5월물량표"}</definedName>
    <definedName name="ㄴㄷ" hidden="1">{#N/A,#N/A,FALSE,"96 3월물량표";#N/A,#N/A,FALSE,"96 4월물량표";#N/A,#N/A,FALSE,"96 5월물량표"}</definedName>
    <definedName name="ㄴㄷㄹ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3" hidden="1">{#N/A,#N/A,FALSE,"동부"}</definedName>
    <definedName name="ㄴㄹㅇㄴㅁ" localSheetId="18" hidden="1">{#N/A,#N/A,FALSE,"동부"}</definedName>
    <definedName name="ㄴㄹㅇㄴㅁ" localSheetId="24" hidden="1">{#N/A,#N/A,FALSE,"동부"}</definedName>
    <definedName name="ㄴㄹㅇㄴㅁ" hidden="1">{#N/A,#N/A,FALSE,"동부"}</definedName>
    <definedName name="ㄴㄹㅇㄹㅇㄴ" localSheetId="23" hidden="1">{#N/A,#N/A,FALSE,"Aging Summary";#N/A,#N/A,FALSE,"Ratio Analysis";#N/A,#N/A,FALSE,"Test 120 Day Accts";#N/A,#N/A,FALSE,"Tickmarks"}</definedName>
    <definedName name="ㄴㄹㅇㄹㅇㄴ" localSheetId="18" hidden="1">{#N/A,#N/A,FALSE,"Aging Summary";#N/A,#N/A,FALSE,"Ratio Analysis";#N/A,#N/A,FALSE,"Test 120 Day Accts";#N/A,#N/A,FALSE,"Tickmarks"}</definedName>
    <definedName name="ㄴㄹㅇㄹㅇㄴ" localSheetId="24"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3" hidden="1">{"'7'!$B$15:$D$32"}</definedName>
    <definedName name="ㄴㅁㄴㅁㅇ" localSheetId="18" hidden="1">{"'7'!$B$15:$D$32"}</definedName>
    <definedName name="ㄴㅁㄴㅁㅇ" localSheetId="24" hidden="1">{"'7'!$B$15:$D$32"}</definedName>
    <definedName name="ㄴㅁㄴㅁㅇ" hidden="1">{"'7'!$B$15:$D$32"}</definedName>
    <definedName name="ㄴㅇ" localSheetId="23" hidden="1">{#N/A,#N/A,TRUE,"Y생산";#N/A,#N/A,TRUE,"Y판매";#N/A,#N/A,TRUE,"Y총물량";#N/A,#N/A,TRUE,"Y능력";#N/A,#N/A,TRUE,"YKD"}</definedName>
    <definedName name="ㄴㅇ" localSheetId="18" hidden="1">{#N/A,#N/A,TRUE,"Y생산";#N/A,#N/A,TRUE,"Y판매";#N/A,#N/A,TRUE,"Y총물량";#N/A,#N/A,TRUE,"Y능력";#N/A,#N/A,TRUE,"YKD"}</definedName>
    <definedName name="ㄴㅇ" localSheetId="24" hidden="1">{#N/A,#N/A,TRUE,"Y생산";#N/A,#N/A,TRUE,"Y판매";#N/A,#N/A,TRUE,"Y총물량";#N/A,#N/A,TRUE,"Y능력";#N/A,#N/A,TRUE,"YKD"}</definedName>
    <definedName name="ㄴㅇ" hidden="1">{#N/A,#N/A,TRUE,"Y생산";#N/A,#N/A,TRUE,"Y판매";#N/A,#N/A,TRUE,"Y총물량";#N/A,#N/A,TRUE,"Y능력";#N/A,#N/A,TRUE,"YKD"}</definedName>
    <definedName name="ㄴㅇ_1" localSheetId="23" hidden="1">{#N/A,#N/A,TRUE,"Y생산";#N/A,#N/A,TRUE,"Y판매";#N/A,#N/A,TRUE,"Y총물량";#N/A,#N/A,TRUE,"Y능력";#N/A,#N/A,TRUE,"YKD"}</definedName>
    <definedName name="ㄴㅇ_1" localSheetId="18" hidden="1">{#N/A,#N/A,TRUE,"Y생산";#N/A,#N/A,TRUE,"Y판매";#N/A,#N/A,TRUE,"Y총물량";#N/A,#N/A,TRUE,"Y능력";#N/A,#N/A,TRUE,"YKD"}</definedName>
    <definedName name="ㄴㅇ_1" localSheetId="24" hidden="1">{#N/A,#N/A,TRUE,"Y생산";#N/A,#N/A,TRUE,"Y판매";#N/A,#N/A,TRUE,"Y총물량";#N/A,#N/A,TRUE,"Y능력";#N/A,#N/A,TRUE,"YKD"}</definedName>
    <definedName name="ㄴㅇ_1" hidden="1">{#N/A,#N/A,TRUE,"Y생산";#N/A,#N/A,TRUE,"Y판매";#N/A,#N/A,TRUE,"Y총물량";#N/A,#N/A,TRUE,"Y능력";#N/A,#N/A,TRUE,"YKD"}</definedName>
    <definedName name="ㄴ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3" hidden="1">{"'용역비'!$A$4:$C$8"}</definedName>
    <definedName name="ㄴㅇㄹ" localSheetId="18" hidden="1">{"'용역비'!$A$4:$C$8"}</definedName>
    <definedName name="ㄴㅇㄹ" localSheetId="24" hidden="1">{"'용역비'!$A$4:$C$8"}</definedName>
    <definedName name="ㄴㅇㄹ" hidden="1">{"'용역비'!$A$4:$C$8"}</definedName>
    <definedName name="ㄴㅇㄹㄴㅇㄹ" localSheetId="23" hidden="1">{#N/A,#N/A,TRUE,"Y생산";#N/A,#N/A,TRUE,"Y판매";#N/A,#N/A,TRUE,"Y총물량";#N/A,#N/A,TRUE,"Y능력";#N/A,#N/A,TRUE,"YKD"}</definedName>
    <definedName name="ㄴㅇㄹㄴㅇㄹ" localSheetId="18" hidden="1">{#N/A,#N/A,TRUE,"Y생산";#N/A,#N/A,TRUE,"Y판매";#N/A,#N/A,TRUE,"Y총물량";#N/A,#N/A,TRUE,"Y능력";#N/A,#N/A,TRUE,"YKD"}</definedName>
    <definedName name="ㄴㅇㄹㄴㅇㄹ" localSheetId="24" hidden="1">{#N/A,#N/A,TRUE,"Y생산";#N/A,#N/A,TRUE,"Y판매";#N/A,#N/A,TRUE,"Y총물량";#N/A,#N/A,TRUE,"Y능력";#N/A,#N/A,TRUE,"YKD"}</definedName>
    <definedName name="ㄴㅇㄹㄴㅇㄹ" hidden="1">{#N/A,#N/A,TRUE,"Y생산";#N/A,#N/A,TRUE,"Y판매";#N/A,#N/A,TRUE,"Y총물량";#N/A,#N/A,TRUE,"Y능력";#N/A,#N/A,TRUE,"YKD"}</definedName>
    <definedName name="ㄴㅇㄹㄴㅇㄹ_1" localSheetId="23" hidden="1">{#N/A,#N/A,TRUE,"Y생산";#N/A,#N/A,TRUE,"Y판매";#N/A,#N/A,TRUE,"Y총물량";#N/A,#N/A,TRUE,"Y능력";#N/A,#N/A,TRUE,"YKD"}</definedName>
    <definedName name="ㄴㅇㄹㄴㅇㄹ_1" localSheetId="18" hidden="1">{#N/A,#N/A,TRUE,"Y생산";#N/A,#N/A,TRUE,"Y판매";#N/A,#N/A,TRUE,"Y총물량";#N/A,#N/A,TRUE,"Y능력";#N/A,#N/A,TRUE,"YKD"}</definedName>
    <definedName name="ㄴㅇㄹㄴㅇㄹ_1" localSheetId="24"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3" hidden="1">{#N/A,#N/A,TRUE,"Y생산";#N/A,#N/A,TRUE,"Y판매";#N/A,#N/A,TRUE,"Y총물량";#N/A,#N/A,TRUE,"Y능력";#N/A,#N/A,TRUE,"YKD"}</definedName>
    <definedName name="ㄴㅇㄹㄴㅇㄹㄴㅇㄹ" localSheetId="18"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3" hidden="1">{#N/A,#N/A,TRUE,"Y생산";#N/A,#N/A,TRUE,"Y판매";#N/A,#N/A,TRUE,"Y총물량";#N/A,#N/A,TRUE,"Y능력";#N/A,#N/A,TRUE,"YKD"}</definedName>
    <definedName name="ㄴㅇㄹㄴㅇㄹㄴㅇㄹ_1" localSheetId="18"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hidden="1">{#N/A,#N/A,TRUE,"Y생산";#N/A,#N/A,TRUE,"Y판매";#N/A,#N/A,TRUE,"Y총물량";#N/A,#N/A,TRUE,"Y능력";#N/A,#N/A,TRUE,"YKD"}</definedName>
    <definedName name="ㄴㅇㄹㅇ" localSheetId="23" hidden="1">{#N/A,#N/A,TRUE,"Y생산";#N/A,#N/A,TRUE,"Y판매";#N/A,#N/A,TRUE,"Y총물량";#N/A,#N/A,TRUE,"Y능력";#N/A,#N/A,TRUE,"YKD"}</definedName>
    <definedName name="ㄴㅇㄹㅇ" localSheetId="18" hidden="1">{#N/A,#N/A,TRUE,"Y생산";#N/A,#N/A,TRUE,"Y판매";#N/A,#N/A,TRUE,"Y총물량";#N/A,#N/A,TRUE,"Y능력";#N/A,#N/A,TRUE,"YKD"}</definedName>
    <definedName name="ㄴㅇㄹㅇ" localSheetId="24" hidden="1">{#N/A,#N/A,TRUE,"Y생산";#N/A,#N/A,TRUE,"Y판매";#N/A,#N/A,TRUE,"Y총물량";#N/A,#N/A,TRUE,"Y능력";#N/A,#N/A,TRUE,"YKD"}</definedName>
    <definedName name="ㄴㅇㄹㅇ" hidden="1">{#N/A,#N/A,TRUE,"Y생산";#N/A,#N/A,TRUE,"Y판매";#N/A,#N/A,TRUE,"Y총물량";#N/A,#N/A,TRUE,"Y능력";#N/A,#N/A,TRUE,"YKD"}</definedName>
    <definedName name="ㄴㅇㄹㅇㄴㄹㅇㄴㄹ" localSheetId="23" hidden="1">{"'용역비'!$A$4:$C$8"}</definedName>
    <definedName name="ㄴㅇㄹㅇㄴㄹㅇㄴㄹ" localSheetId="18" hidden="1">{"'용역비'!$A$4:$C$8"}</definedName>
    <definedName name="ㄴㅇㄹㅇㄴㄹㅇㄴㄹ" localSheetId="24" hidden="1">{"'용역비'!$A$4:$C$8"}</definedName>
    <definedName name="ㄴㅇㄹㅇㄴㄹㅇㄴㄹ" hidden="1">{"'용역비'!$A$4:$C$8"}</definedName>
    <definedName name="ㄴㅇㄹㅇㄴㅁ" localSheetId="23" hidden="1">{#N/A,#N/A,FALSE,"동부"}</definedName>
    <definedName name="ㄴㅇㄹㅇㄴㅁ" localSheetId="18" hidden="1">{#N/A,#N/A,FALSE,"동부"}</definedName>
    <definedName name="ㄴㅇㄹㅇㄴㅁ" localSheetId="24" hidden="1">{#N/A,#N/A,FALSE,"동부"}</definedName>
    <definedName name="ㄴㅇㄹㅇㄴㅁ" hidden="1">{#N/A,#N/A,FALSE,"동부"}</definedName>
    <definedName name="ㄴㅇㄺㅈ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3" hidden="1">{"'용역비'!$A$4:$C$8"}</definedName>
    <definedName name="ㄴㅇㄻㄴㅇㄹ" localSheetId="18" hidden="1">{"'용역비'!$A$4:$C$8"}</definedName>
    <definedName name="ㄴㅇㄻㄴㅇㄹ" localSheetId="24" hidden="1">{"'용역비'!$A$4:$C$8"}</definedName>
    <definedName name="ㄴㅇㄻㄴㅇㄹ" hidden="1">{"'용역비'!$A$4:$C$8"}</definedName>
    <definedName name="ㄴㅇㄻㄴ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3" hidden="1">{#N/A,#N/A,FALSE,"동부"}</definedName>
    <definedName name="ㄴㅇㅇㄴ" localSheetId="18" hidden="1">{#N/A,#N/A,FALSE,"동부"}</definedName>
    <definedName name="ㄴㅇㅇㄴ" localSheetId="24" hidden="1">{#N/A,#N/A,FALSE,"동부"}</definedName>
    <definedName name="ㄴㅇㅇㄴ" hidden="1">{#N/A,#N/A,FALSE,"동부"}</definedName>
    <definedName name="ㄴㅌㄴㅌ" localSheetId="23" hidden="1">{#N/A,#N/A,FALSE,"CCTV"}</definedName>
    <definedName name="ㄴㅌㄴㅌ" localSheetId="18" hidden="1">{#N/A,#N/A,FALSE,"CCTV"}</definedName>
    <definedName name="ㄴㅌㄴㅌ" localSheetId="24" hidden="1">{#N/A,#N/A,FALSE,"CCTV"}</definedName>
    <definedName name="ㄴㅌㄴㅌ" hidden="1">{#N/A,#N/A,FALSE,"CCTV"}</definedName>
    <definedName name="나" localSheetId="23" hidden="1">{#N/A,#N/A,FALSE,"1.CRITERIA";#N/A,#N/A,FALSE,"2.IS";#N/A,#N/A,FALSE,"3.BS";#N/A,#N/A,FALSE,"4.PER PL";#N/A,#N/A,FALSE,"5.INVESTMENT";#N/A,#N/A,FALSE,"6.공문";#N/A,#N/A,FALSE,"7.netinvest"}</definedName>
    <definedName name="나" localSheetId="18" hidden="1">{#N/A,#N/A,FALSE,"1.CRITERIA";#N/A,#N/A,FALSE,"2.IS";#N/A,#N/A,FALSE,"3.BS";#N/A,#N/A,FALSE,"4.PER PL";#N/A,#N/A,FALSE,"5.INVESTMENT";#N/A,#N/A,FALSE,"6.공문";#N/A,#N/A,FALSE,"7.netinvest"}</definedName>
    <definedName name="나" localSheetId="24"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3" hidden="1">{"'미착금액'!$A$4:$G$14"}</definedName>
    <definedName name="나나나" localSheetId="18" hidden="1">{"'미착금액'!$A$4:$G$14"}</definedName>
    <definedName name="나나나" localSheetId="24" hidden="1">{"'미착금액'!$A$4:$G$14"}</definedName>
    <definedName name="나나나" hidden="1">{"'미착금액'!$A$4:$G$14"}</definedName>
    <definedName name="나다라" localSheetId="23" hidden="1">{#N/A,#N/A,FALSE,"1.CRITERIA";#N/A,#N/A,FALSE,"2.IS";#N/A,#N/A,FALSE,"3.BS";#N/A,#N/A,FALSE,"4.PER PL";#N/A,#N/A,FALSE,"5.INVESTMENT";#N/A,#N/A,FALSE,"6.공문";#N/A,#N/A,FALSE,"7.netinvest"}</definedName>
    <definedName name="나다라" localSheetId="18" hidden="1">{#N/A,#N/A,FALSE,"1.CRITERIA";#N/A,#N/A,FALSE,"2.IS";#N/A,#N/A,FALSE,"3.BS";#N/A,#N/A,FALSE,"4.PER PL";#N/A,#N/A,FALSE,"5.INVESTMENT";#N/A,#N/A,FALSE,"6.공문";#N/A,#N/A,FALSE,"7.netinvest"}</definedName>
    <definedName name="나다라" localSheetId="24"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3" hidden="1">{#N/A,#N/A,FALSE,"1.CRITERIA";#N/A,#N/A,FALSE,"2.IS";#N/A,#N/A,FALSE,"3.BS";#N/A,#N/A,FALSE,"4.PER PL";#N/A,#N/A,FALSE,"5.INVESTMENT";#N/A,#N/A,FALSE,"6.공문";#N/A,#N/A,FALSE,"7.netinvest"}</definedName>
    <definedName name="나라" localSheetId="18"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3" hidden="1">{"Actual",#N/A,FALSE,"(価格)";"Market",#N/A,FALSE,"(価格)";"Plan",#N/A,FALSE,"(価格)"}</definedName>
    <definedName name="南麻布" localSheetId="18" hidden="1">{"Actual",#N/A,FALSE,"(価格)";"Market",#N/A,FALSE,"(価格)";"Plan",#N/A,FALSE,"(価格)"}</definedName>
    <definedName name="南麻布" localSheetId="24" hidden="1">{"Actual",#N/A,FALSE,"(価格)";"Market",#N/A,FALSE,"(価格)";"Plan",#N/A,FALSE,"(価格)"}</definedName>
    <definedName name="南麻布" hidden="1">{"Actual",#N/A,FALSE,"(価格)";"Market",#N/A,FALSE,"(価格)";"Plan",#N/A,FALSE,"(価格)"}</definedName>
    <definedName name="남윤" localSheetId="23" hidden="1">{"'용역비'!$A$4:$C$8"}</definedName>
    <definedName name="남윤" localSheetId="18" hidden="1">{"'용역비'!$A$4:$C$8"}</definedName>
    <definedName name="남윤" localSheetId="24" hidden="1">{"'용역비'!$A$4:$C$8"}</definedName>
    <definedName name="남윤" hidden="1">{"'용역비'!$A$4:$C$8"}</definedName>
    <definedName name="내" localSheetId="23" hidden="1">{#N/A,#N/A,FALSE,"1.CRITERIA";#N/A,#N/A,FALSE,"2.IS";#N/A,#N/A,FALSE,"3.BS";#N/A,#N/A,FALSE,"4.PER PL";#N/A,#N/A,FALSE,"5.INVESTMENT";#N/A,#N/A,FALSE,"6.공문";#N/A,#N/A,FALSE,"7.netinvest"}</definedName>
    <definedName name="내" localSheetId="18" hidden="1">{#N/A,#N/A,FALSE,"1.CRITERIA";#N/A,#N/A,FALSE,"2.IS";#N/A,#N/A,FALSE,"3.BS";#N/A,#N/A,FALSE,"4.PER PL";#N/A,#N/A,FALSE,"5.INVESTMENT";#N/A,#N/A,FALSE,"6.공문";#N/A,#N/A,FALSE,"7.netinvest"}</definedName>
    <definedName name="내" localSheetId="24"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3" hidden="1">{#N/A,#N/A,FALSE,"CCTV"}</definedName>
    <definedName name="내역" localSheetId="18" hidden="1">{#N/A,#N/A,FALSE,"CCTV"}</definedName>
    <definedName name="내역" localSheetId="24" hidden="1">{#N/A,#N/A,FALSE,"CCTV"}</definedName>
    <definedName name="내역" hidden="1">{#N/A,#N/A,FALSE,"CCTV"}</definedName>
    <definedName name="내역노무"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3" hidden="1">{#N/A,#N/A,TRUE,"대 차 대 조 표"}</definedName>
    <definedName name="내역서" localSheetId="18" hidden="1">{#N/A,#N/A,TRUE,"대 차 대 조 표"}</definedName>
    <definedName name="내역서" localSheetId="24" hidden="1">{#N/A,#N/A,TRUE,"대 차 대 조 표"}</definedName>
    <definedName name="내역서" hidden="1">{#N/A,#N/A,TRUE,"대 차 대 조 표"}</definedName>
    <definedName name="내역서2" localSheetId="23" hidden="1">{#N/A,#N/A,FALSE,"CCTV"}</definedName>
    <definedName name="내역서2" localSheetId="18" hidden="1">{#N/A,#N/A,FALSE,"CCTV"}</definedName>
    <definedName name="내역서2" localSheetId="24" hidden="1">{#N/A,#N/A,FALSE,"CCTV"}</definedName>
    <definedName name="내역서2" hidden="1">{#N/A,#N/A,FALSE,"CCTV"}</definedName>
    <definedName name="내역서3" localSheetId="23" hidden="1">{"'PROFORMA'!$A$1:$H$120"}</definedName>
    <definedName name="내역서3" localSheetId="18" hidden="1">{"'PROFORMA'!$A$1:$H$120"}</definedName>
    <definedName name="내역서3" localSheetId="24" hidden="1">{"'PROFORMA'!$A$1:$H$120"}</definedName>
    <definedName name="내역서3" hidden="1">{"'PROFORMA'!$A$1:$H$120"}</definedName>
    <definedName name="내영.." localSheetId="23" hidden="1">{#N/A,#N/A,TRUE,"Y생산";#N/A,#N/A,TRUE,"Y판매";#N/A,#N/A,TRUE,"Y총물량";#N/A,#N/A,TRUE,"Y능력";#N/A,#N/A,TRUE,"YKD"}</definedName>
    <definedName name="내영.." localSheetId="18" hidden="1">{#N/A,#N/A,TRUE,"Y생산";#N/A,#N/A,TRUE,"Y판매";#N/A,#N/A,TRUE,"Y총물량";#N/A,#N/A,TRUE,"Y능력";#N/A,#N/A,TRUE,"YKD"}</definedName>
    <definedName name="내영.." localSheetId="24" hidden="1">{#N/A,#N/A,TRUE,"Y생산";#N/A,#N/A,TRUE,"Y판매";#N/A,#N/A,TRUE,"Y총물량";#N/A,#N/A,TRUE,"Y능력";#N/A,#N/A,TRUE,"YKD"}</definedName>
    <definedName name="내영.." hidden="1">{#N/A,#N/A,TRUE,"Y생산";#N/A,#N/A,TRUE,"Y판매";#N/A,#N/A,TRUE,"Y총물량";#N/A,#N/A,TRUE,"Y능력";#N/A,#N/A,TRUE,"YKD"}</definedName>
    <definedName name="내영.._1" localSheetId="23" hidden="1">{#N/A,#N/A,TRUE,"Y생산";#N/A,#N/A,TRUE,"Y판매";#N/A,#N/A,TRUE,"Y총물량";#N/A,#N/A,TRUE,"Y능력";#N/A,#N/A,TRUE,"YKD"}</definedName>
    <definedName name="내영.._1" localSheetId="18" hidden="1">{#N/A,#N/A,TRUE,"Y생산";#N/A,#N/A,TRUE,"Y판매";#N/A,#N/A,TRUE,"Y총물량";#N/A,#N/A,TRUE,"Y능력";#N/A,#N/A,TRUE,"YKD"}</definedName>
    <definedName name="내영.._1" localSheetId="24" hidden="1">{#N/A,#N/A,TRUE,"Y생산";#N/A,#N/A,TRUE,"Y판매";#N/A,#N/A,TRUE,"Y총물량";#N/A,#N/A,TRUE,"Y능력";#N/A,#N/A,TRUE,"YKD"}</definedName>
    <definedName name="내영.._1" hidden="1">{#N/A,#N/A,TRUE,"Y생산";#N/A,#N/A,TRUE,"Y판매";#N/A,#N/A,TRUE,"Y총물량";#N/A,#N/A,TRUE,"Y능력";#N/A,#N/A,TRUE,"YKD"}</definedName>
    <definedName name="내용" localSheetId="23" hidden="1">{#N/A,#N/A,TRUE,"Y생산";#N/A,#N/A,TRUE,"Y판매";#N/A,#N/A,TRUE,"Y총물량";#N/A,#N/A,TRUE,"Y능력";#N/A,#N/A,TRUE,"YKD"}</definedName>
    <definedName name="내용" localSheetId="18" hidden="1">{#N/A,#N/A,TRUE,"Y생산";#N/A,#N/A,TRUE,"Y판매";#N/A,#N/A,TRUE,"Y총물량";#N/A,#N/A,TRUE,"Y능력";#N/A,#N/A,TRUE,"YKD"}</definedName>
    <definedName name="내용" localSheetId="24" hidden="1">{#N/A,#N/A,TRUE,"Y생산";#N/A,#N/A,TRUE,"Y판매";#N/A,#N/A,TRUE,"Y총물량";#N/A,#N/A,TRUE,"Y능력";#N/A,#N/A,TRUE,"YKD"}</definedName>
    <definedName name="내용" hidden="1">{#N/A,#N/A,TRUE,"Y생산";#N/A,#N/A,TRUE,"Y판매";#N/A,#N/A,TRUE,"Y총물량";#N/A,#N/A,TRUE,"Y능력";#N/A,#N/A,TRUE,"YKD"}</definedName>
    <definedName name="내용_1" localSheetId="23" hidden="1">{#N/A,#N/A,TRUE,"Y생산";#N/A,#N/A,TRUE,"Y판매";#N/A,#N/A,TRUE,"Y총물량";#N/A,#N/A,TRUE,"Y능력";#N/A,#N/A,TRUE,"YKD"}</definedName>
    <definedName name="내용_1" localSheetId="18" hidden="1">{#N/A,#N/A,TRUE,"Y생산";#N/A,#N/A,TRUE,"Y판매";#N/A,#N/A,TRUE,"Y총물량";#N/A,#N/A,TRUE,"Y능력";#N/A,#N/A,TRUE,"YKD"}</definedName>
    <definedName name="내용_1" localSheetId="24" hidden="1">{#N/A,#N/A,TRUE,"Y생산";#N/A,#N/A,TRUE,"Y판매";#N/A,#N/A,TRUE,"Y총물량";#N/A,#N/A,TRUE,"Y능력";#N/A,#N/A,TRUE,"YKD"}</definedName>
    <definedName name="내용_1" hidden="1">{#N/A,#N/A,TRUE,"Y생산";#N/A,#N/A,TRUE,"Y판매";#N/A,#N/A,TRUE,"Y총물량";#N/A,#N/A,TRUE,"Y능력";#N/A,#N/A,TRUE,"YKD"}</definedName>
    <definedName name="내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3" hidden="1">{#N/A,#N/A,FALSE,"1.CRITERIA";#N/A,#N/A,FALSE,"2.IS";#N/A,#N/A,FALSE,"3.BS";#N/A,#N/A,FALSE,"4.PER PL";#N/A,#N/A,FALSE,"5.INVESTMENT";#N/A,#N/A,FALSE,"6.공문";#N/A,#N/A,FALSE,"7.netinvest"}</definedName>
    <definedName name="너" localSheetId="18" hidden="1">{#N/A,#N/A,FALSE,"1.CRITERIA";#N/A,#N/A,FALSE,"2.IS";#N/A,#N/A,FALSE,"3.BS";#N/A,#N/A,FALSE,"4.PER PL";#N/A,#N/A,FALSE,"5.INVESTMENT";#N/A,#N/A,FALSE,"6.공문";#N/A,#N/A,FALSE,"7.netinvest"}</definedName>
    <definedName name="너" localSheetId="24"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3" hidden="1">{"Actual",#N/A,FALSE,"(価格)";"Market",#N/A,FALSE,"(価格)";"Plan",#N/A,FALSE,"(価格)"}</definedName>
    <definedName name="年間予定" localSheetId="18" hidden="1">{"Actual",#N/A,FALSE,"(価格)";"Market",#N/A,FALSE,"(価格)";"Plan",#N/A,FALSE,"(価格)"}</definedName>
    <definedName name="年間予定" localSheetId="24" hidden="1">{"Actual",#N/A,FALSE,"(価格)";"Market",#N/A,FALSE,"(価格)";"Plan",#N/A,FALSE,"(価格)"}</definedName>
    <definedName name="年間予定" hidden="1">{"Actual",#N/A,FALSE,"(価格)";"Market",#N/A,FALSE,"(価格)";"Plan",#N/A,FALSE,"(価格)"}</definedName>
    <definedName name="년간용역비비교" localSheetId="23" hidden="1">{"'용역비'!$A$4:$C$8"}</definedName>
    <definedName name="년간용역비비교" localSheetId="18" hidden="1">{"'용역비'!$A$4:$C$8"}</definedName>
    <definedName name="년간용역비비교" localSheetId="24" hidden="1">{"'용역비'!$A$4:$C$8"}</definedName>
    <definedName name="년간용역비비교" hidden="1">{"'용역비'!$A$4:$C$8"}</definedName>
    <definedName name="년도별예산추정" localSheetId="23">BlankMacro1</definedName>
    <definedName name="년도별예산추정" localSheetId="18">BlankMacro1</definedName>
    <definedName name="년도별예산추정" localSheetId="24">BlankMacro1</definedName>
    <definedName name="년도별예산추정" localSheetId="1">BlankMacro1</definedName>
    <definedName name="년도별예산추정">BlankMacro1</definedName>
    <definedName name="노" localSheetId="23" hidden="1">{#N/A,#N/A,FALSE,"1.CRITERIA";#N/A,#N/A,FALSE,"2.IS";#N/A,#N/A,FALSE,"3.BS";#N/A,#N/A,FALSE,"4.PER PL";#N/A,#N/A,FALSE,"5.INVESTMENT";#N/A,#N/A,FALSE,"6.공문";#N/A,#N/A,FALSE,"7.netinvest"}</definedName>
    <definedName name="노" localSheetId="18" hidden="1">{#N/A,#N/A,FALSE,"1.CRITERIA";#N/A,#N/A,FALSE,"2.IS";#N/A,#N/A,FALSE,"3.BS";#N/A,#N/A,FALSE,"4.PER PL";#N/A,#N/A,FALSE,"5.INVESTMENT";#N/A,#N/A,FALSE,"6.공문";#N/A,#N/A,FALSE,"7.netinvest"}</definedName>
    <definedName name="노" localSheetId="24"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3" hidden="1">{#N/A,#N/A,FALSE,"Sheet6"}</definedName>
    <definedName name="논현동외" localSheetId="18" hidden="1">{#N/A,#N/A,FALSE,"Sheet6"}</definedName>
    <definedName name="논현동외" localSheetId="24" hidden="1">{#N/A,#N/A,FALSE,"Sheet6"}</definedName>
    <definedName name="논현동외" hidden="1">{#N/A,#N/A,FALSE,"Sheet6"}</definedName>
    <definedName name="뉴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3" hidden="1">{#N/A,#N/A,TRUE,"대 차 대 조 표"}</definedName>
    <definedName name="ㄶㄹ" localSheetId="18" hidden="1">{#N/A,#N/A,TRUE,"대 차 대 조 표"}</definedName>
    <definedName name="ㄶㄹ" localSheetId="24" hidden="1">{#N/A,#N/A,TRUE,"대 차 대 조 표"}</definedName>
    <definedName name="ㄶㄹ" hidden="1">{#N/A,#N/A,TRUE,"대 차 대 조 표"}</definedName>
    <definedName name="ㄷ" localSheetId="23" hidden="1">{#N/A,#N/A,TRUE,"토적및재료집계";#N/A,#N/A,TRUE,"토적및재료집계";#N/A,#N/A,TRUE,"단위량"}</definedName>
    <definedName name="ㄷ" localSheetId="18" hidden="1">{#N/A,#N/A,TRUE,"토적및재료집계";#N/A,#N/A,TRUE,"토적및재료집계";#N/A,#N/A,TRUE,"단위량"}</definedName>
    <definedName name="ㄷ" localSheetId="24" hidden="1">{#N/A,#N/A,TRUE,"토적및재료집계";#N/A,#N/A,TRUE,"토적및재료집계";#N/A,#N/A,TRUE,"단위량"}</definedName>
    <definedName name="ㄷ" hidden="1">{#N/A,#N/A,TRUE,"토적및재료집계";#N/A,#N/A,TRUE,"토적및재료집계";#N/A,#N/A,TRUE,"단위량"}</definedName>
    <definedName name="ㄷ6ㅓ" localSheetId="23" hidden="1">{"'용역비'!$A$4:$C$8"}</definedName>
    <definedName name="ㄷ6ㅓ" localSheetId="18" hidden="1">{"'용역비'!$A$4:$C$8"}</definedName>
    <definedName name="ㄷ6ㅓ" localSheetId="24" hidden="1">{"'용역비'!$A$4:$C$8"}</definedName>
    <definedName name="ㄷ6ㅓ" hidden="1">{"'용역비'!$A$4:$C$8"}</definedName>
    <definedName name="ㄷㄱㄷㄱㄷㄱ" localSheetId="23" hidden="1">{"'용역비'!$A$4:$C$8"}</definedName>
    <definedName name="ㄷㄱㄷㄱㄷㄱ" localSheetId="18" hidden="1">{"'용역비'!$A$4:$C$8"}</definedName>
    <definedName name="ㄷㄱㄷㄱㄷㄱ" localSheetId="24" hidden="1">{"'용역비'!$A$4:$C$8"}</definedName>
    <definedName name="ㄷㄱㄷㄱㄷㄱ" hidden="1">{"'용역비'!$A$4:$C$8"}</definedName>
    <definedName name="ㄷㄱㄷ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3" hidden="1">{#N/A,#N/A,FALSE,"단가표지"}</definedName>
    <definedName name="ㄷㄱㅇㅎㄹ" localSheetId="18" hidden="1">{#N/A,#N/A,FALSE,"단가표지"}</definedName>
    <definedName name="ㄷㄱㅇㅎㄹ" localSheetId="24" hidden="1">{#N/A,#N/A,FALSE,"단가표지"}</definedName>
    <definedName name="ㄷㄱㅇㅎㄹ" hidden="1">{#N/A,#N/A,FALSE,"단가표지"}</definedName>
    <definedName name="ㄷㄱ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3" hidden="1">{#N/A,#N/A,FALSE,"동부"}</definedName>
    <definedName name="ㄷㄴ" localSheetId="18" hidden="1">{#N/A,#N/A,FALSE,"동부"}</definedName>
    <definedName name="ㄷㄴ" localSheetId="24" hidden="1">{#N/A,#N/A,FALSE,"동부"}</definedName>
    <definedName name="ㄷㄴ" hidden="1">{#N/A,#N/A,FALSE,"동부"}</definedName>
    <definedName name="ㄷㄷ"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3" hidden="1">{"'용역비'!$A$4:$C$8"}</definedName>
    <definedName name="ㄷㄷㄱㄱ" localSheetId="18" hidden="1">{"'용역비'!$A$4:$C$8"}</definedName>
    <definedName name="ㄷㄷㄱㄱ" localSheetId="24" hidden="1">{"'용역비'!$A$4:$C$8"}</definedName>
    <definedName name="ㄷㄷㄱㄱ" hidden="1">{"'용역비'!$A$4:$C$8"}</definedName>
    <definedName name="ㄷㄷ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3" hidden="1">{#N/A,#N/A,FALSE,"동부"}</definedName>
    <definedName name="ㄷㄷㄷㄷㄷ" localSheetId="18" hidden="1">{#N/A,#N/A,FALSE,"동부"}</definedName>
    <definedName name="ㄷㄷㄷㄷㄷ" localSheetId="24" hidden="1">{#N/A,#N/A,FALSE,"동부"}</definedName>
    <definedName name="ㄷㄷㄷㄷㄷ" hidden="1">{#N/A,#N/A,FALSE,"동부"}</definedName>
    <definedName name="ㄷㄷㄷㄷㅈㅈㅈㅈ" localSheetId="23" hidden="1">{"'통신지'!$A$1:$J$41"}</definedName>
    <definedName name="ㄷㄷㄷㄷㅈㅈㅈㅈ" localSheetId="18" hidden="1">{"'통신지'!$A$1:$J$41"}</definedName>
    <definedName name="ㄷㄷㄷㄷㅈㅈㅈㅈ" localSheetId="24" hidden="1">{"'통신지'!$A$1:$J$41"}</definedName>
    <definedName name="ㄷㄷㄷㄷㅈㅈㅈㅈ" hidden="1">{"'통신지'!$A$1:$J$41"}</definedName>
    <definedName name="ㄷㄻ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3" hidden="1">{#N/A,#N/A,FALSE,"동부"}</definedName>
    <definedName name="ㄷㅀ" localSheetId="18" hidden="1">{#N/A,#N/A,FALSE,"동부"}</definedName>
    <definedName name="ㄷㅀ" localSheetId="24" hidden="1">{#N/A,#N/A,FALSE,"동부"}</definedName>
    <definedName name="ㄷㅀ" hidden="1">{#N/A,#N/A,FALSE,"동부"}</definedName>
    <definedName name="ㄷㅁㄹ" localSheetId="23" hidden="1">{#N/A,#N/A,FALSE,"동부"}</definedName>
    <definedName name="ㄷㅁㄹ" localSheetId="18" hidden="1">{#N/A,#N/A,FALSE,"동부"}</definedName>
    <definedName name="ㄷㅁㄹ" localSheetId="24" hidden="1">{#N/A,#N/A,FALSE,"동부"}</definedName>
    <definedName name="ㄷㅁㄹ" hidden="1">{#N/A,#N/A,FALSE,"동부"}</definedName>
    <definedName name="ㄷㅇ" localSheetId="23" hidden="1">{#N/A,#N/A,TRUE,"Y생산";#N/A,#N/A,TRUE,"Y판매";#N/A,#N/A,TRUE,"Y총물량";#N/A,#N/A,TRUE,"Y능력";#N/A,#N/A,TRUE,"YKD"}</definedName>
    <definedName name="ㄷㅇ" localSheetId="18" hidden="1">{#N/A,#N/A,TRUE,"Y생산";#N/A,#N/A,TRUE,"Y판매";#N/A,#N/A,TRUE,"Y총물량";#N/A,#N/A,TRUE,"Y능력";#N/A,#N/A,TRUE,"YKD"}</definedName>
    <definedName name="ㄷㅇ" localSheetId="24" hidden="1">{#N/A,#N/A,TRUE,"Y생산";#N/A,#N/A,TRUE,"Y판매";#N/A,#N/A,TRUE,"Y총물량";#N/A,#N/A,TRUE,"Y능력";#N/A,#N/A,TRUE,"YKD"}</definedName>
    <definedName name="ㄷㅇ" hidden="1">{#N/A,#N/A,TRUE,"Y생산";#N/A,#N/A,TRUE,"Y판매";#N/A,#N/A,TRUE,"Y총물량";#N/A,#N/A,TRUE,"Y능력";#N/A,#N/A,TRUE,"YKD"}</definedName>
    <definedName name="ㄷㅇ_1" localSheetId="23" hidden="1">{#N/A,#N/A,TRUE,"Y생산";#N/A,#N/A,TRUE,"Y판매";#N/A,#N/A,TRUE,"Y총물량";#N/A,#N/A,TRUE,"Y능력";#N/A,#N/A,TRUE,"YKD"}</definedName>
    <definedName name="ㄷㅇ_1" localSheetId="18" hidden="1">{#N/A,#N/A,TRUE,"Y생산";#N/A,#N/A,TRUE,"Y판매";#N/A,#N/A,TRUE,"Y총물량";#N/A,#N/A,TRUE,"Y능력";#N/A,#N/A,TRUE,"YKD"}</definedName>
    <definedName name="ㄷㅇ_1" localSheetId="24" hidden="1">{#N/A,#N/A,TRUE,"Y생산";#N/A,#N/A,TRUE,"Y판매";#N/A,#N/A,TRUE,"Y총물량";#N/A,#N/A,TRUE,"Y능력";#N/A,#N/A,TRUE,"YKD"}</definedName>
    <definedName name="ㄷㅇ_1" hidden="1">{#N/A,#N/A,TRUE,"Y생산";#N/A,#N/A,TRUE,"Y판매";#N/A,#N/A,TRUE,"Y총물량";#N/A,#N/A,TRUE,"Y능력";#N/A,#N/A,TRUE,"YKD"}</definedName>
    <definedName name="ㄷㅇㄹ"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3" hidden="1">{#N/A,#N/A,TRUE,"대 차 대 조 표"}</definedName>
    <definedName name="ㄷㅇㅎ" localSheetId="18" hidden="1">{#N/A,#N/A,TRUE,"대 차 대 조 표"}</definedName>
    <definedName name="ㄷㅇㅎ" localSheetId="24" hidden="1">{#N/A,#N/A,TRUE,"대 차 대 조 표"}</definedName>
    <definedName name="ㄷㅇㅎ" hidden="1">{#N/A,#N/A,TRUE,"대 차 대 조 표"}</definedName>
    <definedName name="ㄷㅈ" localSheetId="23" hidden="1">{"Const Costs Dev",#N/A,FALSE,"Construction Cost Inputs";"Const Costs orig ccy",#N/A,FALSE,"Construction Cost Inputs";"Const Costs USD",#N/A,FALSE,"Construction Cost Inputs"}</definedName>
    <definedName name="ㄷㅈ" localSheetId="18" hidden="1">{"Const Costs Dev",#N/A,FALSE,"Construction Cost Inputs";"Const Costs orig ccy",#N/A,FALSE,"Construction Cost Inputs";"Const Costs USD",#N/A,FALSE,"Construction Cost Inputs"}</definedName>
    <definedName name="ㄷㅈ" localSheetId="24"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3" hidden="1">{#N/A,#N/A,TRUE,"대 차 대 조 표"}</definedName>
    <definedName name="ㄷㅈㄴ" localSheetId="18" hidden="1">{#N/A,#N/A,TRUE,"대 차 대 조 표"}</definedName>
    <definedName name="ㄷㅈㄴ" localSheetId="24" hidden="1">{#N/A,#N/A,TRUE,"대 차 대 조 표"}</definedName>
    <definedName name="ㄷㅈㄴ" hidden="1">{#N/A,#N/A,TRUE,"대 차 대 조 표"}</definedName>
    <definedName name="ㄷㅈㄹ" localSheetId="23" hidden="1">{"BuildIn 2 Funding Assump",#N/A,FALSE,"Building Inputs";"BuildIn Capex plus Extras",#N/A,FALSE,"Building Inputs"}</definedName>
    <definedName name="ㄷㅈㄹ" localSheetId="18" hidden="1">{"BuildIn 2 Funding Assump",#N/A,FALSE,"Building Inputs";"BuildIn Capex plus Extras",#N/A,FALSE,"Building Inputs"}</definedName>
    <definedName name="ㄷㅈㄹ" localSheetId="24"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3" hidden="1">{#N/A,#N/A,TRUE,"대 차 대 조 표"}</definedName>
    <definedName name="ㄷㅈㄹㅇㄴㅁㄹ" localSheetId="18" hidden="1">{#N/A,#N/A,TRUE,"대 차 대 조 표"}</definedName>
    <definedName name="ㄷㅈㄹㅇㄴㅁㄹ" localSheetId="24" hidden="1">{#N/A,#N/A,TRUE,"대 차 대 조 표"}</definedName>
    <definedName name="ㄷㅈㄹㅇㄴㅁㄹ" hidden="1">{#N/A,#N/A,TRUE,"대 차 대 조 표"}</definedName>
    <definedName name="ㄷㅈㄹㅈㄴ" localSheetId="23" hidden="1">{"AJD",#N/A,TRUE,"Summary";"AJD",#N/A,TRUE,"CFCONC-outputs";"AJD",#N/A,TRUE,"P&amp;LCONC-outputs";"AJD",#N/A,TRUE,"BSCONC-outputs";"AJD",#N/A,TRUE,"FSCONC-outputs"}</definedName>
    <definedName name="ㄷㅈㄹㅈㄴ" localSheetId="18" hidden="1">{"AJD",#N/A,TRUE,"Summary";"AJD",#N/A,TRUE,"CFCONC-outputs";"AJD",#N/A,TRUE,"P&amp;LCONC-outputs";"AJD",#N/A,TRUE,"BSCONC-outputs";"AJD",#N/A,TRUE,"FSCONC-outputs"}</definedName>
    <definedName name="ㄷㅈㄹㅈㄴ" localSheetId="24"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3" hidden="1">{#N/A,#N/A,TRUE,"대 차 대 조 표"}</definedName>
    <definedName name="ㄷㅈㅇ" localSheetId="18" hidden="1">{#N/A,#N/A,TRUE,"대 차 대 조 표"}</definedName>
    <definedName name="ㄷㅈㅇ" localSheetId="24" hidden="1">{#N/A,#N/A,TRUE,"대 차 대 조 표"}</definedName>
    <definedName name="ㄷㅈㅇ" hidden="1">{#N/A,#N/A,TRUE,"대 차 대 조 표"}</definedName>
    <definedName name="ㄷㅈㅇㅇㄴ" localSheetId="23" hidden="1">{"AJD",#N/A,TRUE,"Summary";"AJD",#N/A,TRUE,"CFCONC-outputs";"AJD",#N/A,TRUE,"P&amp;LCONC-outputs";"AJD",#N/A,TRUE,"BSCONC-outputs";"AJD",#N/A,TRUE,"FSCONC-outputs"}</definedName>
    <definedName name="ㄷㅈㅇㅇㄴ" localSheetId="18" hidden="1">{"AJD",#N/A,TRUE,"Summary";"AJD",#N/A,TRUE,"CFCONC-outputs";"AJD",#N/A,TRUE,"P&amp;LCONC-outputs";"AJD",#N/A,TRUE,"BSCONC-outputs";"AJD",#N/A,TRUE,"FSCONC-outputs"}</definedName>
    <definedName name="ㄷㅈㅇㅇㄴ" localSheetId="24"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3" hidden="1">{"'용역비'!$A$4:$C$8"}</definedName>
    <definedName name="ㄷㅍㅂ" localSheetId="18" hidden="1">{"'용역비'!$A$4:$C$8"}</definedName>
    <definedName name="ㄷㅍㅂ" localSheetId="24" hidden="1">{"'용역비'!$A$4:$C$8"}</definedName>
    <definedName name="ㄷㅍㅂ" hidden="1">{"'용역비'!$A$4:$C$8"}</definedName>
    <definedName name="다" localSheetId="23" hidden="1">{#N/A,#N/A,FALSE,"1.CRITERIA";#N/A,#N/A,FALSE,"2.IS";#N/A,#N/A,FALSE,"3.BS";#N/A,#N/A,FALSE,"4.PER PL";#N/A,#N/A,FALSE,"5.INVESTMENT";#N/A,#N/A,FALSE,"6.공문";#N/A,#N/A,FALSE,"7.netinvest"}</definedName>
    <definedName name="다" localSheetId="18" hidden="1">{#N/A,#N/A,FALSE,"1.CRITERIA";#N/A,#N/A,FALSE,"2.IS";#N/A,#N/A,FALSE,"3.BS";#N/A,#N/A,FALSE,"4.PER PL";#N/A,#N/A,FALSE,"5.INVESTMENT";#N/A,#N/A,FALSE,"6.공문";#N/A,#N/A,FALSE,"7.netinvest"}</definedName>
    <definedName name="다" localSheetId="24"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3" hidden="1">{#N/A,#N/A,FALSE,"단축1";#N/A,#N/A,FALSE,"단축2";#N/A,#N/A,FALSE,"단축3";#N/A,#N/A,FALSE,"장축";#N/A,#N/A,FALSE,"4WD"}</definedName>
    <definedName name="다다" localSheetId="18" hidden="1">{#N/A,#N/A,FALSE,"단축1";#N/A,#N/A,FALSE,"단축2";#N/A,#N/A,FALSE,"단축3";#N/A,#N/A,FALSE,"장축";#N/A,#N/A,FALSE,"4WD"}</definedName>
    <definedName name="다다" localSheetId="24" hidden="1">{#N/A,#N/A,FALSE,"단축1";#N/A,#N/A,FALSE,"단축2";#N/A,#N/A,FALSE,"단축3";#N/A,#N/A,FALSE,"장축";#N/A,#N/A,FALSE,"4WD"}</definedName>
    <definedName name="다다" hidden="1">{#N/A,#N/A,FALSE,"단축1";#N/A,#N/A,FALSE,"단축2";#N/A,#N/A,FALSE,"단축3";#N/A,#N/A,FALSE,"장축";#N/A,#N/A,FALSE,"4WD"}</definedName>
    <definedName name="다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3" hidden="1">{#N/A,#N/A,FALSE,"1.CRITERIA";#N/A,#N/A,FALSE,"2.IS";#N/A,#N/A,FALSE,"3.BS";#N/A,#N/A,FALSE,"4.PER PL";#N/A,#N/A,FALSE,"5.INVESTMENT";#N/A,#N/A,FALSE,"6.공문";#N/A,#N/A,FALSE,"7.netinvest"}</definedName>
    <definedName name="다바" localSheetId="18" hidden="1">{#N/A,#N/A,FALSE,"1.CRITERIA";#N/A,#N/A,FALSE,"2.IS";#N/A,#N/A,FALSE,"3.BS";#N/A,#N/A,FALSE,"4.PER PL";#N/A,#N/A,FALSE,"5.INVESTMENT";#N/A,#N/A,FALSE,"6.공문";#N/A,#N/A,FALSE,"7.netinvest"}</definedName>
    <definedName name="다바" localSheetId="24"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3" hidden="1">{"ｹﾝﾄ（M)",#N/A,FALSE,"収支・日割";"ｹﾝﾄ（RD)",#N/A,FALSE,"収支・日割";"ｹﾝﾄ（PMC)",#N/A,FALSE,"収支・日割"}</definedName>
    <definedName name="多摩センター" localSheetId="18" hidden="1">{"ｹﾝﾄ（M)",#N/A,FALSE,"収支・日割";"ｹﾝﾄ（RD)",#N/A,FALSE,"収支・日割";"ｹﾝﾄ（PMC)",#N/A,FALSE,"収支・日割"}</definedName>
    <definedName name="多摩センター" localSheetId="24"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3" hidden="1">{#N/A,#N/A,TRUE,"Y생산";#N/A,#N/A,TRUE,"Y판매";#N/A,#N/A,TRUE,"Y총물량";#N/A,#N/A,TRUE,"Y능력";#N/A,#N/A,TRUE,"YKD"}</definedName>
    <definedName name="단가기준" localSheetId="18" hidden="1">{#N/A,#N/A,TRUE,"Y생산";#N/A,#N/A,TRUE,"Y판매";#N/A,#N/A,TRUE,"Y총물량";#N/A,#N/A,TRUE,"Y능력";#N/A,#N/A,TRUE,"YKD"}</definedName>
    <definedName name="단가기준" localSheetId="24" hidden="1">{#N/A,#N/A,TRUE,"Y생산";#N/A,#N/A,TRUE,"Y판매";#N/A,#N/A,TRUE,"Y총물량";#N/A,#N/A,TRUE,"Y능력";#N/A,#N/A,TRUE,"YKD"}</definedName>
    <definedName name="단가기준" hidden="1">{#N/A,#N/A,TRUE,"Y생산";#N/A,#N/A,TRUE,"Y판매";#N/A,#N/A,TRUE,"Y총물량";#N/A,#N/A,TRUE,"Y능력";#N/A,#N/A,TRUE,"YKD"}</definedName>
    <definedName name="단가기준_1" localSheetId="23" hidden="1">{#N/A,#N/A,TRUE,"Y생산";#N/A,#N/A,TRUE,"Y판매";#N/A,#N/A,TRUE,"Y총물량";#N/A,#N/A,TRUE,"Y능력";#N/A,#N/A,TRUE,"YKD"}</definedName>
    <definedName name="단가기준_1" localSheetId="18" hidden="1">{#N/A,#N/A,TRUE,"Y생산";#N/A,#N/A,TRUE,"Y판매";#N/A,#N/A,TRUE,"Y총물량";#N/A,#N/A,TRUE,"Y능력";#N/A,#N/A,TRUE,"YKD"}</definedName>
    <definedName name="단가기준_1" localSheetId="24" hidden="1">{#N/A,#N/A,TRUE,"Y생산";#N/A,#N/A,TRUE,"Y판매";#N/A,#N/A,TRUE,"Y총물량";#N/A,#N/A,TRUE,"Y능력";#N/A,#N/A,TRUE,"YKD"}</definedName>
    <definedName name="단가기준_1" hidden="1">{#N/A,#N/A,TRUE,"Y생산";#N/A,#N/A,TRUE,"Y판매";#N/A,#N/A,TRUE,"Y총물량";#N/A,#N/A,TRUE,"Y능력";#N/A,#N/A,TRUE,"YKD"}</definedName>
    <definedName name="단기" localSheetId="23" hidden="1">{#N/A,#N/A,TRUE,"Y생산";#N/A,#N/A,TRUE,"Y판매";#N/A,#N/A,TRUE,"Y총물량";#N/A,#N/A,TRUE,"Y능력";#N/A,#N/A,TRUE,"YKD"}</definedName>
    <definedName name="단기" localSheetId="18" hidden="1">{#N/A,#N/A,TRUE,"Y생산";#N/A,#N/A,TRUE,"Y판매";#N/A,#N/A,TRUE,"Y총물량";#N/A,#N/A,TRUE,"Y능력";#N/A,#N/A,TRUE,"YKD"}</definedName>
    <definedName name="단기" localSheetId="24" hidden="1">{#N/A,#N/A,TRUE,"Y생산";#N/A,#N/A,TRUE,"Y판매";#N/A,#N/A,TRUE,"Y총물량";#N/A,#N/A,TRUE,"Y능력";#N/A,#N/A,TRUE,"YKD"}</definedName>
    <definedName name="단기" hidden="1">{#N/A,#N/A,TRUE,"Y생산";#N/A,#N/A,TRUE,"Y판매";#N/A,#N/A,TRUE,"Y총물량";#N/A,#N/A,TRUE,"Y능력";#N/A,#N/A,TRUE,"YKD"}</definedName>
    <definedName name="단기_1" localSheetId="23" hidden="1">{#N/A,#N/A,TRUE,"Y생산";#N/A,#N/A,TRUE,"Y판매";#N/A,#N/A,TRUE,"Y총물량";#N/A,#N/A,TRUE,"Y능력";#N/A,#N/A,TRUE,"YKD"}</definedName>
    <definedName name="단기_1" localSheetId="18" hidden="1">{#N/A,#N/A,TRUE,"Y생산";#N/A,#N/A,TRUE,"Y판매";#N/A,#N/A,TRUE,"Y총물량";#N/A,#N/A,TRUE,"Y능력";#N/A,#N/A,TRUE,"YKD"}</definedName>
    <definedName name="단기_1" localSheetId="24" hidden="1">{#N/A,#N/A,TRUE,"Y생산";#N/A,#N/A,TRUE,"Y판매";#N/A,#N/A,TRUE,"Y총물량";#N/A,#N/A,TRUE,"Y능력";#N/A,#N/A,TRUE,"YKD"}</definedName>
    <definedName name="단기_1" hidden="1">{#N/A,#N/A,TRUE,"Y생산";#N/A,#N/A,TRUE,"Y판매";#N/A,#N/A,TRUE,"Y총물량";#N/A,#N/A,TRUE,"Y능력";#N/A,#N/A,TRUE,"YKD"}</definedName>
    <definedName name="대구" localSheetId="23" hidden="1">{#N/A,#N/A,TRUE,"대 차 대 조 표"}</definedName>
    <definedName name="대구" localSheetId="18" hidden="1">{#N/A,#N/A,TRUE,"대 차 대 조 표"}</definedName>
    <definedName name="대구" localSheetId="24" hidden="1">{#N/A,#N/A,TRUE,"대 차 대 조 표"}</definedName>
    <definedName name="대구" hidden="1">{#N/A,#N/A,TRUE,"대 차 대 조 표"}</definedName>
    <definedName name="대구_1" localSheetId="23" hidden="1">{#N/A,#N/A,TRUE,"대 차 대 조 표"}</definedName>
    <definedName name="대구_1" localSheetId="18" hidden="1">{#N/A,#N/A,TRUE,"대 차 대 조 표"}</definedName>
    <definedName name="대구_1" localSheetId="24" hidden="1">{#N/A,#N/A,TRUE,"대 차 대 조 표"}</definedName>
    <definedName name="대구_1" hidden="1">{#N/A,#N/A,TRUE,"대 차 대 조 표"}</definedName>
    <definedName name="대구200203빌딩별임차현황" localSheetId="23" hidden="1">{#N/A,#N/A,FALSE,"동부"}</definedName>
    <definedName name="대구200203빌딩별임차현황" localSheetId="18" hidden="1">{#N/A,#N/A,FALSE,"동부"}</definedName>
    <definedName name="대구200203빌딩별임차현황" localSheetId="24" hidden="1">{#N/A,#N/A,FALSE,"동부"}</definedName>
    <definedName name="대구200203빌딩별임차현황" hidden="1">{#N/A,#N/A,FALSE,"동부"}</definedName>
    <definedName name="대구200207" localSheetId="23" hidden="1">{#N/A,#N/A,FALSE,"동부"}</definedName>
    <definedName name="대구200207" localSheetId="18" hidden="1">{#N/A,#N/A,FALSE,"동부"}</definedName>
    <definedName name="대구200207" localSheetId="24" hidden="1">{#N/A,#N/A,FALSE,"동부"}</definedName>
    <definedName name="대구200207" hidden="1">{#N/A,#N/A,FALSE,"동부"}</definedName>
    <definedName name="대구공항"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3" hidden="1">{#N/A,#N/A,FALSE,"동부"}</definedName>
    <definedName name="대구대구" localSheetId="18" hidden="1">{#N/A,#N/A,FALSE,"동부"}</definedName>
    <definedName name="대구대구" localSheetId="24" hidden="1">{#N/A,#N/A,FALSE,"동부"}</definedName>
    <definedName name="대구대구" hidden="1">{#N/A,#N/A,FALSE,"동부"}</definedName>
    <definedName name="대구임차" localSheetId="23" hidden="1">{#N/A,#N/A,FALSE,"동부"}</definedName>
    <definedName name="대구임차" localSheetId="18" hidden="1">{#N/A,#N/A,FALSE,"동부"}</definedName>
    <definedName name="대구임차" localSheetId="24" hidden="1">{#N/A,#N/A,FALSE,"동부"}</definedName>
    <definedName name="대구임차" hidden="1">{#N/A,#N/A,FALSE,"동부"}</definedName>
    <definedName name="대규모기업집단" localSheetId="23" hidden="1">{#N/A,#N/A,FALSE,"Aging Summary";#N/A,#N/A,FALSE,"Ratio Analysis";#N/A,#N/A,FALSE,"Test 120 Day Accts";#N/A,#N/A,FALSE,"Tickmarks"}</definedName>
    <definedName name="대규모기업집단" localSheetId="18" hidden="1">{#N/A,#N/A,FALSE,"Aging Summary";#N/A,#N/A,FALSE,"Ratio Analysis";#N/A,#N/A,FALSE,"Test 120 Day Accts";#N/A,#N/A,FALSE,"Tickmarks"}</definedName>
    <definedName name="대규모기업집단" localSheetId="24"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3" hidden="1">{#N/A,#N/A,FALSE,"CCTV"}</definedName>
    <definedName name="대덕" localSheetId="18" hidden="1">{#N/A,#N/A,FALSE,"CCTV"}</definedName>
    <definedName name="대덕" localSheetId="24" hidden="1">{#N/A,#N/A,FALSE,"CCTV"}</definedName>
    <definedName name="대덕" hidden="1">{#N/A,#N/A,FALSE,"CCTV"}</definedName>
    <definedName name="대비" localSheetId="23" hidden="1">{#N/A,#N/A,FALSE,"CCTV"}</definedName>
    <definedName name="대비" localSheetId="18" hidden="1">{#N/A,#N/A,FALSE,"CCTV"}</definedName>
    <definedName name="대비" localSheetId="24" hidden="1">{#N/A,#N/A,FALSE,"CCTV"}</definedName>
    <definedName name="대비" hidden="1">{#N/A,#N/A,FALSE,"CCTV"}</definedName>
    <definedName name="대비표" localSheetId="23" hidden="1">{#N/A,#N/A,FALSE,"CAM-G7";#N/A,#N/A,FALSE,"SPL";#N/A,#N/A,FALSE,"butt-in G7";#N/A,#N/A,FALSE,"dia-in G7";#N/A,#N/A,FALSE,"추가-STA G7"}</definedName>
    <definedName name="대비표" localSheetId="18" hidden="1">{#N/A,#N/A,FALSE,"CAM-G7";#N/A,#N/A,FALSE,"SPL";#N/A,#N/A,FALSE,"butt-in G7";#N/A,#N/A,FALSE,"dia-in G7";#N/A,#N/A,FALSE,"추가-STA G7"}</definedName>
    <definedName name="대비표" localSheetId="24" hidden="1">{#N/A,#N/A,FALSE,"CAM-G7";#N/A,#N/A,FALSE,"SPL";#N/A,#N/A,FALSE,"butt-in G7";#N/A,#N/A,FALSE,"dia-in G7";#N/A,#N/A,FALSE,"추가-STA G7"}</definedName>
    <definedName name="대비표" hidden="1">{#N/A,#N/A,FALSE,"CAM-G7";#N/A,#N/A,FALSE,"SPL";#N/A,#N/A,FALSE,"butt-in G7";#N/A,#N/A,FALSE,"dia-in G7";#N/A,#N/A,FALSE,"추가-STA G7"}</definedName>
    <definedName name="대상" localSheetId="23" hidden="1">{#N/A,#N/A,FALSE,"2~8번"}</definedName>
    <definedName name="대상" localSheetId="18" hidden="1">{#N/A,#N/A,FALSE,"2~8번"}</definedName>
    <definedName name="대상" localSheetId="24" hidden="1">{#N/A,#N/A,FALSE,"2~8번"}</definedName>
    <definedName name="대상" hidden="1">{#N/A,#N/A,FALSE,"2~8번"}</definedName>
    <definedName name="대손충당금" localSheetId="23" hidden="1">{#N/A,#N/A,FALSE,"1.CRITERIA";#N/A,#N/A,FALSE,"2.IS";#N/A,#N/A,FALSE,"3.BS";#N/A,#N/A,FALSE,"4.PER PL";#N/A,#N/A,FALSE,"5.INVESTMENT";#N/A,#N/A,FALSE,"6.공문";#N/A,#N/A,FALSE,"7.netinvest"}</definedName>
    <definedName name="대손충당금" localSheetId="18" hidden="1">{#N/A,#N/A,FALSE,"1.CRITERIA";#N/A,#N/A,FALSE,"2.IS";#N/A,#N/A,FALSE,"3.BS";#N/A,#N/A,FALSE,"4.PER PL";#N/A,#N/A,FALSE,"5.INVESTMENT";#N/A,#N/A,FALSE,"6.공문";#N/A,#N/A,FALSE,"7.netinvest"}</definedName>
    <definedName name="대손충당금" localSheetId="24"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3" hidden="1">{#N/A,#N/A,TRUE,"대 차 대 조 표"}</definedName>
    <definedName name="대흥" localSheetId="18" hidden="1">{#N/A,#N/A,TRUE,"대 차 대 조 표"}</definedName>
    <definedName name="대흥" localSheetId="24" hidden="1">{#N/A,#N/A,TRUE,"대 차 대 조 표"}</definedName>
    <definedName name="대흥" hidden="1">{#N/A,#N/A,TRUE,"대 차 대 조 표"}</definedName>
    <definedName name="대흥_1" localSheetId="23" hidden="1">{#N/A,#N/A,TRUE,"대 차 대 조 표"}</definedName>
    <definedName name="대흥_1" localSheetId="18" hidden="1">{#N/A,#N/A,TRUE,"대 차 대 조 표"}</definedName>
    <definedName name="대흥_1" localSheetId="24" hidden="1">{#N/A,#N/A,TRUE,"대 차 대 조 표"}</definedName>
    <definedName name="대흥_1" hidden="1">{#N/A,#N/A,TRUE,"대 차 대 조 표"}</definedName>
    <definedName name="도" localSheetId="23" hidden="1">{#N/A,#N/A,FALSE,"1.CRITERIA";#N/A,#N/A,FALSE,"2.IS";#N/A,#N/A,FALSE,"3.BS";#N/A,#N/A,FALSE,"4.PER PL";#N/A,#N/A,FALSE,"5.INVESTMENT";#N/A,#N/A,FALSE,"6.공문";#N/A,#N/A,FALSE,"7.netinvest"}</definedName>
    <definedName name="도" localSheetId="18" hidden="1">{#N/A,#N/A,FALSE,"1.CRITERIA";#N/A,#N/A,FALSE,"2.IS";#N/A,#N/A,FALSE,"3.BS";#N/A,#N/A,FALSE,"4.PER PL";#N/A,#N/A,FALSE,"5.INVESTMENT";#N/A,#N/A,FALSE,"6.공문";#N/A,#N/A,FALSE,"7.netinvest"}</definedName>
    <definedName name="도" localSheetId="24"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3" hidden="1">{"'7'!$B$15:$D$32"}</definedName>
    <definedName name="도공" localSheetId="18" hidden="1">{"'7'!$B$15:$D$32"}</definedName>
    <definedName name="도공" localSheetId="24" hidden="1">{"'7'!$B$15:$D$32"}</definedName>
    <definedName name="도공" hidden="1">{"'7'!$B$15:$D$32"}</definedName>
    <definedName name="도공1" localSheetId="23" hidden="1">{"'7'!$B$15:$D$32"}</definedName>
    <definedName name="도공1" localSheetId="18" hidden="1">{"'7'!$B$15:$D$32"}</definedName>
    <definedName name="도공1" localSheetId="24" hidden="1">{"'7'!$B$15:$D$32"}</definedName>
    <definedName name="도공1" hidden="1">{"'7'!$B$15:$D$32"}</definedName>
    <definedName name="도급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3" hidden="1">{#N/A,#N/A,FALSE,"포장단가"}</definedName>
    <definedName name="도오" localSheetId="18" hidden="1">{#N/A,#N/A,FALSE,"포장단가"}</definedName>
    <definedName name="도오" localSheetId="24" hidden="1">{#N/A,#N/A,FALSE,"포장단가"}</definedName>
    <definedName name="도오" hidden="1">{#N/A,#N/A,FALSE,"포장단가"}</definedName>
    <definedName name="도장" localSheetId="23" hidden="1">{#N/A,#N/A,FALSE,"CAM-G7";#N/A,#N/A,FALSE,"SPL";#N/A,#N/A,FALSE,"butt-in G7";#N/A,#N/A,FALSE,"dia-in G7";#N/A,#N/A,FALSE,"추가-STA G7"}</definedName>
    <definedName name="도장" localSheetId="18" hidden="1">{#N/A,#N/A,FALSE,"CAM-G7";#N/A,#N/A,FALSE,"SPL";#N/A,#N/A,FALSE,"butt-in G7";#N/A,#N/A,FALSE,"dia-in G7";#N/A,#N/A,FALSE,"추가-STA G7"}</definedName>
    <definedName name="도장" localSheetId="24" hidden="1">{#N/A,#N/A,FALSE,"CAM-G7";#N/A,#N/A,FALSE,"SPL";#N/A,#N/A,FALSE,"butt-in G7";#N/A,#N/A,FALSE,"dia-in G7";#N/A,#N/A,FALSE,"추가-STA G7"}</definedName>
    <definedName name="도장" hidden="1">{#N/A,#N/A,FALSE,"CAM-G7";#N/A,#N/A,FALSE,"SPL";#N/A,#N/A,FALSE,"butt-in G7";#N/A,#N/A,FALSE,"dia-in G7";#N/A,#N/A,FALSE,"추가-STA G7"}</definedName>
    <definedName name="도장상관D" localSheetId="23" hidden="1">{#N/A,#N/A,FALSE,"CAM-G7";#N/A,#N/A,FALSE,"SPL";#N/A,#N/A,FALSE,"butt-in G7";#N/A,#N/A,FALSE,"dia-in G7";#N/A,#N/A,FALSE,"추가-STA G7"}</definedName>
    <definedName name="도장상관D" localSheetId="18" hidden="1">{#N/A,#N/A,FALSE,"CAM-G7";#N/A,#N/A,FALSE,"SPL";#N/A,#N/A,FALSE,"butt-in G7";#N/A,#N/A,FALSE,"dia-in G7";#N/A,#N/A,FALSE,"추가-STA G7"}</definedName>
    <definedName name="도장상관D" localSheetId="24" hidden="1">{#N/A,#N/A,FALSE,"CAM-G7";#N/A,#N/A,FALSE,"SPL";#N/A,#N/A,FALSE,"butt-in G7";#N/A,#N/A,FALSE,"dia-in G7";#N/A,#N/A,FALSE,"추가-STA G7"}</definedName>
    <definedName name="도장상관D" hidden="1">{#N/A,#N/A,FALSE,"CAM-G7";#N/A,#N/A,FALSE,"SPL";#N/A,#N/A,FALSE,"butt-in G7";#N/A,#N/A,FALSE,"dia-in G7";#N/A,#N/A,FALSE,"추가-STA G7"}</definedName>
    <definedName name="도장장호원4" localSheetId="23" hidden="1">{#N/A,#N/A,FALSE,"CAM-G7";#N/A,#N/A,FALSE,"SPL";#N/A,#N/A,FALSE,"butt-in G7";#N/A,#N/A,FALSE,"dia-in G7";#N/A,#N/A,FALSE,"추가-STA G7"}</definedName>
    <definedName name="도장장호원4" localSheetId="18"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3" hidden="1">{#N/A,#N/A,FALSE,"CAM-G7";#N/A,#N/A,FALSE,"SPL";#N/A,#N/A,FALSE,"butt-in G7";#N/A,#N/A,FALSE,"dia-in G7";#N/A,#N/A,FALSE,"추가-STA G7"}</definedName>
    <definedName name="도장장호원5" localSheetId="18"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hidden="1">{#N/A,#N/A,FALSE,"CAM-G7";#N/A,#N/A,FALSE,"SPL";#N/A,#N/A,FALSE,"butt-in G7";#N/A,#N/A,FALSE,"dia-in G7";#N/A,#N/A,FALSE,"추가-STA G7"}</definedName>
    <definedName name="독립기초" localSheetId="23" hidden="1">{#N/A,#N/A,FALSE,"기안지";#N/A,#N/A,FALSE,"통신지"}</definedName>
    <definedName name="독립기초" localSheetId="18" hidden="1">{#N/A,#N/A,FALSE,"기안지";#N/A,#N/A,FALSE,"통신지"}</definedName>
    <definedName name="독립기초" localSheetId="24" hidden="1">{#N/A,#N/A,FALSE,"기안지";#N/A,#N/A,FALSE,"통신지"}</definedName>
    <definedName name="독립기초" hidden="1">{#N/A,#N/A,FALSE,"기안지";#N/A,#N/A,FALSE,"통신지"}</definedName>
    <definedName name="독립기초토공수량산출" localSheetId="23" hidden="1">{#N/A,#N/A,FALSE,"기안지";#N/A,#N/A,FALSE,"통신지"}</definedName>
    <definedName name="독립기초토공수량산출" localSheetId="18" hidden="1">{#N/A,#N/A,FALSE,"기안지";#N/A,#N/A,FALSE,"통신지"}</definedName>
    <definedName name="독립기초토공수량산출" localSheetId="24" hidden="1">{#N/A,#N/A,FALSE,"기안지";#N/A,#N/A,FALSE,"통신지"}</definedName>
    <definedName name="독립기초토공수량산출" hidden="1">{#N/A,#N/A,FALSE,"기안지";#N/A,#N/A,FALSE,"통신지"}</definedName>
    <definedName name="돈다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3" hidden="1">{#N/A,#N/A,FALSE,"Aging Summary";#N/A,#N/A,FALSE,"Ratio Analysis";#N/A,#N/A,FALSE,"Test 120 Day Accts";#N/A,#N/A,FALSE,"Tickmarks"}</definedName>
    <definedName name="동" localSheetId="18" hidden="1">{#N/A,#N/A,FALSE,"Aging Summary";#N/A,#N/A,FALSE,"Ratio Analysis";#N/A,#N/A,FALSE,"Test 120 Day Accts";#N/A,#N/A,FALSE,"Tickmarks"}</definedName>
    <definedName name="동" localSheetId="24" hidden="1">{#N/A,#N/A,FALSE,"Aging Summary";#N/A,#N/A,FALSE,"Ratio Analysis";#N/A,#N/A,FALSE,"Test 120 Day Accts";#N/A,#N/A,FALSE,"Tickmarks"}</definedName>
    <definedName name="동" hidden="1">{#N/A,#N/A,FALSE,"Aging Summary";#N/A,#N/A,FALSE,"Ratio Analysis";#N/A,#N/A,FALSE,"Test 120 Day Accts";#N/A,#N/A,FALSE,"Tickmarks"}</definedName>
    <definedName name="동결2" localSheetId="23" hidden="1">{#N/A,#N/A,FALSE,"동부"}</definedName>
    <definedName name="동결2" localSheetId="18" hidden="1">{#N/A,#N/A,FALSE,"동부"}</definedName>
    <definedName name="동결2" localSheetId="24" hidden="1">{#N/A,#N/A,FALSE,"동부"}</definedName>
    <definedName name="동결2" hidden="1">{#N/A,#N/A,FALSE,"동부"}</definedName>
    <definedName name="동양" localSheetId="23" hidden="1">{#N/A,#N/A,FALSE,"CCTV"}</definedName>
    <definedName name="동양" localSheetId="18" hidden="1">{#N/A,#N/A,FALSE,"CCTV"}</definedName>
    <definedName name="동양" localSheetId="24" hidden="1">{#N/A,#N/A,FALSE,"CCTV"}</definedName>
    <definedName name="동양" hidden="1">{#N/A,#N/A,FALSE,"CCTV"}</definedName>
    <definedName name="동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3" hidden="1">{"'Firr(선)'!$AS$1:$AY$62","'Firr(사)'!$AS$1:$AY$62","'Firr(회)'!$AS$1:$AY$62","'Firr(선)'!$L$1:$V$62","'Firr(사)'!$L$1:$V$62","'Firr(회)'!$L$1:$V$62"}</definedName>
    <definedName name="동준" localSheetId="18" hidden="1">{"'Firr(선)'!$AS$1:$AY$62","'Firr(사)'!$AS$1:$AY$62","'Firr(회)'!$AS$1:$AY$62","'Firr(선)'!$L$1:$V$62","'Firr(사)'!$L$1:$V$62","'Firr(회)'!$L$1:$V$62"}</definedName>
    <definedName name="동준" localSheetId="24" hidden="1">{"'Firr(선)'!$AS$1:$AY$62","'Firr(사)'!$AS$1:$AY$62","'Firr(회)'!$AS$1:$AY$62","'Firr(선)'!$L$1:$V$62","'Firr(사)'!$L$1:$V$62","'Firr(회)'!$L$1:$V$62"}</definedName>
    <definedName name="동준" hidden="1">{"'Firr(선)'!$AS$1:$AY$62","'Firr(사)'!$AS$1:$AY$62","'Firr(회)'!$AS$1:$AY$62","'Firr(선)'!$L$1:$V$62","'Firr(사)'!$L$1:$V$62","'Firr(회)'!$L$1:$V$62"}</definedName>
    <definedName name="돠" localSheetId="23" hidden="1">{#N/A,#N/A,FALSE,"1.CRITERIA";#N/A,#N/A,FALSE,"2.IS";#N/A,#N/A,FALSE,"3.BS";#N/A,#N/A,FALSE,"4.PER PL";#N/A,#N/A,FALSE,"5.INVESTMENT";#N/A,#N/A,FALSE,"6.공문";#N/A,#N/A,FALSE,"7.netinvest"}</definedName>
    <definedName name="돠" localSheetId="18" hidden="1">{#N/A,#N/A,FALSE,"1.CRITERIA";#N/A,#N/A,FALSE,"2.IS";#N/A,#N/A,FALSE,"3.BS";#N/A,#N/A,FALSE,"4.PER PL";#N/A,#N/A,FALSE,"5.INVESTMENT";#N/A,#N/A,FALSE,"6.공문";#N/A,#N/A,FALSE,"7.netinvest"}</definedName>
    <definedName name="돠" localSheetId="24"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3" hidden="1">{#N/A,#N/A,TRUE,"대 차 대 조 표"}</definedName>
    <definedName name="돼지" localSheetId="18" hidden="1">{#N/A,#N/A,TRUE,"대 차 대 조 표"}</definedName>
    <definedName name="돼지" localSheetId="24" hidden="1">{#N/A,#N/A,TRUE,"대 차 대 조 표"}</definedName>
    <definedName name="돼지" hidden="1">{#N/A,#N/A,TRUE,"대 차 대 조 표"}</definedName>
    <definedName name="돼지_1" localSheetId="23" hidden="1">{#N/A,#N/A,TRUE,"대 차 대 조 표"}</definedName>
    <definedName name="돼지_1" localSheetId="18" hidden="1">{#N/A,#N/A,TRUE,"대 차 대 조 표"}</definedName>
    <definedName name="돼지_1" localSheetId="24" hidden="1">{#N/A,#N/A,TRUE,"대 차 대 조 표"}</definedName>
    <definedName name="돼지_1" hidden="1">{#N/A,#N/A,TRUE,"대 차 대 조 표"}</definedName>
    <definedName name="디" localSheetId="23" hidden="1">{#N/A,#N/A,FALSE,"1.CRITERIA";#N/A,#N/A,FALSE,"2.IS";#N/A,#N/A,FALSE,"3.BS";#N/A,#N/A,FALSE,"4.PER PL";#N/A,#N/A,FALSE,"5.INVESTMENT";#N/A,#N/A,FALSE,"6.공문";#N/A,#N/A,FALSE,"7.netinvest"}</definedName>
    <definedName name="디" localSheetId="18" hidden="1">{#N/A,#N/A,FALSE,"1.CRITERIA";#N/A,#N/A,FALSE,"2.IS";#N/A,#N/A,FALSE,"3.BS";#N/A,#N/A,FALSE,"4.PER PL";#N/A,#N/A,FALSE,"5.INVESTMENT";#N/A,#N/A,FALSE,"6.공문";#N/A,#N/A,FALSE,"7.netinvest"}</definedName>
    <definedName name="디" localSheetId="24"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3" hidden="1">{#N/A,#N/A,FALSE,"동부"}</definedName>
    <definedName name="디비" localSheetId="18" hidden="1">{#N/A,#N/A,FALSE,"동부"}</definedName>
    <definedName name="디비" localSheetId="24" hidden="1">{#N/A,#N/A,FALSE,"동부"}</definedName>
    <definedName name="디비" hidden="1">{#N/A,#N/A,FALSE,"동부"}</definedName>
    <definedName name="딩" localSheetId="23" hidden="1">{#N/A,#N/A,FALSE,"동부"}</definedName>
    <definedName name="딩" localSheetId="18" hidden="1">{#N/A,#N/A,FALSE,"동부"}</definedName>
    <definedName name="딩" localSheetId="24" hidden="1">{#N/A,#N/A,FALSE,"동부"}</definedName>
    <definedName name="딩" hidden="1">{#N/A,#N/A,FALSE,"동부"}</definedName>
    <definedName name="ㄹ" localSheetId="23" hidden="1">{"AJD",#N/A,TRUE,"Summary";"AJD",#N/A,TRUE,"CFCONC-outputs";"AJD",#N/A,TRUE,"P&amp;LCONC-outputs";"AJD",#N/A,TRUE,"BSCONC-outputs";"AJD",#N/A,TRUE,"FSCONC-outputs"}</definedName>
    <definedName name="ㄹ" localSheetId="18" hidden="1">{"AJD",#N/A,TRUE,"Summary";"AJD",#N/A,TRUE,"CFCONC-outputs";"AJD",#N/A,TRUE,"P&amp;LCONC-outputs";"AJD",#N/A,TRUE,"BSCONC-outputs";"AJD",#N/A,TRUE,"FSCONC-outputs"}</definedName>
    <definedName name="ㄹ" localSheetId="24"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3" hidden="1">{#N/A,#N/A,FALSE,"동부"}</definedName>
    <definedName name="ㄹㄴㅁㄹㅇㄴㄹ" localSheetId="18" hidden="1">{#N/A,#N/A,FALSE,"동부"}</definedName>
    <definedName name="ㄹㄴㅁㄹㅇㄴㄹ" localSheetId="24" hidden="1">{#N/A,#N/A,FALSE,"동부"}</definedName>
    <definedName name="ㄹㄴㅁㄹㅇㄴㄹ" hidden="1">{#N/A,#N/A,FALSE,"동부"}</definedName>
    <definedName name="ㄹㄴㅇ" localSheetId="23" hidden="1">{#N/A,#N/A,FALSE,"동부"}</definedName>
    <definedName name="ㄹㄴㅇ" localSheetId="18" hidden="1">{#N/A,#N/A,FALSE,"동부"}</definedName>
    <definedName name="ㄹㄴㅇ" localSheetId="24" hidden="1">{#N/A,#N/A,FALSE,"동부"}</definedName>
    <definedName name="ㄹㄴㅇ" hidden="1">{#N/A,#N/A,FALSE,"동부"}</definedName>
    <definedName name="ㄹㄴㅇㄹ"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3" hidden="1">{#N/A,#N/A,FALSE,"지침";#N/A,#N/A,FALSE,"환경분석";#N/A,#N/A,FALSE,"Sheet16"}</definedName>
    <definedName name="ㄹㄴㅇㄹㄴㅇㄹㄴㄱㄴㅇ" localSheetId="18" hidden="1">{#N/A,#N/A,FALSE,"지침";#N/A,#N/A,FALSE,"환경분석";#N/A,#N/A,FALSE,"Sheet16"}</definedName>
    <definedName name="ㄹㄴㅇㄹㄴㅇㄹㄴㄱㄴㅇ" localSheetId="24" hidden="1">{#N/A,#N/A,FALSE,"지침";#N/A,#N/A,FALSE,"환경분석";#N/A,#N/A,FALSE,"Sheet16"}</definedName>
    <definedName name="ㄹㄴㅇㄹㄴㅇㄹㄴㄱㄴㅇ" hidden="1">{#N/A,#N/A,FALSE,"지침";#N/A,#N/A,FALSE,"환경분석";#N/A,#N/A,FALSE,"Sheet16"}</definedName>
    <definedName name="ㄹㄷ" localSheetId="23" hidden="1">{#N/A,#N/A,FALSE,"동부"}</definedName>
    <definedName name="ㄹㄷ" localSheetId="18" hidden="1">{#N/A,#N/A,FALSE,"동부"}</definedName>
    <definedName name="ㄹㄷ" localSheetId="24" hidden="1">{#N/A,#N/A,FALSE,"동부"}</definedName>
    <definedName name="ㄹㄷ" hidden="1">{#N/A,#N/A,FALSE,"동부"}</definedName>
    <definedName name="ㄹㄷㄴㄹㄴ" localSheetId="23" hidden="1">{#N/A,#N/A,FALSE,"동부"}</definedName>
    <definedName name="ㄹㄷㄴㄹㄴ" localSheetId="18" hidden="1">{#N/A,#N/A,FALSE,"동부"}</definedName>
    <definedName name="ㄹㄷㄴㄹㄴ" localSheetId="24" hidden="1">{#N/A,#N/A,FALSE,"동부"}</definedName>
    <definedName name="ㄹㄷㄴㄹㄴ" hidden="1">{#N/A,#N/A,FALSE,"동부"}</definedName>
    <definedName name="ㄹ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3" hidden="1">{#N/A,#N/A,TRUE,"대 차 대 조 표"}</definedName>
    <definedName name="ㄹㄹㄷㄹ" localSheetId="18" hidden="1">{#N/A,#N/A,TRUE,"대 차 대 조 표"}</definedName>
    <definedName name="ㄹㄹㄷㄹ" localSheetId="24" hidden="1">{#N/A,#N/A,TRUE,"대 차 대 조 표"}</definedName>
    <definedName name="ㄹㄹㄷㄹ" hidden="1">{#N/A,#N/A,TRUE,"대 차 대 조 표"}</definedName>
    <definedName name="ㄹㄹㄷㄹ_1" localSheetId="23" hidden="1">{#N/A,#N/A,TRUE,"대 차 대 조 표"}</definedName>
    <definedName name="ㄹㄹㄷㄹ_1" localSheetId="18" hidden="1">{#N/A,#N/A,TRUE,"대 차 대 조 표"}</definedName>
    <definedName name="ㄹㄹㄷㄹ_1" localSheetId="24" hidden="1">{#N/A,#N/A,TRUE,"대 차 대 조 표"}</definedName>
    <definedName name="ㄹㄹㄷㄹ_1" hidden="1">{#N/A,#N/A,TRUE,"대 차 대 조 표"}</definedName>
    <definedName name="ㄹㄹㄹㄹ" localSheetId="23" hidden="1">{"'Firr(선)'!$AS$1:$AY$62","'Firr(사)'!$AS$1:$AY$62","'Firr(회)'!$AS$1:$AY$62","'Firr(선)'!$L$1:$V$62","'Firr(사)'!$L$1:$V$62","'Firr(회)'!$L$1:$V$62"}</definedName>
    <definedName name="ㄹㄹㄹㄹ" localSheetId="18" hidden="1">{"'Firr(선)'!$AS$1:$AY$62","'Firr(사)'!$AS$1:$AY$62","'Firr(회)'!$AS$1:$AY$62","'Firr(선)'!$L$1:$V$62","'Firr(사)'!$L$1:$V$62","'Firr(회)'!$L$1:$V$62"}</definedName>
    <definedName name="ㄹㄹㄹㄹ" localSheetId="24"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3" hidden="1">{#N/A,#N/A,FALSE,"동부"}</definedName>
    <definedName name="ㄹㅇㄴㄷ" localSheetId="18" hidden="1">{#N/A,#N/A,FALSE,"동부"}</definedName>
    <definedName name="ㄹㅇㄴㄷ" localSheetId="24" hidden="1">{#N/A,#N/A,FALSE,"동부"}</definedName>
    <definedName name="ㄹㅇㄴㄷ" hidden="1">{#N/A,#N/A,FALSE,"동부"}</definedName>
    <definedName name="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3" hidden="1">{"AJD",#N/A,TRUE,"Summary";"AJD",#N/A,TRUE,"CFCONC-outputs";"AJD",#N/A,TRUE,"P&amp;LCONC-outputs";"AJD",#N/A,TRUE,"BSCONC-outputs";"AJD",#N/A,TRUE,"FSCONC-outputs"}</definedName>
    <definedName name="ㄹㅇㄴㄹ두" localSheetId="18" hidden="1">{"AJD",#N/A,TRUE,"Summary";"AJD",#N/A,TRUE,"CFCONC-outputs";"AJD",#N/A,TRUE,"P&amp;LCONC-outputs";"AJD",#N/A,TRUE,"BSCONC-outputs";"AJD",#N/A,TRUE,"FSCONC-outputs"}</definedName>
    <definedName name="ㄹㅇㄴㄹ두" localSheetId="24"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3" hidden="1">{#N/A,#N/A,FALSE,"동부"}</definedName>
    <definedName name="ㄹㅇㄴㅁ" localSheetId="18" hidden="1">{#N/A,#N/A,FALSE,"동부"}</definedName>
    <definedName name="ㄹㅇㄴㅁ" localSheetId="24" hidden="1">{#N/A,#N/A,FALSE,"동부"}</definedName>
    <definedName name="ㄹㅇㄴㅁ" hidden="1">{#N/A,#N/A,FALSE,"동부"}</definedName>
    <definedName name="ㄹㅇㄴㅁㄹ" localSheetId="23" hidden="1">{#N/A,#N/A,FALSE,"동부"}</definedName>
    <definedName name="ㄹㅇㄴㅁㄹ" localSheetId="18" hidden="1">{#N/A,#N/A,FALSE,"동부"}</definedName>
    <definedName name="ㄹㅇㄴㅁㄹ" localSheetId="24" hidden="1">{#N/A,#N/A,FALSE,"동부"}</definedName>
    <definedName name="ㄹㅇㄴㅁㄹ" hidden="1">{#N/A,#N/A,FALSE,"동부"}</definedName>
    <definedName name="ㄹㅇㄷㅁㄹ" localSheetId="23" hidden="1">{#N/A,#N/A,TRUE,"대 차 대 조 표"}</definedName>
    <definedName name="ㄹㅇㄷㅁㄹ" localSheetId="18" hidden="1">{#N/A,#N/A,TRUE,"대 차 대 조 표"}</definedName>
    <definedName name="ㄹㅇㄷㅁㄹ" localSheetId="24" hidden="1">{#N/A,#N/A,TRUE,"대 차 대 조 표"}</definedName>
    <definedName name="ㄹㅇㄷㅁㄹ" hidden="1">{#N/A,#N/A,TRUE,"대 차 대 조 표"}</definedName>
    <definedName name="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3" hidden="1">{#N/A,#N/A,FALSE,"동부"}</definedName>
    <definedName name="ㄹㅇㅁㅎㅇㅁ" localSheetId="18" hidden="1">{#N/A,#N/A,FALSE,"동부"}</definedName>
    <definedName name="ㄹㅇㅁㅎㅇㅁ" localSheetId="24" hidden="1">{#N/A,#N/A,FALSE,"동부"}</definedName>
    <definedName name="ㄹㅇㅁㅎㅇㅁ" hidden="1">{#N/A,#N/A,FALSE,"동부"}</definedName>
    <definedName name="ㄹㅇㅇㅇㅇ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3" hidden="1">{#N/A,#N/A,TRUE,"대 차 대 조 표"}</definedName>
    <definedName name="ㄹㅇㅈㅁㄹㅇㄴㅁ" localSheetId="18" hidden="1">{#N/A,#N/A,TRUE,"대 차 대 조 표"}</definedName>
    <definedName name="ㄹㅇㅈㅁㄹㅇㄴㅁ" localSheetId="24" hidden="1">{#N/A,#N/A,TRUE,"대 차 대 조 표"}</definedName>
    <definedName name="ㄹㅇㅈㅁㄹㅇㄴㅁ" hidden="1">{#N/A,#N/A,TRUE,"대 차 대 조 표"}</definedName>
    <definedName name="ㄹㅇㅎㄴ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3" hidden="1">{"AJD",#N/A,TRUE,"Summary";"AJD",#N/A,TRUE,"CFCONC-outputs";"AJD",#N/A,TRUE,"P&amp;LCONC-outputs";"AJD",#N/A,TRUE,"BSCONC-outputs";"AJD",#N/A,TRUE,"FSCONC-outputs"}</definedName>
    <definedName name="ㄹㅇㅎㄶ" localSheetId="18" hidden="1">{"AJD",#N/A,TRUE,"Summary";"AJD",#N/A,TRUE,"CFCONC-outputs";"AJD",#N/A,TRUE,"P&amp;LCONC-outputs";"AJD",#N/A,TRUE,"BSCONC-outputs";"AJD",#N/A,TRUE,"FSCONC-outputs"}</definedName>
    <definedName name="ㄹㅇㅎㄶ" localSheetId="24"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3" hidden="1">{"AJD",#N/A,TRUE,"Summary";"AJD",#N/A,TRUE,"CFCONC-outputs";"AJD",#N/A,TRUE,"P&amp;LCONC-outputs";"AJD",#N/A,TRUE,"BSCONC-outputs";"AJD",#N/A,TRUE,"FSCONC-outputs"}</definedName>
    <definedName name="ㄹㅇㅎㄹㅇㄶㄹㅇ" localSheetId="18"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3" hidden="1">{#N/A,#N/A,TRUE,"대 차 대 조 표"}</definedName>
    <definedName name="ㄹㅇㅎㅍ" localSheetId="18" hidden="1">{#N/A,#N/A,TRUE,"대 차 대 조 표"}</definedName>
    <definedName name="ㄹㅇㅎㅍ" localSheetId="24" hidden="1">{#N/A,#N/A,TRUE,"대 차 대 조 표"}</definedName>
    <definedName name="ㄹㅇㅎㅍ" hidden="1">{#N/A,#N/A,TRUE,"대 차 대 조 표"}</definedName>
    <definedName name="ㄹ혻" localSheetId="23" hidden="1">{"'용역비'!$A$4:$C$8"}</definedName>
    <definedName name="ㄹ혻" localSheetId="18" hidden="1">{"'용역비'!$A$4:$C$8"}</definedName>
    <definedName name="ㄹ혻" localSheetId="24" hidden="1">{"'용역비'!$A$4:$C$8"}</definedName>
    <definedName name="ㄹ혻" hidden="1">{"'용역비'!$A$4:$C$8"}</definedName>
    <definedName name="ㄹ홓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3" hidden="1">{#N/A,#N/A,FALSE,"1.CRITERIA";#N/A,#N/A,FALSE,"2.IS";#N/A,#N/A,FALSE,"3.BS";#N/A,#N/A,FALSE,"4.PER PL";#N/A,#N/A,FALSE,"5.INVESTMENT";#N/A,#N/A,FALSE,"6.공문";#N/A,#N/A,FALSE,"7.netinvest"}</definedName>
    <definedName name="라" localSheetId="18" hidden="1">{#N/A,#N/A,FALSE,"1.CRITERIA";#N/A,#N/A,FALSE,"2.IS";#N/A,#N/A,FALSE,"3.BS";#N/A,#N/A,FALSE,"4.PER PL";#N/A,#N/A,FALSE,"5.INVESTMENT";#N/A,#N/A,FALSE,"6.공문";#N/A,#N/A,FALSE,"7.netinvest"}</definedName>
    <definedName name="라" localSheetId="24"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3" hidden="1">{#N/A,#N/A,FALSE,"1.CRITERIA";#N/A,#N/A,FALSE,"2.IS";#N/A,#N/A,FALSE,"3.BS";#N/A,#N/A,FALSE,"4.PER PL";#N/A,#N/A,FALSE,"5.INVESTMENT";#N/A,#N/A,FALSE,"6.공문";#N/A,#N/A,FALSE,"7.netinvest"}</definedName>
    <definedName name="라아아" localSheetId="18" hidden="1">{#N/A,#N/A,FALSE,"1.CRITERIA";#N/A,#N/A,FALSE,"2.IS";#N/A,#N/A,FALSE,"3.BS";#N/A,#N/A,FALSE,"4.PER PL";#N/A,#N/A,FALSE,"5.INVESTMENT";#N/A,#N/A,FALSE,"6.공문";#N/A,#N/A,FALSE,"7.netinvest"}</definedName>
    <definedName name="라아아" localSheetId="24"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3" hidden="1">{#N/A,#N/A,FALSE,"동부"}</definedName>
    <definedName name="랜트롤" localSheetId="18" hidden="1">{#N/A,#N/A,FALSE,"동부"}</definedName>
    <definedName name="랜트롤" localSheetId="24" hidden="1">{#N/A,#N/A,FALSE,"동부"}</definedName>
    <definedName name="랜트롤" hidden="1">{#N/A,#N/A,FALSE,"동부"}</definedName>
    <definedName name="랴" localSheetId="23" hidden="1">{#N/A,#N/A,FALSE,"1.CRITERIA";#N/A,#N/A,FALSE,"2.IS";#N/A,#N/A,FALSE,"3.BS";#N/A,#N/A,FALSE,"4.PER PL";#N/A,#N/A,FALSE,"5.INVESTMENT";#N/A,#N/A,FALSE,"6.공문";#N/A,#N/A,FALSE,"7.netinvest"}</definedName>
    <definedName name="랴" localSheetId="18" hidden="1">{#N/A,#N/A,FALSE,"1.CRITERIA";#N/A,#N/A,FALSE,"2.IS";#N/A,#N/A,FALSE,"3.BS";#N/A,#N/A,FALSE,"4.PER PL";#N/A,#N/A,FALSE,"5.INVESTMENT";#N/A,#N/A,FALSE,"6.공문";#N/A,#N/A,FALSE,"7.netinvest"}</definedName>
    <definedName name="랴" localSheetId="24"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3" hidden="1">{#N/A,#N/A,TRUE,"대 차 대 조 표"}</definedName>
    <definedName name="러" localSheetId="18" hidden="1">{#N/A,#N/A,TRUE,"대 차 대 조 표"}</definedName>
    <definedName name="러" localSheetId="24" hidden="1">{#N/A,#N/A,TRUE,"대 차 대 조 표"}</definedName>
    <definedName name="러" hidden="1">{#N/A,#N/A,TRUE,"대 차 대 조 표"}</definedName>
    <definedName name="러ㅏㅇ"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3" hidden="1">{#N/A,#N/A,FALSE,"이력서&amp;자기소개서"}</definedName>
    <definedName name="러ㅏㅇ럼" localSheetId="18" hidden="1">{#N/A,#N/A,FALSE,"이력서&amp;자기소개서"}</definedName>
    <definedName name="러ㅏㅇ럼" localSheetId="24" hidden="1">{#N/A,#N/A,FALSE,"이력서&amp;자기소개서"}</definedName>
    <definedName name="러ㅏㅇ럼" hidden="1">{#N/A,#N/A,FALSE,"이력서&amp;자기소개서"}</definedName>
    <definedName name="려ㅛ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3" hidden="1">{#N/A,#N/A,FALSE,"1.CRITERIA";#N/A,#N/A,FALSE,"2.IS";#N/A,#N/A,FALSE,"3.BS";#N/A,#N/A,FALSE,"4.PER PL";#N/A,#N/A,FALSE,"5.INVESTMENT";#N/A,#N/A,FALSE,"6.공문";#N/A,#N/A,FALSE,"7.netinvest"}</definedName>
    <definedName name="로" localSheetId="18" hidden="1">{#N/A,#N/A,FALSE,"1.CRITERIA";#N/A,#N/A,FALSE,"2.IS";#N/A,#N/A,FALSE,"3.BS";#N/A,#N/A,FALSE,"4.PER PL";#N/A,#N/A,FALSE,"5.INVESTMENT";#N/A,#N/A,FALSE,"6.공문";#N/A,#N/A,FALSE,"7.netinvest"}</definedName>
    <definedName name="로" localSheetId="24"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3" hidden="1">{#N/A,#N/A,FALSE,"단축1";#N/A,#N/A,FALSE,"단축2";#N/A,#N/A,FALSE,"단축3";#N/A,#N/A,FALSE,"장축";#N/A,#N/A,FALSE,"4WD"}</definedName>
    <definedName name="로커커버" localSheetId="18" hidden="1">{#N/A,#N/A,FALSE,"단축1";#N/A,#N/A,FALSE,"단축2";#N/A,#N/A,FALSE,"단축3";#N/A,#N/A,FALSE,"장축";#N/A,#N/A,FALSE,"4WD"}</definedName>
    <definedName name="로커커버" localSheetId="24" hidden="1">{#N/A,#N/A,FALSE,"단축1";#N/A,#N/A,FALSE,"단축2";#N/A,#N/A,FALSE,"단축3";#N/A,#N/A,FALSE,"장축";#N/A,#N/A,FALSE,"4WD"}</definedName>
    <definedName name="로커커버" hidden="1">{#N/A,#N/A,FALSE,"단축1";#N/A,#N/A,FALSE,"단축2";#N/A,#N/A,FALSE,"단축3";#N/A,#N/A,FALSE,"장축";#N/A,#N/A,FALSE,"4WD"}</definedName>
    <definedName name="료" localSheetId="23" hidden="1">{"'용역비'!$A$4:$C$8"}</definedName>
    <definedName name="료" localSheetId="18" hidden="1">{"'용역비'!$A$4:$C$8"}</definedName>
    <definedName name="료" localSheetId="24" hidden="1">{"'용역비'!$A$4:$C$8"}</definedName>
    <definedName name="료" hidden="1">{"'용역비'!$A$4:$C$8"}</definedName>
    <definedName name="류" localSheetId="23" hidden="1">{#N/A,#N/A,FALSE,"1.CRITERIA";#N/A,#N/A,FALSE,"2.IS";#N/A,#N/A,FALSE,"3.BS";#N/A,#N/A,FALSE,"4.PER PL";#N/A,#N/A,FALSE,"5.INVESTMENT";#N/A,#N/A,FALSE,"6.공문";#N/A,#N/A,FALSE,"7.netinvest"}</definedName>
    <definedName name="류" localSheetId="18" hidden="1">{#N/A,#N/A,FALSE,"1.CRITERIA";#N/A,#N/A,FALSE,"2.IS";#N/A,#N/A,FALSE,"3.BS";#N/A,#N/A,FALSE,"4.PER PL";#N/A,#N/A,FALSE,"5.INVESTMENT";#N/A,#N/A,FALSE,"6.공문";#N/A,#N/A,FALSE,"7.netinvest"}</definedName>
    <definedName name="류" localSheetId="24"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3" hidden="1">{"'Firr(선)'!$AS$1:$AY$62","'Firr(사)'!$AS$1:$AY$62","'Firr(회)'!$AS$1:$AY$62","'Firr(선)'!$L$1:$V$62","'Firr(사)'!$L$1:$V$62","'Firr(회)'!$L$1:$V$62"}</definedName>
    <definedName name="류효정" localSheetId="18" hidden="1">{"'Firr(선)'!$AS$1:$AY$62","'Firr(사)'!$AS$1:$AY$62","'Firr(회)'!$AS$1:$AY$62","'Firr(선)'!$L$1:$V$62","'Firr(사)'!$L$1:$V$62","'Firr(회)'!$L$1:$V$62"}</definedName>
    <definedName name="류효정" localSheetId="24" hidden="1">{"'Firr(선)'!$AS$1:$AY$62","'Firr(사)'!$AS$1:$AY$62","'Firr(회)'!$AS$1:$AY$62","'Firr(선)'!$L$1:$V$62","'Firr(사)'!$L$1:$V$62","'Firr(회)'!$L$1:$V$62"}</definedName>
    <definedName name="류효정" hidden="1">{"'Firr(선)'!$AS$1:$AY$62","'Firr(사)'!$AS$1:$AY$62","'Firr(회)'!$AS$1:$AY$62","'Firr(선)'!$L$1:$V$62","'Firr(사)'!$L$1:$V$62","'Firr(회)'!$L$1:$V$62"}</definedName>
    <definedName name="리얼" localSheetId="23" hidden="1">{#N/A,#N/A,FALSE,"동부"}</definedName>
    <definedName name="리얼" localSheetId="18" hidden="1">{#N/A,#N/A,FALSE,"동부"}</definedName>
    <definedName name="리얼" localSheetId="24" hidden="1">{#N/A,#N/A,FALSE,"동부"}</definedName>
    <definedName name="리얼" hidden="1">{#N/A,#N/A,FALSE,"동부"}</definedName>
    <definedName name="ㄺ" localSheetId="23" hidden="1">{#N/A,#N/A,FALSE,"Aging Summary";#N/A,#N/A,FALSE,"Ratio Analysis";#N/A,#N/A,FALSE,"Test 120 Day Accts";#N/A,#N/A,FALSE,"Tickmarks"}</definedName>
    <definedName name="ㄺ" localSheetId="18" hidden="1">{#N/A,#N/A,FALSE,"Aging Summary";#N/A,#N/A,FALSE,"Ratio Analysis";#N/A,#N/A,FALSE,"Test 120 Day Accts";#N/A,#N/A,FALSE,"Tickmarks"}</definedName>
    <definedName name="ㄺ" localSheetId="24" hidden="1">{#N/A,#N/A,FALSE,"Aging Summary";#N/A,#N/A,FALSE,"Ratio Analysis";#N/A,#N/A,FALSE,"Test 120 Day Accts";#N/A,#N/A,FALSE,"Tickmarks"}</definedName>
    <definedName name="ㄺ" hidden="1">{#N/A,#N/A,FALSE,"Aging Summary";#N/A,#N/A,FALSE,"Ratio Analysis";#N/A,#N/A,FALSE,"Test 120 Day Accts";#N/A,#N/A,FALSE,"Tickmarks"}</definedName>
    <definedName name="ㄻㄹㄷ" localSheetId="23" hidden="1">{#N/A,#N/A,TRUE,"대 차 대 조 표"}</definedName>
    <definedName name="ㄻㄹㄷ" localSheetId="18" hidden="1">{#N/A,#N/A,TRUE,"대 차 대 조 표"}</definedName>
    <definedName name="ㄻㄹㄷ" localSheetId="24" hidden="1">{#N/A,#N/A,TRUE,"대 차 대 조 표"}</definedName>
    <definedName name="ㄻㄹㄷ" hidden="1">{#N/A,#N/A,TRUE,"대 차 대 조 표"}</definedName>
    <definedName name="ㄻㅇㄿ" localSheetId="23" hidden="1">{#N/A,#N/A,FALSE,"동부"}</definedName>
    <definedName name="ㄻㅇㄿ" localSheetId="18" hidden="1">{#N/A,#N/A,FALSE,"동부"}</definedName>
    <definedName name="ㄻㅇㄿ" localSheetId="24" hidden="1">{#N/A,#N/A,FALSE,"동부"}</definedName>
    <definedName name="ㄻㅇㄿ" hidden="1">{#N/A,#N/A,FALSE,"동부"}</definedName>
    <definedName name="ㄻㅎㄱ" localSheetId="23" hidden="1">{#N/A,#N/A,TRUE,"대 차 대 조 표"}</definedName>
    <definedName name="ㄻㅎㄱ" localSheetId="18" hidden="1">{#N/A,#N/A,TRUE,"대 차 대 조 표"}</definedName>
    <definedName name="ㄻㅎㄱ" localSheetId="24" hidden="1">{#N/A,#N/A,TRUE,"대 차 대 조 표"}</definedName>
    <definedName name="ㄻㅎㄱ" hidden="1">{#N/A,#N/A,TRUE,"대 차 대 조 표"}</definedName>
    <definedName name="ㅀㄹㅇㅎ" localSheetId="23" hidden="1">{#N/A,#N/A,FALSE,"포장단가"}</definedName>
    <definedName name="ㅀㄹㅇㅎ" localSheetId="18" hidden="1">{#N/A,#N/A,FALSE,"포장단가"}</definedName>
    <definedName name="ㅀㄹㅇㅎ" localSheetId="24" hidden="1">{#N/A,#N/A,FALSE,"포장단가"}</definedName>
    <definedName name="ㅀㄹㅇㅎ" hidden="1">{#N/A,#N/A,FALSE,"포장단가"}</definedName>
    <definedName name="ㅀ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3" hidden="1">{#N/A,#N/A,FALSE,"포장단가"}</definedName>
    <definedName name="ㅀㅎㅎ" localSheetId="18" hidden="1">{#N/A,#N/A,FALSE,"포장단가"}</definedName>
    <definedName name="ㅀㅎㅎ" localSheetId="24" hidden="1">{#N/A,#N/A,FALSE,"포장단가"}</definedName>
    <definedName name="ㅀㅎㅎ" hidden="1">{#N/A,#N/A,FALSE,"포장단가"}</definedName>
    <definedName name="ㅀ허" localSheetId="23" hidden="1">{#N/A,#N/A,FALSE,"CCTV"}</definedName>
    <definedName name="ㅀ허" localSheetId="18" hidden="1">{#N/A,#N/A,FALSE,"CCTV"}</definedName>
    <definedName name="ㅀ허" localSheetId="24" hidden="1">{#N/A,#N/A,FALSE,"CCTV"}</definedName>
    <definedName name="ㅀ허" hidden="1">{#N/A,#N/A,FALSE,"CCTV"}</definedName>
    <definedName name="ㅁㄴㄹ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3" hidden="1">{"'용역비'!$A$4:$C$8"}</definedName>
    <definedName name="ㅁㄴㅇㄻㄴㅇㄹㄴㅁㅎㄴㅇㅎ" localSheetId="18" hidden="1">{"'용역비'!$A$4:$C$8"}</definedName>
    <definedName name="ㅁㄴㅇㄻㄴㅇㄹㄴㅁㅎㄴㅇㅎ" localSheetId="24" hidden="1">{"'용역비'!$A$4:$C$8"}</definedName>
    <definedName name="ㅁㄴㅇㄻㄴㅇㄹㄴㅁㅎㄴㅇㅎ" hidden="1">{"'용역비'!$A$4:$C$8"}</definedName>
    <definedName name="ㅁㄴㅇㅁ" localSheetId="23" hidden="1">{"'용역비'!$A$4:$C$8"}</definedName>
    <definedName name="ㅁㄴㅇㅁ" localSheetId="18" hidden="1">{"'용역비'!$A$4:$C$8"}</definedName>
    <definedName name="ㅁㄴㅇㅁ" localSheetId="24" hidden="1">{"'용역비'!$A$4:$C$8"}</definedName>
    <definedName name="ㅁㄴㅇㅁ" hidden="1">{"'용역비'!$A$4:$C$8"}</definedName>
    <definedName name="ㅁㄴㅇㅁㄴㅇ" localSheetId="23" hidden="1">{#N/A,#N/A,TRUE,"Y생산";#N/A,#N/A,TRUE,"Y판매";#N/A,#N/A,TRUE,"Y총물량";#N/A,#N/A,TRUE,"Y능력";#N/A,#N/A,TRUE,"YKD"}</definedName>
    <definedName name="ㅁㄴㅇㅁㄴㅇ" localSheetId="18" hidden="1">{#N/A,#N/A,TRUE,"Y생산";#N/A,#N/A,TRUE,"Y판매";#N/A,#N/A,TRUE,"Y총물량";#N/A,#N/A,TRUE,"Y능력";#N/A,#N/A,TRUE,"YKD"}</definedName>
    <definedName name="ㅁㄴㅇㅁㄴㅇ" localSheetId="24" hidden="1">{#N/A,#N/A,TRUE,"Y생산";#N/A,#N/A,TRUE,"Y판매";#N/A,#N/A,TRUE,"Y총물량";#N/A,#N/A,TRUE,"Y능력";#N/A,#N/A,TRUE,"YKD"}</definedName>
    <definedName name="ㅁㄴㅇㅁㄴㅇ" hidden="1">{#N/A,#N/A,TRUE,"Y생산";#N/A,#N/A,TRUE,"Y판매";#N/A,#N/A,TRUE,"Y총물량";#N/A,#N/A,TRUE,"Y능력";#N/A,#N/A,TRUE,"YKD"}</definedName>
    <definedName name="ㅁㄴㅇㅁㄴㅇ_1" localSheetId="23" hidden="1">{#N/A,#N/A,TRUE,"Y생산";#N/A,#N/A,TRUE,"Y판매";#N/A,#N/A,TRUE,"Y총물량";#N/A,#N/A,TRUE,"Y능력";#N/A,#N/A,TRUE,"YKD"}</definedName>
    <definedName name="ㅁㄴㅇㅁㄴㅇ_1" localSheetId="18" hidden="1">{#N/A,#N/A,TRUE,"Y생산";#N/A,#N/A,TRUE,"Y판매";#N/A,#N/A,TRUE,"Y총물량";#N/A,#N/A,TRUE,"Y능력";#N/A,#N/A,TRUE,"YKD"}</definedName>
    <definedName name="ㅁㄴㅇㅁㄴㅇ_1" localSheetId="24" hidden="1">{#N/A,#N/A,TRUE,"Y생산";#N/A,#N/A,TRUE,"Y판매";#N/A,#N/A,TRUE,"Y총물량";#N/A,#N/A,TRUE,"Y능력";#N/A,#N/A,TRUE,"YKD"}</definedName>
    <definedName name="ㅁㄴㅇㅁㄴㅇ_1" hidden="1">{#N/A,#N/A,TRUE,"Y생산";#N/A,#N/A,TRUE,"Y판매";#N/A,#N/A,TRUE,"Y총물량";#N/A,#N/A,TRUE,"Y능력";#N/A,#N/A,TRUE,"YKD"}</definedName>
    <definedName name="ㅁㄴㅇㅁㄴㅇㅁ" localSheetId="23" hidden="1">{#N/A,#N/A,TRUE,"Y생산";#N/A,#N/A,TRUE,"Y판매";#N/A,#N/A,TRUE,"Y총물량";#N/A,#N/A,TRUE,"Y능력";#N/A,#N/A,TRUE,"YKD"}</definedName>
    <definedName name="ㅁㄴㅇㅁㄴㅇㅁ" localSheetId="18" hidden="1">{#N/A,#N/A,TRUE,"Y생산";#N/A,#N/A,TRUE,"Y판매";#N/A,#N/A,TRUE,"Y총물량";#N/A,#N/A,TRUE,"Y능력";#N/A,#N/A,TRUE,"YKD"}</definedName>
    <definedName name="ㅁㄴㅇㅁㄴㅇㅁ" localSheetId="24" hidden="1">{#N/A,#N/A,TRUE,"Y생산";#N/A,#N/A,TRUE,"Y판매";#N/A,#N/A,TRUE,"Y총물량";#N/A,#N/A,TRUE,"Y능력";#N/A,#N/A,TRUE,"YKD"}</definedName>
    <definedName name="ㅁㄴㅇㅁㄴㅇㅁ" hidden="1">{#N/A,#N/A,TRUE,"Y생산";#N/A,#N/A,TRUE,"Y판매";#N/A,#N/A,TRUE,"Y총물량";#N/A,#N/A,TRUE,"Y능력";#N/A,#N/A,TRUE,"YKD"}</definedName>
    <definedName name="ㅁㄴㅇㅁㄴㅇㅁ_1" localSheetId="23" hidden="1">{#N/A,#N/A,TRUE,"Y생산";#N/A,#N/A,TRUE,"Y판매";#N/A,#N/A,TRUE,"Y총물량";#N/A,#N/A,TRUE,"Y능력";#N/A,#N/A,TRUE,"YKD"}</definedName>
    <definedName name="ㅁㄴㅇㅁㄴㅇㅁ_1" localSheetId="18"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hidden="1">{#N/A,#N/A,TRUE,"Y생산";#N/A,#N/A,TRUE,"Y판매";#N/A,#N/A,TRUE,"Y총물량";#N/A,#N/A,TRUE,"Y능력";#N/A,#N/A,TRUE,"YKD"}</definedName>
    <definedName name="ㅁㄹㅇ" localSheetId="23" hidden="1">{#N/A,#N/A,FALSE,"동부"}</definedName>
    <definedName name="ㅁㄹㅇ" localSheetId="18" hidden="1">{#N/A,#N/A,FALSE,"동부"}</definedName>
    <definedName name="ㅁㄹㅇ" localSheetId="24" hidden="1">{#N/A,#N/A,FALSE,"동부"}</definedName>
    <definedName name="ㅁㄹㅇ" hidden="1">{#N/A,#N/A,FALSE,"동부"}</definedName>
    <definedName name="ㅁㅁ" localSheetId="23" hidden="1">{#N/A,#N/A,FALSE,"동부"}</definedName>
    <definedName name="ㅁㅁ" localSheetId="18" hidden="1">{#N/A,#N/A,FALSE,"동부"}</definedName>
    <definedName name="ㅁㅁ" localSheetId="24" hidden="1">{#N/A,#N/A,FALSE,"동부"}</definedName>
    <definedName name="ㅁㅁ" hidden="1">{#N/A,#N/A,FALSE,"동부"}</definedName>
    <definedName name="ㅁㅁㅁ" localSheetId="23" hidden="1">{#N/A,#N/A,FALSE,"지침";#N/A,#N/A,FALSE,"환경분석";#N/A,#N/A,FALSE,"Sheet16"}</definedName>
    <definedName name="ㅁㅁㅁ" localSheetId="18" hidden="1">{#N/A,#N/A,FALSE,"지침";#N/A,#N/A,FALSE,"환경분석";#N/A,#N/A,FALSE,"Sheet16"}</definedName>
    <definedName name="ㅁㅁㅁ" localSheetId="24" hidden="1">{#N/A,#N/A,FALSE,"지침";#N/A,#N/A,FALSE,"환경분석";#N/A,#N/A,FALSE,"Sheet16"}</definedName>
    <definedName name="ㅁㅁㅁ" hidden="1">{#N/A,#N/A,FALSE,"지침";#N/A,#N/A,FALSE,"환경분석";#N/A,#N/A,FALSE,"Sheet16"}</definedName>
    <definedName name="ㅁㅁㅁ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3" hidden="1">{#N/A,#N/A,FALSE,"CAM-G7";#N/A,#N/A,FALSE,"SPL";#N/A,#N/A,FALSE,"butt-in G7";#N/A,#N/A,FALSE,"dia-in G7";#N/A,#N/A,FALSE,"추가-STA G7"}</definedName>
    <definedName name="ㅁㅁㅁㅁㅁ" localSheetId="18" hidden="1">{#N/A,#N/A,FALSE,"CAM-G7";#N/A,#N/A,FALSE,"SPL";#N/A,#N/A,FALSE,"butt-in G7";#N/A,#N/A,FALSE,"dia-in G7";#N/A,#N/A,FALSE,"추가-STA G7"}</definedName>
    <definedName name="ㅁㅁㅁㅁㅁ" localSheetId="24"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3" hidden="1">{"'용역비'!$A$4:$C$8"}</definedName>
    <definedName name="ㅁㅁㅁㅁㅁㅁㅁㅁㅁㅁㅁㅁㅁㅁ" localSheetId="18" hidden="1">{"'용역비'!$A$4:$C$8"}</definedName>
    <definedName name="ㅁㅁㅁㅁㅁㅁㅁㅁㅁㅁㅁㅁㅁㅁ" localSheetId="24" hidden="1">{"'용역비'!$A$4:$C$8"}</definedName>
    <definedName name="ㅁㅁㅁㅁㅁㅁㅁㅁㅁㅁㅁㅁㅁㅁ" hidden="1">{"'용역비'!$A$4:$C$8"}</definedName>
    <definedName name="ㅁㅁㅁㅂ" localSheetId="23" hidden="1">{"'용역비'!$A$4:$C$8"}</definedName>
    <definedName name="ㅁㅁㅁㅂ" localSheetId="18" hidden="1">{"'용역비'!$A$4:$C$8"}</definedName>
    <definedName name="ㅁㅁㅁㅂ" localSheetId="24" hidden="1">{"'용역비'!$A$4:$C$8"}</definedName>
    <definedName name="ㅁㅁㅁㅂ" hidden="1">{"'용역비'!$A$4:$C$8"}</definedName>
    <definedName name="ㅁㅅㅅㅁㄱㅈ"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3" hidden="1">{"'용역비'!$A$4:$C$8"}</definedName>
    <definedName name="ㅁㅇㅁㄴㅇ" localSheetId="18" hidden="1">{"'용역비'!$A$4:$C$8"}</definedName>
    <definedName name="ㅁㅇㅁㄴㅇ" localSheetId="24" hidden="1">{"'용역비'!$A$4:$C$8"}</definedName>
    <definedName name="ㅁㅇㅁㄴㅇ" hidden="1">{"'용역비'!$A$4:$C$8"}</definedName>
    <definedName name="ㅁ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3" hidden="1">{#N/A,#N/A,FALSE,"동부"}</definedName>
    <definedName name="ㅁㅎㄹ" localSheetId="18" hidden="1">{#N/A,#N/A,FALSE,"동부"}</definedName>
    <definedName name="ㅁㅎㄹ" localSheetId="24" hidden="1">{#N/A,#N/A,FALSE,"동부"}</definedName>
    <definedName name="ㅁㅎㄹ" hidden="1">{#N/A,#N/A,FALSE,"동부"}</definedName>
    <definedName name="ㅁㅎㅀ" localSheetId="23" hidden="1">{#N/A,#N/A,TRUE,"대 차 대 조 표"}</definedName>
    <definedName name="ㅁㅎㅀ" localSheetId="18" hidden="1">{#N/A,#N/A,TRUE,"대 차 대 조 표"}</definedName>
    <definedName name="ㅁㅎㅀ" localSheetId="24" hidden="1">{#N/A,#N/A,TRUE,"대 차 대 조 표"}</definedName>
    <definedName name="ㅁㅎㅀ" hidden="1">{#N/A,#N/A,TRUE,"대 차 대 조 표"}</definedName>
    <definedName name="마" localSheetId="23" hidden="1">{#N/A,#N/A,FALSE,"1.CRITERIA";#N/A,#N/A,FALSE,"2.IS";#N/A,#N/A,FALSE,"3.BS";#N/A,#N/A,FALSE,"4.PER PL";#N/A,#N/A,FALSE,"5.INVESTMENT";#N/A,#N/A,FALSE,"6.공문";#N/A,#N/A,FALSE,"7.netinvest"}</definedName>
    <definedName name="마" localSheetId="18" hidden="1">{#N/A,#N/A,FALSE,"1.CRITERIA";#N/A,#N/A,FALSE,"2.IS";#N/A,#N/A,FALSE,"3.BS";#N/A,#N/A,FALSE,"4.PER PL";#N/A,#N/A,FALSE,"5.INVESTMENT";#N/A,#N/A,FALSE,"6.공문";#N/A,#N/A,FALSE,"7.netinvest"}</definedName>
    <definedName name="마" localSheetId="24"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3" hidden="1">{#N/A,#N/A,FALSE,"1.CRITERIA";#N/A,#N/A,FALSE,"2.IS";#N/A,#N/A,FALSE,"3.BS";#N/A,#N/A,FALSE,"4.PER PL";#N/A,#N/A,FALSE,"5.INVESTMENT";#N/A,#N/A,FALSE,"6.공문";#N/A,#N/A,FALSE,"7.netinvest"}</definedName>
    <definedName name="마마" localSheetId="18" hidden="1">{#N/A,#N/A,FALSE,"1.CRITERIA";#N/A,#N/A,FALSE,"2.IS";#N/A,#N/A,FALSE,"3.BS";#N/A,#N/A,FALSE,"4.PER PL";#N/A,#N/A,FALSE,"5.INVESTMENT";#N/A,#N/A,FALSE,"6.공문";#N/A,#N/A,FALSE,"7.netinvest"}</definedName>
    <definedName name="마마" localSheetId="24"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3" hidden="1">{#N/A,#N/A,FALSE,"1.CRITERIA";#N/A,#N/A,FALSE,"2.IS";#N/A,#N/A,FALSE,"3.BS";#N/A,#N/A,FALSE,"4.PER PL";#N/A,#N/A,FALSE,"5.INVESTMENT";#N/A,#N/A,FALSE,"6.공문";#N/A,#N/A,FALSE,"7.netinvest"}</definedName>
    <definedName name="마마오" localSheetId="18"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3" hidden="1">{#N/A,#N/A,FALSE,"1.CRITERIA";#N/A,#N/A,FALSE,"2.IS";#N/A,#N/A,FALSE,"3.BS";#N/A,#N/A,FALSE,"4.PER PL";#N/A,#N/A,FALSE,"5.INVESTMENT";#N/A,#N/A,FALSE,"6.공문";#N/A,#N/A,FALSE,"7.netinvest"}</definedName>
    <definedName name="마마이" localSheetId="18"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3" hidden="1">{"'7'!$B$15:$D$32"}</definedName>
    <definedName name="마북리" localSheetId="18" hidden="1">{"'7'!$B$15:$D$32"}</definedName>
    <definedName name="마북리" localSheetId="24" hidden="1">{"'7'!$B$15:$D$32"}</definedName>
    <definedName name="마북리" hidden="1">{"'7'!$B$15:$D$32"}</definedName>
    <definedName name="마아" localSheetId="23" hidden="1">{#N/A,#N/A,FALSE,"1.CRITERIA";#N/A,#N/A,FALSE,"2.IS";#N/A,#N/A,FALSE,"3.BS";#N/A,#N/A,FALSE,"4.PER PL";#N/A,#N/A,FALSE,"5.INVESTMENT";#N/A,#N/A,FALSE,"6.공문";#N/A,#N/A,FALSE,"7.netinvest"}</definedName>
    <definedName name="마아" localSheetId="18" hidden="1">{#N/A,#N/A,FALSE,"1.CRITERIA";#N/A,#N/A,FALSE,"2.IS";#N/A,#N/A,FALSE,"3.BS";#N/A,#N/A,FALSE,"4.PER PL";#N/A,#N/A,FALSE,"5.INVESTMENT";#N/A,#N/A,FALSE,"6.공문";#N/A,#N/A,FALSE,"7.netinvest"}</definedName>
    <definedName name="마아" localSheetId="24"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3" hidden="1">{#N/A,#N/A,FALSE,"97년 투자계획 세부내역 "}</definedName>
    <definedName name="마파도" localSheetId="18" hidden="1">{#N/A,#N/A,FALSE,"97년 투자계획 세부내역 "}</definedName>
    <definedName name="마파도" localSheetId="24" hidden="1">{#N/A,#N/A,FALSE,"97년 투자계획 세부내역 "}</definedName>
    <definedName name="마파도" hidden="1">{#N/A,#N/A,FALSE,"97년 투자계획 세부내역 "}</definedName>
    <definedName name="만족" localSheetId="23" hidden="1">{"'7'!$B$15:$D$32"}</definedName>
    <definedName name="만족" localSheetId="18" hidden="1">{"'7'!$B$15:$D$32"}</definedName>
    <definedName name="만족" localSheetId="24" hidden="1">{"'7'!$B$15:$D$32"}</definedName>
    <definedName name="만족" hidden="1">{"'7'!$B$15:$D$32"}</definedName>
    <definedName name="매" localSheetId="23" hidden="1">{#N/A,#N/A,FALSE,"1.CRITERIA";#N/A,#N/A,FALSE,"2.IS";#N/A,#N/A,FALSE,"3.BS";#N/A,#N/A,FALSE,"4.PER PL";#N/A,#N/A,FALSE,"5.INVESTMENT";#N/A,#N/A,FALSE,"6.공문";#N/A,#N/A,FALSE,"7.netinvest"}</definedName>
    <definedName name="매" localSheetId="18" hidden="1">{#N/A,#N/A,FALSE,"1.CRITERIA";#N/A,#N/A,FALSE,"2.IS";#N/A,#N/A,FALSE,"3.BS";#N/A,#N/A,FALSE,"4.PER PL";#N/A,#N/A,FALSE,"5.INVESTMENT";#N/A,#N/A,FALSE,"6.공문";#N/A,#N/A,FALSE,"7.netinvest"}</definedName>
    <definedName name="매" localSheetId="24"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3" hidden="1">{#N/A,#N/A,FALSE,"동부"}</definedName>
    <definedName name="매롱" localSheetId="18" hidden="1">{#N/A,#N/A,FALSE,"동부"}</definedName>
    <definedName name="매롱" localSheetId="24" hidden="1">{#N/A,#N/A,FALSE,"동부"}</definedName>
    <definedName name="매롱" hidden="1">{#N/A,#N/A,FALSE,"동부"}</definedName>
    <definedName name="매축액2" localSheetId="23" hidden="1">{#N/A,#N/A,FALSE,"1.CRITERIA";#N/A,#N/A,FALSE,"2.IS";#N/A,#N/A,FALSE,"3.BS";#N/A,#N/A,FALSE,"4.PER PL";#N/A,#N/A,FALSE,"5.INVESTMENT";#N/A,#N/A,FALSE,"6.공문";#N/A,#N/A,FALSE,"7.netinvest"}</definedName>
    <definedName name="매축액2" localSheetId="18" hidden="1">{#N/A,#N/A,FALSE,"1.CRITERIA";#N/A,#N/A,FALSE,"2.IS";#N/A,#N/A,FALSE,"3.BS";#N/A,#N/A,FALSE,"4.PER PL";#N/A,#N/A,FALSE,"5.INVESTMENT";#N/A,#N/A,FALSE,"6.공문";#N/A,#N/A,FALSE,"7.netinvest"}</definedName>
    <definedName name="매축액2" localSheetId="24"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3" hidden="1">{#N/A,#N/A,FALSE,"1.CRITERIA";#N/A,#N/A,FALSE,"2.IS";#N/A,#N/A,FALSE,"3.BS";#N/A,#N/A,FALSE,"4.PER PL";#N/A,#N/A,FALSE,"5.INVESTMENT";#N/A,#N/A,FALSE,"6.공문";#N/A,#N/A,FALSE,"7.netinvest"}</definedName>
    <definedName name="매출액2" localSheetId="18" hidden="1">{#N/A,#N/A,FALSE,"1.CRITERIA";#N/A,#N/A,FALSE,"2.IS";#N/A,#N/A,FALSE,"3.BS";#N/A,#N/A,FALSE,"4.PER PL";#N/A,#N/A,FALSE,"5.INVESTMENT";#N/A,#N/A,FALSE,"6.공문";#N/A,#N/A,FALSE,"7.netinvest"}</definedName>
    <definedName name="매출액2" localSheetId="24"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3" hidden="1">{#N/A,#N/A,TRUE,"대 차 대 조 표"}</definedName>
    <definedName name="맥쿼리" localSheetId="18" hidden="1">{#N/A,#N/A,TRUE,"대 차 대 조 표"}</definedName>
    <definedName name="맥쿼리" localSheetId="24" hidden="1">{#N/A,#N/A,TRUE,"대 차 대 조 표"}</definedName>
    <definedName name="맥쿼리" hidden="1">{#N/A,#N/A,TRUE,"대 차 대 조 표"}</definedName>
    <definedName name="머머" localSheetId="23" hidden="1">{#N/A,#N/A,FALSE,"1.CRITERIA";#N/A,#N/A,FALSE,"2.IS";#N/A,#N/A,FALSE,"3.BS";#N/A,#N/A,FALSE,"4.PER PL";#N/A,#N/A,FALSE,"5.INVESTMENT";#N/A,#N/A,FALSE,"6.공문";#N/A,#N/A,FALSE,"7.netinvest"}</definedName>
    <definedName name="머머" localSheetId="18" hidden="1">{#N/A,#N/A,FALSE,"1.CRITERIA";#N/A,#N/A,FALSE,"2.IS";#N/A,#N/A,FALSE,"3.BS";#N/A,#N/A,FALSE,"4.PER PL";#N/A,#N/A,FALSE,"5.INVESTMENT";#N/A,#N/A,FALSE,"6.공문";#N/A,#N/A,FALSE,"7.netinvest"}</definedName>
    <definedName name="머머" localSheetId="24"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3" hidden="1">{"'7'!$B$15:$D$32"}</definedName>
    <definedName name="메뉴" localSheetId="18" hidden="1">{"'7'!$B$15:$D$32"}</definedName>
    <definedName name="메뉴" localSheetId="24" hidden="1">{"'7'!$B$15:$D$32"}</definedName>
    <definedName name="메뉴" hidden="1">{"'7'!$B$15:$D$32"}</definedName>
    <definedName name="메롱" localSheetId="23" hidden="1">{#N/A,#N/A,FALSE,"동부"}</definedName>
    <definedName name="메롱" localSheetId="18" hidden="1">{#N/A,#N/A,FALSE,"동부"}</definedName>
    <definedName name="메롱" localSheetId="24" hidden="1">{#N/A,#N/A,FALSE,"동부"}</definedName>
    <definedName name="메롱" hidden="1">{#N/A,#N/A,FALSE,"동부"}</definedName>
    <definedName name="며며" localSheetId="23" hidden="1">{#N/A,#N/A,FALSE,"1.CRITERIA";#N/A,#N/A,FALSE,"2.IS";#N/A,#N/A,FALSE,"3.BS";#N/A,#N/A,FALSE,"4.PER PL";#N/A,#N/A,FALSE,"5.INVESTMENT";#N/A,#N/A,FALSE,"6.공문";#N/A,#N/A,FALSE,"7.netinvest"}</definedName>
    <definedName name="며며" localSheetId="18" hidden="1">{#N/A,#N/A,FALSE,"1.CRITERIA";#N/A,#N/A,FALSE,"2.IS";#N/A,#N/A,FALSE,"3.BS";#N/A,#N/A,FALSE,"4.PER PL";#N/A,#N/A,FALSE,"5.INVESTMENT";#N/A,#N/A,FALSE,"6.공문";#N/A,#N/A,FALSE,"7.netinvest"}</definedName>
    <definedName name="며며" localSheetId="24"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3" hidden="1">{#N/A,#N/A,FALSE,"1.CRITERIA";#N/A,#N/A,FALSE,"2.IS";#N/A,#N/A,FALSE,"3.BS";#N/A,#N/A,FALSE,"4.PER PL";#N/A,#N/A,FALSE,"5.INVESTMENT";#N/A,#N/A,FALSE,"6.공문";#N/A,#N/A,FALSE,"7.netinvest"}</definedName>
    <definedName name="모리" localSheetId="18"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3" hidden="1">{#N/A,#N/A,FALSE,"1.CRITERIA";#N/A,#N/A,FALSE,"2.IS";#N/A,#N/A,FALSE,"3.BS";#N/A,#N/A,FALSE,"4.PER PL";#N/A,#N/A,FALSE,"5.INVESTMENT";#N/A,#N/A,FALSE,"6.공문";#N/A,#N/A,FALSE,"7.netinvest"}</definedName>
    <definedName name="모모" localSheetId="18"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3" hidden="1">{"'용역비'!$A$4:$C$8"}</definedName>
    <definedName name="모형표지" localSheetId="18" hidden="1">{"'용역비'!$A$4:$C$8"}</definedName>
    <definedName name="모형표지" localSheetId="24" hidden="1">{"'용역비'!$A$4:$C$8"}</definedName>
    <definedName name="모형표지" hidden="1">{"'용역비'!$A$4:$C$8"}</definedName>
    <definedName name="목동" localSheetId="23" hidden="1">{#N/A,#N/A,FALSE,"CCTV"}</definedName>
    <definedName name="목동" localSheetId="18" hidden="1">{#N/A,#N/A,FALSE,"CCTV"}</definedName>
    <definedName name="목동" localSheetId="24" hidden="1">{#N/A,#N/A,FALSE,"CCTV"}</definedName>
    <definedName name="목동" hidden="1">{#N/A,#N/A,FALSE,"CCTV"}</definedName>
    <definedName name="목동현대백화점" localSheetId="23" hidden="1">{#N/A,#N/A,FALSE,"CCTV"}</definedName>
    <definedName name="목동현대백화점" localSheetId="18" hidden="1">{#N/A,#N/A,FALSE,"CCTV"}</definedName>
    <definedName name="목동현대백화점" localSheetId="24" hidden="1">{#N/A,#N/A,FALSE,"CCTV"}</definedName>
    <definedName name="목동현대백화점" hidden="1">{#N/A,#N/A,FALSE,"CCTV"}</definedName>
    <definedName name="목차2" localSheetId="23" hidden="1">{"'7'!$B$15:$D$32"}</definedName>
    <definedName name="목차2" localSheetId="18" hidden="1">{"'7'!$B$15:$D$32"}</definedName>
    <definedName name="목차2" localSheetId="24" hidden="1">{"'7'!$B$15:$D$32"}</definedName>
    <definedName name="목차2" hidden="1">{"'7'!$B$15:$D$32"}</definedName>
    <definedName name="목포" localSheetId="23" hidden="1">{#N/A,#N/A,FALSE,"97년 투자계획 세부내역 "}</definedName>
    <definedName name="목포" localSheetId="18" hidden="1">{#N/A,#N/A,FALSE,"97년 투자계획 세부내역 "}</definedName>
    <definedName name="목포" localSheetId="24" hidden="1">{#N/A,#N/A,FALSE,"97년 투자계획 세부내역 "}</definedName>
    <definedName name="목포" hidden="1">{#N/A,#N/A,FALSE,"97년 투자계획 세부내역 "}</definedName>
    <definedName name="뫌" localSheetId="23" hidden="1">{#N/A,#N/A,FALSE,"1.CRITERIA";#N/A,#N/A,FALSE,"2.IS";#N/A,#N/A,FALSE,"3.BS";#N/A,#N/A,FALSE,"4.PER PL";#N/A,#N/A,FALSE,"5.INVESTMENT";#N/A,#N/A,FALSE,"6.공문";#N/A,#N/A,FALSE,"7.netinvest"}</definedName>
    <definedName name="뫌" localSheetId="18" hidden="1">{#N/A,#N/A,FALSE,"1.CRITERIA";#N/A,#N/A,FALSE,"2.IS";#N/A,#N/A,FALSE,"3.BS";#N/A,#N/A,FALSE,"4.PER PL";#N/A,#N/A,FALSE,"5.INVESTMENT";#N/A,#N/A,FALSE,"6.공문";#N/A,#N/A,FALSE,"7.netinvest"}</definedName>
    <definedName name="뫌" localSheetId="24"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3" hidden="1">{#N/A,#N/A,FALSE,"1.CRITERIA";#N/A,#N/A,FALSE,"2.IS";#N/A,#N/A,FALSE,"3.BS";#N/A,#N/A,FALSE,"4.PER PL";#N/A,#N/A,FALSE,"5.INVESTMENT";#N/A,#N/A,FALSE,"6.공문";#N/A,#N/A,FALSE,"7.netinvest"}</definedName>
    <definedName name="무무" localSheetId="18"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3" hidden="1">{#N/A,#N/A,FALSE,"Aging Summary";#N/A,#N/A,FALSE,"Ratio Analysis";#N/A,#N/A,FALSE,"Test 120 Day Accts";#N/A,#N/A,FALSE,"Tickmarks"}</definedName>
    <definedName name="무형자산" localSheetId="18" hidden="1">{#N/A,#N/A,FALSE,"Aging Summary";#N/A,#N/A,FALSE,"Ratio Analysis";#N/A,#N/A,FALSE,"Test 120 Day Accts";#N/A,#N/A,FALSE,"Tickmarks"}</definedName>
    <definedName name="무형자산" localSheetId="24"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3" hidden="1">{"'Firr(선)'!$AS$1:$AY$62","'Firr(사)'!$AS$1:$AY$62","'Firr(회)'!$AS$1:$AY$62","'Firr(선)'!$L$1:$V$62","'Firr(사)'!$L$1:$V$62","'Firr(회)'!$L$1:$V$62"}</definedName>
    <definedName name="문진식" localSheetId="18" hidden="1">{"'Firr(선)'!$AS$1:$AY$62","'Firr(사)'!$AS$1:$AY$62","'Firr(회)'!$AS$1:$AY$62","'Firr(선)'!$L$1:$V$62","'Firr(사)'!$L$1:$V$62","'Firr(회)'!$L$1:$V$62"}</definedName>
    <definedName name="문진식" localSheetId="24" hidden="1">{"'Firr(선)'!$AS$1:$AY$62","'Firr(사)'!$AS$1:$AY$62","'Firr(회)'!$AS$1:$AY$62","'Firr(선)'!$L$1:$V$62","'Firr(사)'!$L$1:$V$62","'Firr(회)'!$L$1:$V$62"}</definedName>
    <definedName name="문진식" hidden="1">{"'Firr(선)'!$AS$1:$AY$62","'Firr(사)'!$AS$1:$AY$62","'Firr(회)'!$AS$1:$AY$62","'Firr(선)'!$L$1:$V$62","'Firr(사)'!$L$1:$V$62","'Firr(회)'!$L$1:$V$62"}</definedName>
    <definedName name="문화관식" localSheetId="23" hidden="1">{#N/A,#N/A,FALSE,"단축1";#N/A,#N/A,FALSE,"단축2";#N/A,#N/A,FALSE,"단축3";#N/A,#N/A,FALSE,"장축";#N/A,#N/A,FALSE,"4WD"}</definedName>
    <definedName name="문화관식" localSheetId="18" hidden="1">{#N/A,#N/A,FALSE,"단축1";#N/A,#N/A,FALSE,"단축2";#N/A,#N/A,FALSE,"단축3";#N/A,#N/A,FALSE,"장축";#N/A,#N/A,FALSE,"4WD"}</definedName>
    <definedName name="문화관식" localSheetId="24" hidden="1">{#N/A,#N/A,FALSE,"단축1";#N/A,#N/A,FALSE,"단축2";#N/A,#N/A,FALSE,"단축3";#N/A,#N/A,FALSE,"장축";#N/A,#N/A,FALSE,"4WD"}</definedName>
    <definedName name="문화관식" hidden="1">{#N/A,#N/A,FALSE,"단축1";#N/A,#N/A,FALSE,"단축2";#N/A,#N/A,FALSE,"단축3";#N/A,#N/A,FALSE,"장축";#N/A,#N/A,FALSE,"4WD"}</definedName>
    <definedName name="물" localSheetId="23" hidden="1">{#N/A,#N/A,FALSE,"이태원철근"}</definedName>
    <definedName name="물" localSheetId="18" hidden="1">{#N/A,#N/A,FALSE,"이태원철근"}</definedName>
    <definedName name="물" localSheetId="24" hidden="1">{#N/A,#N/A,FALSE,"이태원철근"}</definedName>
    <definedName name="물" hidden="1">{#N/A,#N/A,FALSE,"이태원철근"}</definedName>
    <definedName name="물가" localSheetId="23" hidden="1">{#N/A,#N/A,FALSE,"이태원철근"}</definedName>
    <definedName name="물가" localSheetId="18" hidden="1">{#N/A,#N/A,FALSE,"이태원철근"}</definedName>
    <definedName name="물가" localSheetId="24" hidden="1">{#N/A,#N/A,FALSE,"이태원철근"}</definedName>
    <definedName name="물가" hidden="1">{#N/A,#N/A,FALSE,"이태원철근"}</definedName>
    <definedName name="물가지수2" localSheetId="23" hidden="1">{"'7'!$B$15:$D$32"}</definedName>
    <definedName name="물가지수2" localSheetId="18" hidden="1">{"'7'!$B$15:$D$32"}</definedName>
    <definedName name="물가지수2" localSheetId="24" hidden="1">{"'7'!$B$15:$D$32"}</definedName>
    <definedName name="물가지수2" hidden="1">{"'7'!$B$15:$D$32"}</definedName>
    <definedName name="물랴자" localSheetId="23" hidden="1">{#N/A,#N/A,TRUE,"Y생산";#N/A,#N/A,TRUE,"Y판매";#N/A,#N/A,TRUE,"Y총물량";#N/A,#N/A,TRUE,"Y능력";#N/A,#N/A,TRUE,"YKD"}</definedName>
    <definedName name="물랴자" localSheetId="18" hidden="1">{#N/A,#N/A,TRUE,"Y생산";#N/A,#N/A,TRUE,"Y판매";#N/A,#N/A,TRUE,"Y총물량";#N/A,#N/A,TRUE,"Y능력";#N/A,#N/A,TRUE,"YKD"}</definedName>
    <definedName name="물랴자" localSheetId="24" hidden="1">{#N/A,#N/A,TRUE,"Y생산";#N/A,#N/A,TRUE,"Y판매";#N/A,#N/A,TRUE,"Y총물량";#N/A,#N/A,TRUE,"Y능력";#N/A,#N/A,TRUE,"YKD"}</definedName>
    <definedName name="물랴자" hidden="1">{#N/A,#N/A,TRUE,"Y생산";#N/A,#N/A,TRUE,"Y판매";#N/A,#N/A,TRUE,"Y총물량";#N/A,#N/A,TRUE,"Y능력";#N/A,#N/A,TRUE,"YKD"}</definedName>
    <definedName name="물랴자_1" localSheetId="23" hidden="1">{#N/A,#N/A,TRUE,"Y생산";#N/A,#N/A,TRUE,"Y판매";#N/A,#N/A,TRUE,"Y총물량";#N/A,#N/A,TRUE,"Y능력";#N/A,#N/A,TRUE,"YKD"}</definedName>
    <definedName name="물랴자_1" localSheetId="18" hidden="1">{#N/A,#N/A,TRUE,"Y생산";#N/A,#N/A,TRUE,"Y판매";#N/A,#N/A,TRUE,"Y총물량";#N/A,#N/A,TRUE,"Y능력";#N/A,#N/A,TRUE,"YKD"}</definedName>
    <definedName name="물랴자_1" localSheetId="24" hidden="1">{#N/A,#N/A,TRUE,"Y생산";#N/A,#N/A,TRUE,"Y판매";#N/A,#N/A,TRUE,"Y총물량";#N/A,#N/A,TRUE,"Y능력";#N/A,#N/A,TRUE,"YKD"}</definedName>
    <definedName name="물랴자_1" hidden="1">{#N/A,#N/A,TRUE,"Y생산";#N/A,#N/A,TRUE,"Y판매";#N/A,#N/A,TRUE,"Y총물량";#N/A,#N/A,TRUE,"Y능력";#N/A,#N/A,TRUE,"YKD"}</definedName>
    <definedName name="물량2" localSheetId="23" hidden="1">{"'PROFORMA'!$A$1:$H$120"}</definedName>
    <definedName name="물량2" localSheetId="18" hidden="1">{"'PROFORMA'!$A$1:$H$120"}</definedName>
    <definedName name="물량2" localSheetId="24" hidden="1">{"'PROFORMA'!$A$1:$H$120"}</definedName>
    <definedName name="물량2" hidden="1">{"'PROFORMA'!$A$1:$H$120"}</definedName>
    <definedName name="물량산출근거" localSheetId="23" hidden="1">{"'PROFORMA'!$A$1:$H$120"}</definedName>
    <definedName name="물량산출근거" localSheetId="18" hidden="1">{"'PROFORMA'!$A$1:$H$120"}</definedName>
    <definedName name="물량산출근거" localSheetId="24" hidden="1">{"'PROFORMA'!$A$1:$H$120"}</definedName>
    <definedName name="물량산출근거" hidden="1">{"'PROFORMA'!$A$1:$H$120"}</definedName>
    <definedName name="물량산출근거_2" localSheetId="23" hidden="1">{"'PROFORMA'!$A$1:$H$120"}</definedName>
    <definedName name="물량산출근거_2" localSheetId="18" hidden="1">{"'PROFORMA'!$A$1:$H$120"}</definedName>
    <definedName name="물량산출근거_2" localSheetId="24" hidden="1">{"'PROFORMA'!$A$1:$H$120"}</definedName>
    <definedName name="물량산출근거_2" hidden="1">{"'PROFORMA'!$A$1:$H$120"}</definedName>
    <definedName name="물량산출안" localSheetId="23" hidden="1">{"'PROFORMA'!$A$1:$H$120"}</definedName>
    <definedName name="물량산출안" localSheetId="18" hidden="1">{"'PROFORMA'!$A$1:$H$120"}</definedName>
    <definedName name="물량산출안" localSheetId="24" hidden="1">{"'PROFORMA'!$A$1:$H$120"}</definedName>
    <definedName name="물량산출안" hidden="1">{"'PROFORMA'!$A$1:$H$120"}</definedName>
    <definedName name="물량수" localSheetId="23" hidden="1">{#N/A,#N/A,TRUE,"Y생산";#N/A,#N/A,TRUE,"Y판매";#N/A,#N/A,TRUE,"Y총물량";#N/A,#N/A,TRUE,"Y능력";#N/A,#N/A,TRUE,"YKD"}</definedName>
    <definedName name="물량수" localSheetId="18" hidden="1">{#N/A,#N/A,TRUE,"Y생산";#N/A,#N/A,TRUE,"Y판매";#N/A,#N/A,TRUE,"Y총물량";#N/A,#N/A,TRUE,"Y능력";#N/A,#N/A,TRUE,"YKD"}</definedName>
    <definedName name="물량수" localSheetId="24" hidden="1">{#N/A,#N/A,TRUE,"Y생산";#N/A,#N/A,TRUE,"Y판매";#N/A,#N/A,TRUE,"Y총물량";#N/A,#N/A,TRUE,"Y능력";#N/A,#N/A,TRUE,"YKD"}</definedName>
    <definedName name="물량수" hidden="1">{#N/A,#N/A,TRUE,"Y생산";#N/A,#N/A,TRUE,"Y판매";#N/A,#N/A,TRUE,"Y총물량";#N/A,#N/A,TRUE,"Y능력";#N/A,#N/A,TRUE,"YKD"}</definedName>
    <definedName name="물량수_1" localSheetId="23" hidden="1">{#N/A,#N/A,TRUE,"Y생산";#N/A,#N/A,TRUE,"Y판매";#N/A,#N/A,TRUE,"Y총물량";#N/A,#N/A,TRUE,"Y능력";#N/A,#N/A,TRUE,"YKD"}</definedName>
    <definedName name="물량수_1" localSheetId="18" hidden="1">{#N/A,#N/A,TRUE,"Y생산";#N/A,#N/A,TRUE,"Y판매";#N/A,#N/A,TRUE,"Y총물량";#N/A,#N/A,TRUE,"Y능력";#N/A,#N/A,TRUE,"YKD"}</definedName>
    <definedName name="물량수_1" localSheetId="24" hidden="1">{#N/A,#N/A,TRUE,"Y생산";#N/A,#N/A,TRUE,"Y판매";#N/A,#N/A,TRUE,"Y총물량";#N/A,#N/A,TRUE,"Y능력";#N/A,#N/A,TRUE,"YKD"}</definedName>
    <definedName name="물량수_1" hidden="1">{#N/A,#N/A,TRUE,"Y생산";#N/A,#N/A,TRUE,"Y판매";#N/A,#N/A,TRUE,"Y총물량";#N/A,#N/A,TRUE,"Y능력";#N/A,#N/A,TRUE,"YKD"}</definedName>
    <definedName name="물량수정" localSheetId="23" hidden="1">{#N/A,#N/A,TRUE,"Y생산";#N/A,#N/A,TRUE,"Y판매";#N/A,#N/A,TRUE,"Y총물량";#N/A,#N/A,TRUE,"Y능력";#N/A,#N/A,TRUE,"YKD"}</definedName>
    <definedName name="물량수정" localSheetId="18" hidden="1">{#N/A,#N/A,TRUE,"Y생산";#N/A,#N/A,TRUE,"Y판매";#N/A,#N/A,TRUE,"Y총물량";#N/A,#N/A,TRUE,"Y능력";#N/A,#N/A,TRUE,"YKD"}</definedName>
    <definedName name="물량수정" localSheetId="24" hidden="1">{#N/A,#N/A,TRUE,"Y생산";#N/A,#N/A,TRUE,"Y판매";#N/A,#N/A,TRUE,"Y총물량";#N/A,#N/A,TRUE,"Y능력";#N/A,#N/A,TRUE,"YKD"}</definedName>
    <definedName name="물량수정" hidden="1">{#N/A,#N/A,TRUE,"Y생산";#N/A,#N/A,TRUE,"Y판매";#N/A,#N/A,TRUE,"Y총물량";#N/A,#N/A,TRUE,"Y능력";#N/A,#N/A,TRUE,"YKD"}</definedName>
    <definedName name="물량수정_1" localSheetId="23" hidden="1">{#N/A,#N/A,TRUE,"Y생산";#N/A,#N/A,TRUE,"Y판매";#N/A,#N/A,TRUE,"Y총물량";#N/A,#N/A,TRUE,"Y능력";#N/A,#N/A,TRUE,"YKD"}</definedName>
    <definedName name="물량수정_1" localSheetId="18" hidden="1">{#N/A,#N/A,TRUE,"Y생산";#N/A,#N/A,TRUE,"Y판매";#N/A,#N/A,TRUE,"Y총물량";#N/A,#N/A,TRUE,"Y능력";#N/A,#N/A,TRUE,"YKD"}</definedName>
    <definedName name="물량수정_1" localSheetId="24" hidden="1">{#N/A,#N/A,TRUE,"Y생산";#N/A,#N/A,TRUE,"Y판매";#N/A,#N/A,TRUE,"Y총물량";#N/A,#N/A,TRUE,"Y능력";#N/A,#N/A,TRUE,"YKD"}</definedName>
    <definedName name="물량수정_1" hidden="1">{#N/A,#N/A,TRUE,"Y생산";#N/A,#N/A,TRUE,"Y판매";#N/A,#N/A,TRUE,"Y총물량";#N/A,#N/A,TRUE,"Y능력";#N/A,#N/A,TRUE,"YKD"}</definedName>
    <definedName name="물량수정1" localSheetId="23" hidden="1">{#N/A,#N/A,TRUE,"Y생산";#N/A,#N/A,TRUE,"Y판매";#N/A,#N/A,TRUE,"Y총물량";#N/A,#N/A,TRUE,"Y능력";#N/A,#N/A,TRUE,"YKD"}</definedName>
    <definedName name="물량수정1" localSheetId="18" hidden="1">{#N/A,#N/A,TRUE,"Y생산";#N/A,#N/A,TRUE,"Y판매";#N/A,#N/A,TRUE,"Y총물량";#N/A,#N/A,TRUE,"Y능력";#N/A,#N/A,TRUE,"YKD"}</definedName>
    <definedName name="물량수정1" localSheetId="24" hidden="1">{#N/A,#N/A,TRUE,"Y생산";#N/A,#N/A,TRUE,"Y판매";#N/A,#N/A,TRUE,"Y총물량";#N/A,#N/A,TRUE,"Y능력";#N/A,#N/A,TRUE,"YKD"}</definedName>
    <definedName name="물량수정1" hidden="1">{#N/A,#N/A,TRUE,"Y생산";#N/A,#N/A,TRUE,"Y판매";#N/A,#N/A,TRUE,"Y총물량";#N/A,#N/A,TRUE,"Y능력";#N/A,#N/A,TRUE,"YKD"}</definedName>
    <definedName name="물량수정1_1" localSheetId="23" hidden="1">{#N/A,#N/A,TRUE,"Y생산";#N/A,#N/A,TRUE,"Y판매";#N/A,#N/A,TRUE,"Y총물량";#N/A,#N/A,TRUE,"Y능력";#N/A,#N/A,TRUE,"YKD"}</definedName>
    <definedName name="물량수정1_1" localSheetId="18" hidden="1">{#N/A,#N/A,TRUE,"Y생산";#N/A,#N/A,TRUE,"Y판매";#N/A,#N/A,TRUE,"Y총물량";#N/A,#N/A,TRUE,"Y능력";#N/A,#N/A,TRUE,"YKD"}</definedName>
    <definedName name="물량수정1_1" localSheetId="24" hidden="1">{#N/A,#N/A,TRUE,"Y생산";#N/A,#N/A,TRUE,"Y판매";#N/A,#N/A,TRUE,"Y총물량";#N/A,#N/A,TRUE,"Y능력";#N/A,#N/A,TRUE,"YKD"}</definedName>
    <definedName name="물량수정1_1" hidden="1">{#N/A,#N/A,TRUE,"Y생산";#N/A,#N/A,TRUE,"Y판매";#N/A,#N/A,TRUE,"Y총물량";#N/A,#N/A,TRUE,"Y능력";#N/A,#N/A,TRUE,"YKD"}</definedName>
    <definedName name="물량수정2" localSheetId="23" hidden="1">{#N/A,#N/A,TRUE,"Y생산";#N/A,#N/A,TRUE,"Y판매";#N/A,#N/A,TRUE,"Y총물량";#N/A,#N/A,TRUE,"Y능력";#N/A,#N/A,TRUE,"YKD"}</definedName>
    <definedName name="물량수정2" localSheetId="18" hidden="1">{#N/A,#N/A,TRUE,"Y생산";#N/A,#N/A,TRUE,"Y판매";#N/A,#N/A,TRUE,"Y총물량";#N/A,#N/A,TRUE,"Y능력";#N/A,#N/A,TRUE,"YKD"}</definedName>
    <definedName name="물량수정2" localSheetId="24" hidden="1">{#N/A,#N/A,TRUE,"Y생산";#N/A,#N/A,TRUE,"Y판매";#N/A,#N/A,TRUE,"Y총물량";#N/A,#N/A,TRUE,"Y능력";#N/A,#N/A,TRUE,"YKD"}</definedName>
    <definedName name="물량수정2" hidden="1">{#N/A,#N/A,TRUE,"Y생산";#N/A,#N/A,TRUE,"Y판매";#N/A,#N/A,TRUE,"Y총물량";#N/A,#N/A,TRUE,"Y능력";#N/A,#N/A,TRUE,"YKD"}</definedName>
    <definedName name="물량수정2_1" localSheetId="23" hidden="1">{#N/A,#N/A,TRUE,"Y생산";#N/A,#N/A,TRUE,"Y판매";#N/A,#N/A,TRUE,"Y총물량";#N/A,#N/A,TRUE,"Y능력";#N/A,#N/A,TRUE,"YKD"}</definedName>
    <definedName name="물량수정2_1" localSheetId="18" hidden="1">{#N/A,#N/A,TRUE,"Y생산";#N/A,#N/A,TRUE,"Y판매";#N/A,#N/A,TRUE,"Y총물량";#N/A,#N/A,TRUE,"Y능력";#N/A,#N/A,TRUE,"YKD"}</definedName>
    <definedName name="물량수정2_1" localSheetId="24" hidden="1">{#N/A,#N/A,TRUE,"Y생산";#N/A,#N/A,TRUE,"Y판매";#N/A,#N/A,TRUE,"Y총물량";#N/A,#N/A,TRUE,"Y능력";#N/A,#N/A,TRUE,"YKD"}</definedName>
    <definedName name="물량수정2_1" hidden="1">{#N/A,#N/A,TRUE,"Y생산";#N/A,#N/A,TRUE,"Y판매";#N/A,#N/A,TRUE,"Y총물량";#N/A,#N/A,TRUE,"Y능력";#N/A,#N/A,TRUE,"YKD"}</definedName>
    <definedName name="물량정" localSheetId="23" hidden="1">{#N/A,#N/A,TRUE,"Y생산";#N/A,#N/A,TRUE,"Y판매";#N/A,#N/A,TRUE,"Y총물량";#N/A,#N/A,TRUE,"Y능력";#N/A,#N/A,TRUE,"YKD"}</definedName>
    <definedName name="물량정" localSheetId="18" hidden="1">{#N/A,#N/A,TRUE,"Y생산";#N/A,#N/A,TRUE,"Y판매";#N/A,#N/A,TRUE,"Y총물량";#N/A,#N/A,TRUE,"Y능력";#N/A,#N/A,TRUE,"YKD"}</definedName>
    <definedName name="물량정" localSheetId="24" hidden="1">{#N/A,#N/A,TRUE,"Y생산";#N/A,#N/A,TRUE,"Y판매";#N/A,#N/A,TRUE,"Y총물량";#N/A,#N/A,TRUE,"Y능력";#N/A,#N/A,TRUE,"YKD"}</definedName>
    <definedName name="물량정" hidden="1">{#N/A,#N/A,TRUE,"Y생산";#N/A,#N/A,TRUE,"Y판매";#N/A,#N/A,TRUE,"Y총물량";#N/A,#N/A,TRUE,"Y능력";#N/A,#N/A,TRUE,"YKD"}</definedName>
    <definedName name="물량정_1" localSheetId="23" hidden="1">{#N/A,#N/A,TRUE,"Y생산";#N/A,#N/A,TRUE,"Y판매";#N/A,#N/A,TRUE,"Y총물량";#N/A,#N/A,TRUE,"Y능력";#N/A,#N/A,TRUE,"YKD"}</definedName>
    <definedName name="물량정_1" localSheetId="18" hidden="1">{#N/A,#N/A,TRUE,"Y생산";#N/A,#N/A,TRUE,"Y판매";#N/A,#N/A,TRUE,"Y총물량";#N/A,#N/A,TRUE,"Y능력";#N/A,#N/A,TRUE,"YKD"}</definedName>
    <definedName name="물량정_1" localSheetId="24" hidden="1">{#N/A,#N/A,TRUE,"Y생산";#N/A,#N/A,TRUE,"Y판매";#N/A,#N/A,TRUE,"Y총물량";#N/A,#N/A,TRUE,"Y능력";#N/A,#N/A,TRUE,"YKD"}</definedName>
    <definedName name="물량정_1" hidden="1">{#N/A,#N/A,TRUE,"Y생산";#N/A,#N/A,TRUE,"Y판매";#N/A,#N/A,TRUE,"Y총물량";#N/A,#N/A,TRUE,"Y능력";#N/A,#N/A,TRUE,"YKD"}</definedName>
    <definedName name="물량조정" localSheetId="23" hidden="1">{#N/A,#N/A,TRUE,"Y생산";#N/A,#N/A,TRUE,"Y판매";#N/A,#N/A,TRUE,"Y총물량";#N/A,#N/A,TRUE,"Y능력";#N/A,#N/A,TRUE,"YKD"}</definedName>
    <definedName name="물량조정" localSheetId="18" hidden="1">{#N/A,#N/A,TRUE,"Y생산";#N/A,#N/A,TRUE,"Y판매";#N/A,#N/A,TRUE,"Y총물량";#N/A,#N/A,TRUE,"Y능력";#N/A,#N/A,TRUE,"YKD"}</definedName>
    <definedName name="물량조정" localSheetId="24" hidden="1">{#N/A,#N/A,TRUE,"Y생산";#N/A,#N/A,TRUE,"Y판매";#N/A,#N/A,TRUE,"Y총물량";#N/A,#N/A,TRUE,"Y능력";#N/A,#N/A,TRUE,"YKD"}</definedName>
    <definedName name="물량조정" hidden="1">{#N/A,#N/A,TRUE,"Y생산";#N/A,#N/A,TRUE,"Y판매";#N/A,#N/A,TRUE,"Y총물량";#N/A,#N/A,TRUE,"Y능력";#N/A,#N/A,TRUE,"YKD"}</definedName>
    <definedName name="물량조정_1" localSheetId="23" hidden="1">{#N/A,#N/A,TRUE,"Y생산";#N/A,#N/A,TRUE,"Y판매";#N/A,#N/A,TRUE,"Y총물량";#N/A,#N/A,TRUE,"Y능력";#N/A,#N/A,TRUE,"YKD"}</definedName>
    <definedName name="물량조정_1" localSheetId="18" hidden="1">{#N/A,#N/A,TRUE,"Y생산";#N/A,#N/A,TRUE,"Y판매";#N/A,#N/A,TRUE,"Y총물량";#N/A,#N/A,TRUE,"Y능력";#N/A,#N/A,TRUE,"YKD"}</definedName>
    <definedName name="물량조정_1" localSheetId="24" hidden="1">{#N/A,#N/A,TRUE,"Y생산";#N/A,#N/A,TRUE,"Y판매";#N/A,#N/A,TRUE,"Y총물량";#N/A,#N/A,TRUE,"Y능력";#N/A,#N/A,TRUE,"YKD"}</definedName>
    <definedName name="물량조정_1" hidden="1">{#N/A,#N/A,TRUE,"Y생산";#N/A,#N/A,TRUE,"Y판매";#N/A,#N/A,TRUE,"Y총물량";#N/A,#N/A,TRUE,"Y능력";#N/A,#N/A,TRUE,"YKD"}</definedName>
    <definedName name="물수" localSheetId="23" hidden="1">{#N/A,#N/A,TRUE,"Y생산";#N/A,#N/A,TRUE,"Y판매";#N/A,#N/A,TRUE,"Y총물량";#N/A,#N/A,TRUE,"Y능력";#N/A,#N/A,TRUE,"YKD"}</definedName>
    <definedName name="물수" localSheetId="18" hidden="1">{#N/A,#N/A,TRUE,"Y생산";#N/A,#N/A,TRUE,"Y판매";#N/A,#N/A,TRUE,"Y총물량";#N/A,#N/A,TRUE,"Y능력";#N/A,#N/A,TRUE,"YKD"}</definedName>
    <definedName name="물수" localSheetId="24" hidden="1">{#N/A,#N/A,TRUE,"Y생산";#N/A,#N/A,TRUE,"Y판매";#N/A,#N/A,TRUE,"Y총물량";#N/A,#N/A,TRUE,"Y능력";#N/A,#N/A,TRUE,"YKD"}</definedName>
    <definedName name="물수" hidden="1">{#N/A,#N/A,TRUE,"Y생산";#N/A,#N/A,TRUE,"Y판매";#N/A,#N/A,TRUE,"Y총물량";#N/A,#N/A,TRUE,"Y능력";#N/A,#N/A,TRUE,"YKD"}</definedName>
    <definedName name="물수_1" localSheetId="23" hidden="1">{#N/A,#N/A,TRUE,"Y생산";#N/A,#N/A,TRUE,"Y판매";#N/A,#N/A,TRUE,"Y총물량";#N/A,#N/A,TRUE,"Y능력";#N/A,#N/A,TRUE,"YKD"}</definedName>
    <definedName name="물수_1" localSheetId="18" hidden="1">{#N/A,#N/A,TRUE,"Y생산";#N/A,#N/A,TRUE,"Y판매";#N/A,#N/A,TRUE,"Y총물량";#N/A,#N/A,TRUE,"Y능력";#N/A,#N/A,TRUE,"YKD"}</definedName>
    <definedName name="물수_1" localSheetId="24" hidden="1">{#N/A,#N/A,TRUE,"Y생산";#N/A,#N/A,TRUE,"Y판매";#N/A,#N/A,TRUE,"Y총물량";#N/A,#N/A,TRUE,"Y능력";#N/A,#N/A,TRUE,"YKD"}</definedName>
    <definedName name="물수_1" hidden="1">{#N/A,#N/A,TRUE,"Y생산";#N/A,#N/A,TRUE,"Y판매";#N/A,#N/A,TRUE,"Y총물량";#N/A,#N/A,TRUE,"Y능력";#N/A,#N/A,TRUE,"YKD"}</definedName>
    <definedName name="뭐가이태원이야" localSheetId="23" hidden="1">{#N/A,#N/A,FALSE,"이태원철근"}</definedName>
    <definedName name="뭐가이태원이야" localSheetId="18" hidden="1">{#N/A,#N/A,FALSE,"이태원철근"}</definedName>
    <definedName name="뭐가이태원이야" localSheetId="24" hidden="1">{#N/A,#N/A,FALSE,"이태원철근"}</definedName>
    <definedName name="뭐가이태원이야" hidden="1">{#N/A,#N/A,FALSE,"이태원철근"}</definedName>
    <definedName name="뭐야"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3" hidden="1">{#N/A,#N/A,FALSE,"CCTV"}</definedName>
    <definedName name="뭐지" localSheetId="18" hidden="1">{#N/A,#N/A,FALSE,"CCTV"}</definedName>
    <definedName name="뭐지" localSheetId="24" hidden="1">{#N/A,#N/A,FALSE,"CCTV"}</definedName>
    <definedName name="뭐지" hidden="1">{#N/A,#N/A,FALSE,"CCTV"}</definedName>
    <definedName name="뮤뮤" localSheetId="23" hidden="1">{#N/A,#N/A,FALSE,"1.CRITERIA";#N/A,#N/A,FALSE,"2.IS";#N/A,#N/A,FALSE,"3.BS";#N/A,#N/A,FALSE,"4.PER PL";#N/A,#N/A,FALSE,"5.INVESTMENT";#N/A,#N/A,FALSE,"6.공문";#N/A,#N/A,FALSE,"7.netinvest"}</definedName>
    <definedName name="뮤뮤" localSheetId="18" hidden="1">{#N/A,#N/A,FALSE,"1.CRITERIA";#N/A,#N/A,FALSE,"2.IS";#N/A,#N/A,FALSE,"3.BS";#N/A,#N/A,FALSE,"4.PER PL";#N/A,#N/A,FALSE,"5.INVESTMENT";#N/A,#N/A,FALSE,"6.공문";#N/A,#N/A,FALSE,"7.netinvest"}</definedName>
    <definedName name="뮤뮤" localSheetId="24"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3" hidden="1">{#N/A,#N/A,TRUE,"Y생산";#N/A,#N/A,TRUE,"Y판매";#N/A,#N/A,TRUE,"Y총물량";#N/A,#N/A,TRUE,"Y능력";#N/A,#N/A,TRUE,"YKD"}</definedName>
    <definedName name="뮬소" localSheetId="18" hidden="1">{#N/A,#N/A,TRUE,"Y생산";#N/A,#N/A,TRUE,"Y판매";#N/A,#N/A,TRUE,"Y총물량";#N/A,#N/A,TRUE,"Y능력";#N/A,#N/A,TRUE,"YKD"}</definedName>
    <definedName name="뮬소" localSheetId="24" hidden="1">{#N/A,#N/A,TRUE,"Y생산";#N/A,#N/A,TRUE,"Y판매";#N/A,#N/A,TRUE,"Y총물량";#N/A,#N/A,TRUE,"Y능력";#N/A,#N/A,TRUE,"YKD"}</definedName>
    <definedName name="뮬소" hidden="1">{#N/A,#N/A,TRUE,"Y생산";#N/A,#N/A,TRUE,"Y판매";#N/A,#N/A,TRUE,"Y총물량";#N/A,#N/A,TRUE,"Y능력";#N/A,#N/A,TRUE,"YKD"}</definedName>
    <definedName name="뮬소_1" localSheetId="23" hidden="1">{#N/A,#N/A,TRUE,"Y생산";#N/A,#N/A,TRUE,"Y판매";#N/A,#N/A,TRUE,"Y총물량";#N/A,#N/A,TRUE,"Y능력";#N/A,#N/A,TRUE,"YKD"}</definedName>
    <definedName name="뮬소_1" localSheetId="18" hidden="1">{#N/A,#N/A,TRUE,"Y생산";#N/A,#N/A,TRUE,"Y판매";#N/A,#N/A,TRUE,"Y총물량";#N/A,#N/A,TRUE,"Y능력";#N/A,#N/A,TRUE,"YKD"}</definedName>
    <definedName name="뮬소_1" localSheetId="24" hidden="1">{#N/A,#N/A,TRUE,"Y생산";#N/A,#N/A,TRUE,"Y판매";#N/A,#N/A,TRUE,"Y총물량";#N/A,#N/A,TRUE,"Y능력";#N/A,#N/A,TRUE,"YKD"}</definedName>
    <definedName name="뮬소_1" hidden="1">{#N/A,#N/A,TRUE,"Y생산";#N/A,#N/A,TRUE,"Y판매";#N/A,#N/A,TRUE,"Y총물량";#N/A,#N/A,TRUE,"Y능력";#N/A,#N/A,TRUE,"YKD"}</definedName>
    <definedName name="미경원" localSheetId="23" hidden="1">{#N/A,#N/A,FALSE,"이력서&amp;자기소개서"}</definedName>
    <definedName name="미경원" localSheetId="18" hidden="1">{#N/A,#N/A,FALSE,"이력서&amp;자기소개서"}</definedName>
    <definedName name="미경원" localSheetId="24" hidden="1">{#N/A,#N/A,FALSE,"이력서&amp;자기소개서"}</definedName>
    <definedName name="미경원" hidden="1">{#N/A,#N/A,FALSE,"이력서&amp;자기소개서"}</definedName>
    <definedName name="미라" localSheetId="23" hidden="1">{#N/A,#N/A,FALSE,"1.CRITERIA";#N/A,#N/A,FALSE,"2.IS";#N/A,#N/A,FALSE,"3.BS";#N/A,#N/A,FALSE,"4.PER PL";#N/A,#N/A,FALSE,"5.INVESTMENT";#N/A,#N/A,FALSE,"6.공문";#N/A,#N/A,FALSE,"7.netinvest"}</definedName>
    <definedName name="미라" localSheetId="18" hidden="1">{#N/A,#N/A,FALSE,"1.CRITERIA";#N/A,#N/A,FALSE,"2.IS";#N/A,#N/A,FALSE,"3.BS";#N/A,#N/A,FALSE,"4.PER PL";#N/A,#N/A,FALSE,"5.INVESTMENT";#N/A,#N/A,FALSE,"6.공문";#N/A,#N/A,FALSE,"7.netinvest"}</definedName>
    <definedName name="미라" localSheetId="24"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3" hidden="1">{#N/A,#N/A,FALSE,"이력서&amp;자기소개서"}</definedName>
    <definedName name="미레에셋" localSheetId="18" hidden="1">{#N/A,#N/A,FALSE,"이력서&amp;자기소개서"}</definedName>
    <definedName name="미레에셋" localSheetId="24" hidden="1">{#N/A,#N/A,FALSE,"이력서&amp;자기소개서"}</definedName>
    <definedName name="미레에셋" hidden="1">{#N/A,#N/A,FALSE,"이력서&amp;자기소개서"}</definedName>
    <definedName name="미로" localSheetId="23" hidden="1">{#N/A,#N/A,FALSE,"1.CRITERIA";#N/A,#N/A,FALSE,"2.IS";#N/A,#N/A,FALSE,"3.BS";#N/A,#N/A,FALSE,"4.PER PL";#N/A,#N/A,FALSE,"5.INVESTMENT";#N/A,#N/A,FALSE,"6.공문";#N/A,#N/A,FALSE,"7.netinvest"}</definedName>
    <definedName name="미로" localSheetId="18" hidden="1">{#N/A,#N/A,FALSE,"1.CRITERIA";#N/A,#N/A,FALSE,"2.IS";#N/A,#N/A,FALSE,"3.BS";#N/A,#N/A,FALSE,"4.PER PL";#N/A,#N/A,FALSE,"5.INVESTMENT";#N/A,#N/A,FALSE,"6.공문";#N/A,#N/A,FALSE,"7.netinvest"}</definedName>
    <definedName name="미로" localSheetId="24"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3" hidden="1">{#N/A,#N/A,FALSE,"1.CRITERIA";#N/A,#N/A,FALSE,"2.IS";#N/A,#N/A,FALSE,"3.BS";#N/A,#N/A,FALSE,"4.PER PL";#N/A,#N/A,FALSE,"5.INVESTMENT";#N/A,#N/A,FALSE,"6.공문";#N/A,#N/A,FALSE,"7.netinvest"}</definedName>
    <definedName name="미로어" localSheetId="18"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3" hidden="1">{#N/A,#N/A,FALSE,"1.CRITERIA";#N/A,#N/A,FALSE,"2.IS";#N/A,#N/A,FALSE,"3.BS";#N/A,#N/A,FALSE,"4.PER PL";#N/A,#N/A,FALSE,"5.INVESTMENT";#N/A,#N/A,FALSE,"6.공문";#N/A,#N/A,FALSE,"7.netinvest"}</definedName>
    <definedName name="미료" localSheetId="18"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3" hidden="1">{#N/A,#N/A,FALSE,"1.CRITERIA";#N/A,#N/A,FALSE,"2.IS";#N/A,#N/A,FALSE,"3.BS";#N/A,#N/A,FALSE,"4.PER PL";#N/A,#N/A,FALSE,"5.INVESTMENT";#N/A,#N/A,FALSE,"6.공문";#N/A,#N/A,FALSE,"7.netinvest"}</definedName>
    <definedName name="미미" localSheetId="18"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3" hidden="1">{#N/A,#N/A,FALSE,"1.CRITERIA";#N/A,#N/A,FALSE,"2.IS";#N/A,#N/A,FALSE,"3.BS";#N/A,#N/A,FALSE,"4.PER PL";#N/A,#N/A,FALSE,"5.INVESTMENT";#N/A,#N/A,FALSE,"6.공문";#N/A,#N/A,FALSE,"7.netinvest"}</definedName>
    <definedName name="미수금" localSheetId="18"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3" hidden="1">{#N/A,#N/A,FALSE,"이력서&amp;자기소개서"}</definedName>
    <definedName name="미화" localSheetId="18" hidden="1">{#N/A,#N/A,FALSE,"이력서&amp;자기소개서"}</definedName>
    <definedName name="미화" localSheetId="24" hidden="1">{#N/A,#N/A,FALSE,"이력서&amp;자기소개서"}</definedName>
    <definedName name="미화" hidden="1">{#N/A,#N/A,FALSE,"이력서&amp;자기소개서"}</definedName>
    <definedName name="미화_1" localSheetId="23" hidden="1">{#N/A,#N/A,FALSE,"이력서&amp;자기소개서"}</definedName>
    <definedName name="미화_1" localSheetId="18" hidden="1">{#N/A,#N/A,FALSE,"이력서&amp;자기소개서"}</definedName>
    <definedName name="미화_1" localSheetId="24" hidden="1">{#N/A,#N/A,FALSE,"이력서&amp;자기소개서"}</definedName>
    <definedName name="미화_1" hidden="1">{#N/A,#N/A,FALSE,"이력서&amp;자기소개서"}</definedName>
    <definedName name="미화2" localSheetId="23" hidden="1">{#N/A,#N/A,FALSE,"이력서&amp;자기소개서"}</definedName>
    <definedName name="미화2" localSheetId="18" hidden="1">{#N/A,#N/A,FALSE,"이력서&amp;자기소개서"}</definedName>
    <definedName name="미화2" localSheetId="24" hidden="1">{#N/A,#N/A,FALSE,"이력서&amp;자기소개서"}</definedName>
    <definedName name="미화2" hidden="1">{#N/A,#N/A,FALSE,"이력서&amp;자기소개서"}</definedName>
    <definedName name="미화2_1" localSheetId="23" hidden="1">{#N/A,#N/A,FALSE,"이력서&amp;자기소개서"}</definedName>
    <definedName name="미화2_1" localSheetId="18" hidden="1">{#N/A,#N/A,FALSE,"이력서&amp;자기소개서"}</definedName>
    <definedName name="미화2_1" localSheetId="24" hidden="1">{#N/A,#N/A,FALSE,"이력서&amp;자기소개서"}</definedName>
    <definedName name="미화2_1" hidden="1">{#N/A,#N/A,FALSE,"이력서&amp;자기소개서"}</definedName>
    <definedName name="미화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3" hidden="1">{#N/A,#N/A,FALSE,"이력서&amp;자기소개서"}</definedName>
    <definedName name="미화시설소모품비1111" localSheetId="18" hidden="1">{#N/A,#N/A,FALSE,"이력서&amp;자기소개서"}</definedName>
    <definedName name="미화시설소모품비1111" localSheetId="24" hidden="1">{#N/A,#N/A,FALSE,"이력서&amp;자기소개서"}</definedName>
    <definedName name="미화시설소모품비1111" hidden="1">{#N/A,#N/A,FALSE,"이력서&amp;자기소개서"}</definedName>
    <definedName name="미화원" localSheetId="23" hidden="1">{#N/A,#N/A,FALSE,"이력서&amp;자기소개서"}</definedName>
    <definedName name="미화원" localSheetId="18" hidden="1">{#N/A,#N/A,FALSE,"이력서&amp;자기소개서"}</definedName>
    <definedName name="미화원" localSheetId="24" hidden="1">{#N/A,#N/A,FALSE,"이력서&amp;자기소개서"}</definedName>
    <definedName name="미화원" hidden="1">{#N/A,#N/A,FALSE,"이력서&amp;자기소개서"}</definedName>
    <definedName name="민" localSheetId="23" hidden="1">{#N/A,#N/A,FALSE,"동부"}</definedName>
    <definedName name="민" localSheetId="18" hidden="1">{#N/A,#N/A,FALSE,"동부"}</definedName>
    <definedName name="민" localSheetId="24" hidden="1">{#N/A,#N/A,FALSE,"동부"}</definedName>
    <definedName name="민" hidden="1">{#N/A,#N/A,FALSE,"동부"}</definedName>
    <definedName name="민감" localSheetId="23" hidden="1">{#N/A,#N/A,TRUE,"대 차 대 조 표"}</definedName>
    <definedName name="민감" localSheetId="18" hidden="1">{#N/A,#N/A,TRUE,"대 차 대 조 표"}</definedName>
    <definedName name="민감" localSheetId="24"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3" hidden="1">{"'용역비'!$A$4:$C$8"}</definedName>
    <definedName name="ㅂㅁㅋ" localSheetId="18" hidden="1">{"'용역비'!$A$4:$C$8"}</definedName>
    <definedName name="ㅂㅁㅋ" localSheetId="24" hidden="1">{"'용역비'!$A$4:$C$8"}</definedName>
    <definedName name="ㅂㅁㅋ" hidden="1">{"'용역비'!$A$4:$C$8"}</definedName>
    <definedName name="ㅂㅂ"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3" hidden="1">{#N/A,#N/A,FALSE,"배수2"}</definedName>
    <definedName name="ㅂㅂㅂ" localSheetId="18" hidden="1">{#N/A,#N/A,FALSE,"배수2"}</definedName>
    <definedName name="ㅂㅂㅂ" localSheetId="24" hidden="1">{#N/A,#N/A,FALSE,"배수2"}</definedName>
    <definedName name="ㅂㅂㅂ" hidden="1">{#N/A,#N/A,FALSE,"배수2"}</definedName>
    <definedName name="ㅂㅂㅂㅂ" localSheetId="23" hidden="1">{#N/A,#N/A,FALSE,"동부"}</definedName>
    <definedName name="ㅂㅂㅂㅂ" localSheetId="18" hidden="1">{#N/A,#N/A,FALSE,"동부"}</definedName>
    <definedName name="ㅂㅂㅂㅂ" localSheetId="24" hidden="1">{#N/A,#N/A,FALSE,"동부"}</definedName>
    <definedName name="ㅂㅂㅂㅂ" hidden="1">{#N/A,#N/A,FALSE,"동부"}</definedName>
    <definedName name="ㅂㅂㅂㅂㅂ" localSheetId="23" hidden="1">{#N/A,#N/A,FALSE,"동부"}</definedName>
    <definedName name="ㅂㅂㅂㅂㅂ" localSheetId="18" hidden="1">{#N/A,#N/A,FALSE,"동부"}</definedName>
    <definedName name="ㅂㅂㅂㅂㅂ" localSheetId="24" hidden="1">{#N/A,#N/A,FALSE,"동부"}</definedName>
    <definedName name="ㅂㅂㅂㅂㅂ" hidden="1">{#N/A,#N/A,FALSE,"동부"}</definedName>
    <definedName name="ㅂㅂㅂㅂㅂㅂ" localSheetId="23" hidden="1">{"'용역비'!$A$4:$C$8"}</definedName>
    <definedName name="ㅂㅂㅂㅂㅂㅂ" localSheetId="18" hidden="1">{"'용역비'!$A$4:$C$8"}</definedName>
    <definedName name="ㅂㅂㅂㅂㅂㅂ" localSheetId="24" hidden="1">{"'용역비'!$A$4:$C$8"}</definedName>
    <definedName name="ㅂㅂㅂㅂㅂㅂ" hidden="1">{"'용역비'!$A$4:$C$8"}</definedName>
    <definedName name="ㅂㅂㅂㅂㅂㅂㅂ" localSheetId="23" hidden="1">{#N/A,#N/A,FALSE,"동부"}</definedName>
    <definedName name="ㅂㅂㅂㅂㅂㅂㅂ" localSheetId="18" hidden="1">{#N/A,#N/A,FALSE,"동부"}</definedName>
    <definedName name="ㅂㅂㅂㅂㅂㅂㅂ" localSheetId="24" hidden="1">{#N/A,#N/A,FALSE,"동부"}</definedName>
    <definedName name="ㅂㅂㅂㅂㅂㅂㅂ" hidden="1">{#N/A,#N/A,FALSE,"동부"}</definedName>
    <definedName name="ㅂㅂㅂㅂㅂㅂㅂㅂ" localSheetId="23" hidden="1">{#N/A,#N/A,FALSE,"동부"}</definedName>
    <definedName name="ㅂㅂㅂㅂㅂㅂㅂㅂ" localSheetId="18" hidden="1">{#N/A,#N/A,FALSE,"동부"}</definedName>
    <definedName name="ㅂㅂㅂㅂㅂㅂㅂㅂ" localSheetId="24" hidden="1">{#N/A,#N/A,FALSE,"동부"}</definedName>
    <definedName name="ㅂㅂㅂㅂㅂㅂㅂㅂ" hidden="1">{#N/A,#N/A,FALSE,"동부"}</definedName>
    <definedName name="ㅂㅂㅂㅂㅂㅂㅂㅂㅂㅂ" localSheetId="23" hidden="1">{#N/A,#N/A,FALSE,"동부"}</definedName>
    <definedName name="ㅂㅂㅂㅂㅂㅂㅂㅂㅂㅂ" localSheetId="18" hidden="1">{#N/A,#N/A,FALSE,"동부"}</definedName>
    <definedName name="ㅂㅂㅂㅂㅂㅂㅂㅂㅂㅂ" localSheetId="24" hidden="1">{#N/A,#N/A,FALSE,"동부"}</definedName>
    <definedName name="ㅂㅂㅂㅂㅂㅂㅂㅂㅂㅂ" hidden="1">{#N/A,#N/A,FALSE,"동부"}</definedName>
    <definedName name="ㅂㅇㅁㄴㄹㅇㄴ" localSheetId="23" hidden="1">{"'7'!$B$15:$D$32"}</definedName>
    <definedName name="ㅂㅇㅁㄴㄹㅇㄴ" localSheetId="18" hidden="1">{"'7'!$B$15:$D$32"}</definedName>
    <definedName name="ㅂㅇㅁㄴㄹㅇㄴ" localSheetId="24" hidden="1">{"'7'!$B$15:$D$32"}</definedName>
    <definedName name="ㅂㅇㅁㄴㄹㅇㄴ" hidden="1">{"'7'!$B$15:$D$32"}</definedName>
    <definedName name="ㅂㅈㄷ">"C0168M47EQ82J0CS1RJ7NZD0U"</definedName>
    <definedName name="ㅂㅈㄷㄱㅂ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3" hidden="1">{"'용역비'!$A$4:$C$8"}</definedName>
    <definedName name="ㅂㅋ" localSheetId="18" hidden="1">{"'용역비'!$A$4:$C$8"}</definedName>
    <definedName name="ㅂㅋ" localSheetId="24" hidden="1">{"'용역비'!$A$4:$C$8"}</definedName>
    <definedName name="ㅂㅋ" hidden="1">{"'용역비'!$A$4:$C$8"}</definedName>
    <definedName name="바" localSheetId="23" hidden="1">{#N/A,#N/A,FALSE,"1.CRITERIA";#N/A,#N/A,FALSE,"2.IS";#N/A,#N/A,FALSE,"3.BS";#N/A,#N/A,FALSE,"4.PER PL";#N/A,#N/A,FALSE,"5.INVESTMENT";#N/A,#N/A,FALSE,"6.공문";#N/A,#N/A,FALSE,"7.netinvest"}</definedName>
    <definedName name="바" localSheetId="18" hidden="1">{#N/A,#N/A,FALSE,"1.CRITERIA";#N/A,#N/A,FALSE,"2.IS";#N/A,#N/A,FALSE,"3.BS";#N/A,#N/A,FALSE,"4.PER PL";#N/A,#N/A,FALSE,"5.INVESTMENT";#N/A,#N/A,FALSE,"6.공문";#N/A,#N/A,FALSE,"7.netinvest"}</definedName>
    <definedName name="바" localSheetId="24"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3" hidden="1">{#N/A,#N/A,FALSE,"1.CRITERIA";#N/A,#N/A,FALSE,"2.IS";#N/A,#N/A,FALSE,"3.BS";#N/A,#N/A,FALSE,"4.PER PL";#N/A,#N/A,FALSE,"5.INVESTMENT";#N/A,#N/A,FALSE,"6.공문";#N/A,#N/A,FALSE,"7.netinvest"}</definedName>
    <definedName name="바가" localSheetId="18"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3" hidden="1">{#N/A,#N/A,FALSE,"1.CRITERIA";#N/A,#N/A,FALSE,"2.IS";#N/A,#N/A,FALSE,"3.BS";#N/A,#N/A,FALSE,"4.PER PL";#N/A,#N/A,FALSE,"5.INVESTMENT";#N/A,#N/A,FALSE,"6.공문";#N/A,#N/A,FALSE,"7.netinvest"}</definedName>
    <definedName name="바나" localSheetId="18"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3" hidden="1">{#N/A,#N/A,FALSE,"1.CRITERIA";#N/A,#N/A,FALSE,"2.IS";#N/A,#N/A,FALSE,"3.BS";#N/A,#N/A,FALSE,"4.PER PL";#N/A,#N/A,FALSE,"5.INVESTMENT";#N/A,#N/A,FALSE,"6.공문";#N/A,#N/A,FALSE,"7.netinvest"}</definedName>
    <definedName name="바다올" localSheetId="18"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3" hidden="1">{#N/A,#N/A,FALSE,"1.CRITERIA";#N/A,#N/A,FALSE,"2.IS";#N/A,#N/A,FALSE,"3.BS";#N/A,#N/A,FALSE,"4.PER PL";#N/A,#N/A,FALSE,"5.INVESTMENT";#N/A,#N/A,FALSE,"6.공문";#N/A,#N/A,FALSE,"7.netinvest"}</definedName>
    <definedName name="바라" localSheetId="18"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3" hidden="1">{#N/A,#N/A,FALSE,"1.CRITERIA";#N/A,#N/A,FALSE,"2.IS";#N/A,#N/A,FALSE,"3.BS";#N/A,#N/A,FALSE,"4.PER PL";#N/A,#N/A,FALSE,"5.INVESTMENT";#N/A,#N/A,FALSE,"6.공문";#N/A,#N/A,FALSE,"7.netinvest"}</definedName>
    <definedName name="바라오" localSheetId="18"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3" hidden="1">{#N/A,#N/A,FALSE,"1.CRITERIA";#N/A,#N/A,FALSE,"2.IS";#N/A,#N/A,FALSE,"3.BS";#N/A,#N/A,FALSE,"4.PER PL";#N/A,#N/A,FALSE,"5.INVESTMENT";#N/A,#N/A,FALSE,"6.공문";#N/A,#N/A,FALSE,"7.netinvest"}</definedName>
    <definedName name="바로" localSheetId="18"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3" hidden="1">{#N/A,#N/A,FALSE,"1.CRITERIA";#N/A,#N/A,FALSE,"2.IS";#N/A,#N/A,FALSE,"3.BS";#N/A,#N/A,FALSE,"4.PER PL";#N/A,#N/A,FALSE,"5.INVESTMENT";#N/A,#N/A,FALSE,"6.공문";#N/A,#N/A,FALSE,"7.netinvest"}</definedName>
    <definedName name="바바" localSheetId="18"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3" hidden="1">{#N/A,#N/A,TRUE,"Y생산";#N/A,#N/A,TRUE,"Y판매";#N/A,#N/A,TRUE,"Y총물량";#N/A,#N/A,TRUE,"Y능력";#N/A,#N/A,TRUE,"YKD"}</definedName>
    <definedName name="바바라" localSheetId="18" hidden="1">{#N/A,#N/A,TRUE,"Y생산";#N/A,#N/A,TRUE,"Y판매";#N/A,#N/A,TRUE,"Y총물량";#N/A,#N/A,TRUE,"Y능력";#N/A,#N/A,TRUE,"YKD"}</definedName>
    <definedName name="바바라" localSheetId="24" hidden="1">{#N/A,#N/A,TRUE,"Y생산";#N/A,#N/A,TRUE,"Y판매";#N/A,#N/A,TRUE,"Y총물량";#N/A,#N/A,TRUE,"Y능력";#N/A,#N/A,TRUE,"YKD"}</definedName>
    <definedName name="바바라" hidden="1">{#N/A,#N/A,TRUE,"Y생산";#N/A,#N/A,TRUE,"Y판매";#N/A,#N/A,TRUE,"Y총물량";#N/A,#N/A,TRUE,"Y능력";#N/A,#N/A,TRUE,"YKD"}</definedName>
    <definedName name="바바라_1" localSheetId="23" hidden="1">{#N/A,#N/A,TRUE,"Y생산";#N/A,#N/A,TRUE,"Y판매";#N/A,#N/A,TRUE,"Y총물량";#N/A,#N/A,TRUE,"Y능력";#N/A,#N/A,TRUE,"YKD"}</definedName>
    <definedName name="바바라_1" localSheetId="18" hidden="1">{#N/A,#N/A,TRUE,"Y생산";#N/A,#N/A,TRUE,"Y판매";#N/A,#N/A,TRUE,"Y총물량";#N/A,#N/A,TRUE,"Y능력";#N/A,#N/A,TRUE,"YKD"}</definedName>
    <definedName name="바바라_1" localSheetId="24" hidden="1">{#N/A,#N/A,TRUE,"Y생산";#N/A,#N/A,TRUE,"Y판매";#N/A,#N/A,TRUE,"Y총물량";#N/A,#N/A,TRUE,"Y능력";#N/A,#N/A,TRUE,"YKD"}</definedName>
    <definedName name="바바라_1" hidden="1">{#N/A,#N/A,TRUE,"Y생산";#N/A,#N/A,TRUE,"Y판매";#N/A,#N/A,TRUE,"Y총물량";#N/A,#N/A,TRUE,"Y능력";#N/A,#N/A,TRUE,"YKD"}</definedName>
    <definedName name="바보" localSheetId="23" hidden="1">{"'용역비'!$A$4:$C$8"}</definedName>
    <definedName name="바보" localSheetId="18" hidden="1">{"'용역비'!$A$4:$C$8"}</definedName>
    <definedName name="바보" localSheetId="24" hidden="1">{"'용역비'!$A$4:$C$8"}</definedName>
    <definedName name="바보" hidden="1">{"'용역비'!$A$4:$C$8"}</definedName>
    <definedName name="바아" localSheetId="23" hidden="1">{#N/A,#N/A,FALSE,"1.CRITERIA";#N/A,#N/A,FALSE,"2.IS";#N/A,#N/A,FALSE,"3.BS";#N/A,#N/A,FALSE,"4.PER PL";#N/A,#N/A,FALSE,"5.INVESTMENT";#N/A,#N/A,FALSE,"6.공문";#N/A,#N/A,FALSE,"7.netinvest"}</definedName>
    <definedName name="바아" localSheetId="18" hidden="1">{#N/A,#N/A,FALSE,"1.CRITERIA";#N/A,#N/A,FALSE,"2.IS";#N/A,#N/A,FALSE,"3.BS";#N/A,#N/A,FALSE,"4.PER PL";#N/A,#N/A,FALSE,"5.INVESTMENT";#N/A,#N/A,FALSE,"6.공문";#N/A,#N/A,FALSE,"7.netinvest"}</definedName>
    <definedName name="바아" localSheetId="24"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3" hidden="1">{#N/A,#N/A,FALSE,"1.CRITERIA";#N/A,#N/A,FALSE,"2.IS";#N/A,#N/A,FALSE,"3.BS";#N/A,#N/A,FALSE,"4.PER PL";#N/A,#N/A,FALSE,"5.INVESTMENT";#N/A,#N/A,FALSE,"6.공문";#N/A,#N/A,FALSE,"7.netinvest"}</definedName>
    <definedName name="바아가" localSheetId="18"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3" hidden="1">{#N/A,#N/A,FALSE,"1.CRITERIA";#N/A,#N/A,FALSE,"2.IS";#N/A,#N/A,FALSE,"3.BS";#N/A,#N/A,FALSE,"4.PER PL";#N/A,#N/A,FALSE,"5.INVESTMENT";#N/A,#N/A,FALSE,"6.공문";#N/A,#N/A,FALSE,"7.netinvest"}</definedName>
    <definedName name="바아가오" localSheetId="18"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3" hidden="1">{#N/A,#N/A,FALSE,"1.CRITERIA";#N/A,#N/A,FALSE,"2.IS";#N/A,#N/A,FALSE,"3.BS";#N/A,#N/A,FALSE,"4.PER PL";#N/A,#N/A,FALSE,"5.INVESTMENT";#N/A,#N/A,FALSE,"6.공문";#N/A,#N/A,FALSE,"7.netinvest"}</definedName>
    <definedName name="바아고" localSheetId="18"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3" hidden="1">{#N/A,#N/A,FALSE,"1.CRITERIA";#N/A,#N/A,FALSE,"2.IS";#N/A,#N/A,FALSE,"3.BS";#N/A,#N/A,FALSE,"4.PER PL";#N/A,#N/A,FALSE,"5.INVESTMENT";#N/A,#N/A,FALSE,"6.공문";#N/A,#N/A,FALSE,"7.netinvest"}</definedName>
    <definedName name="바이" localSheetId="18"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3" hidden="1">{#N/A,#N/A,FALSE,"1.CRITERIA";#N/A,#N/A,FALSE,"2.IS";#N/A,#N/A,FALSE,"3.BS";#N/A,#N/A,FALSE,"4.PER PL";#N/A,#N/A,FALSE,"5.INVESTMENT";#N/A,#N/A,FALSE,"6.공문";#N/A,#N/A,FALSE,"7.netinvest"}</definedName>
    <definedName name="박" localSheetId="18"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3" hidden="1">{#N/A,#N/A,FALSE,"현장 NCR 분석";#N/A,#N/A,FALSE,"현장품질감사";#N/A,#N/A,FALSE,"현장품질감사"}</definedName>
    <definedName name="박원흠" localSheetId="18" hidden="1">{#N/A,#N/A,FALSE,"현장 NCR 분석";#N/A,#N/A,FALSE,"현장품질감사";#N/A,#N/A,FALSE,"현장품질감사"}</definedName>
    <definedName name="박원흠" localSheetId="24" hidden="1">{#N/A,#N/A,FALSE,"현장 NCR 분석";#N/A,#N/A,FALSE,"현장품질감사";#N/A,#N/A,FALSE,"현장품질감사"}</definedName>
    <definedName name="박원흠" hidden="1">{#N/A,#N/A,FALSE,"현장 NCR 분석";#N/A,#N/A,FALSE,"현장품질감사";#N/A,#N/A,FALSE,"현장품질감사"}</definedName>
    <definedName name="발" localSheetId="23" hidden="1">{#N/A,#N/A,FALSE,"1.CRITERIA";#N/A,#N/A,FALSE,"2.IS";#N/A,#N/A,FALSE,"3.BS";#N/A,#N/A,FALSE,"4.PER PL";#N/A,#N/A,FALSE,"5.INVESTMENT";#N/A,#N/A,FALSE,"6.공문";#N/A,#N/A,FALSE,"7.netinvest"}</definedName>
    <definedName name="발" localSheetId="18" hidden="1">{#N/A,#N/A,FALSE,"1.CRITERIA";#N/A,#N/A,FALSE,"2.IS";#N/A,#N/A,FALSE,"3.BS";#N/A,#N/A,FALSE,"4.PER PL";#N/A,#N/A,FALSE,"5.INVESTMENT";#N/A,#N/A,FALSE,"6.공문";#N/A,#N/A,FALSE,"7.netinvest"}</definedName>
    <definedName name="발" localSheetId="24"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3" hidden="1">{#N/A,#N/A,FALSE,"포장단가"}</definedName>
    <definedName name="방랑" localSheetId="18" hidden="1">{#N/A,#N/A,FALSE,"포장단가"}</definedName>
    <definedName name="방랑" localSheetId="24" hidden="1">{#N/A,#N/A,FALSE,"포장단가"}</definedName>
    <definedName name="방랑" hidden="1">{#N/A,#N/A,FALSE,"포장단가"}</definedName>
    <definedName name="방음벽" localSheetId="23" hidden="1">{#N/A,#N/A,FALSE,"배수2"}</definedName>
    <definedName name="방음벽" localSheetId="18" hidden="1">{#N/A,#N/A,FALSE,"배수2"}</definedName>
    <definedName name="방음벽" localSheetId="24" hidden="1">{#N/A,#N/A,FALSE,"배수2"}</definedName>
    <definedName name="방음벽" hidden="1">{#N/A,#N/A,FALSE,"배수2"}</definedName>
    <definedName name="방호배치" localSheetId="23" hidden="1">{#N/A,#N/A,FALSE,"단축1";#N/A,#N/A,FALSE,"단축2";#N/A,#N/A,FALSE,"단축3";#N/A,#N/A,FALSE,"장축";#N/A,#N/A,FALSE,"4WD"}</definedName>
    <definedName name="방호배치" localSheetId="18" hidden="1">{#N/A,#N/A,FALSE,"단축1";#N/A,#N/A,FALSE,"단축2";#N/A,#N/A,FALSE,"단축3";#N/A,#N/A,FALSE,"장축";#N/A,#N/A,FALSE,"4WD"}</definedName>
    <definedName name="방호배치" localSheetId="24" hidden="1">{#N/A,#N/A,FALSE,"단축1";#N/A,#N/A,FALSE,"단축2";#N/A,#N/A,FALSE,"단축3";#N/A,#N/A,FALSE,"장축";#N/A,#N/A,FALSE,"4WD"}</definedName>
    <definedName name="방호배치" hidden="1">{#N/A,#N/A,FALSE,"단축1";#N/A,#N/A,FALSE,"단축2";#N/A,#N/A,FALSE,"단축3";#N/A,#N/A,FALSE,"장축";#N/A,#N/A,FALSE,"4WD"}</definedName>
    <definedName name="배" localSheetId="23" hidden="1">{#N/A,#N/A,FALSE,"1.CRITERIA";#N/A,#N/A,FALSE,"2.IS";#N/A,#N/A,FALSE,"3.BS";#N/A,#N/A,FALSE,"4.PER PL";#N/A,#N/A,FALSE,"5.INVESTMENT";#N/A,#N/A,FALSE,"6.공문";#N/A,#N/A,FALSE,"7.netinvest"}</definedName>
    <definedName name="배" localSheetId="18" hidden="1">{#N/A,#N/A,FALSE,"1.CRITERIA";#N/A,#N/A,FALSE,"2.IS";#N/A,#N/A,FALSE,"3.BS";#N/A,#N/A,FALSE,"4.PER PL";#N/A,#N/A,FALSE,"5.INVESTMENT";#N/A,#N/A,FALSE,"6.공문";#N/A,#N/A,FALSE,"7.netinvest"}</definedName>
    <definedName name="배" localSheetId="24"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3" hidden="1">{"'미착금액'!$A$4:$G$14"}</definedName>
    <definedName name="배배배" localSheetId="18" hidden="1">{"'미착금액'!$A$4:$G$14"}</definedName>
    <definedName name="배배배" localSheetId="24" hidden="1">{"'미착금액'!$A$4:$G$14"}</definedName>
    <definedName name="배배배" hidden="1">{"'미착금액'!$A$4:$G$14"}</definedName>
    <definedName name="배분전" localSheetId="23" hidden="1">{#N/A,#N/A,TRUE,"대 차 대 조 표"}</definedName>
    <definedName name="배분전" localSheetId="18" hidden="1">{#N/A,#N/A,TRUE,"대 차 대 조 표"}</definedName>
    <definedName name="배분전" localSheetId="24" hidden="1">{#N/A,#N/A,TRUE,"대 차 대 조 표"}</definedName>
    <definedName name="배분전" hidden="1">{#N/A,#N/A,TRUE,"대 차 대 조 표"}</definedName>
    <definedName name="배치계획"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3" hidden="1">{#N/A,#N/A,FALSE,"1.CRITERIA";#N/A,#N/A,FALSE,"2.IS";#N/A,#N/A,FALSE,"3.BS";#N/A,#N/A,FALSE,"4.PER PL";#N/A,#N/A,FALSE,"5.INVESTMENT";#N/A,#N/A,FALSE,"6.공문";#N/A,#N/A,FALSE,"7.netinvest"}</definedName>
    <definedName name="버버" localSheetId="18" hidden="1">{#N/A,#N/A,FALSE,"1.CRITERIA";#N/A,#N/A,FALSE,"2.IS";#N/A,#N/A,FALSE,"3.BS";#N/A,#N/A,FALSE,"4.PER PL";#N/A,#N/A,FALSE,"5.INVESTMENT";#N/A,#N/A,FALSE,"6.공문";#N/A,#N/A,FALSE,"7.netinvest"}</definedName>
    <definedName name="버버" localSheetId="24"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3" hidden="1">{"'PROFORMA'!$A$1:$H$120"}</definedName>
    <definedName name="버전" localSheetId="18" hidden="1">{"'PROFORMA'!$A$1:$H$120"}</definedName>
    <definedName name="버전" localSheetId="24" hidden="1">{"'PROFORMA'!$A$1:$H$120"}</definedName>
    <definedName name="버전" hidden="1">{"'PROFORMA'!$A$1:$H$120"}</definedName>
    <definedName name="베" localSheetId="23" hidden="1">{#N/A,#N/A,FALSE,"1.CRITERIA";#N/A,#N/A,FALSE,"2.IS";#N/A,#N/A,FALSE,"3.BS";#N/A,#N/A,FALSE,"4.PER PL";#N/A,#N/A,FALSE,"5.INVESTMENT";#N/A,#N/A,FALSE,"6.공문";#N/A,#N/A,FALSE,"7.netinvest"}</definedName>
    <definedName name="베" localSheetId="18" hidden="1">{#N/A,#N/A,FALSE,"1.CRITERIA";#N/A,#N/A,FALSE,"2.IS";#N/A,#N/A,FALSE,"3.BS";#N/A,#N/A,FALSE,"4.PER PL";#N/A,#N/A,FALSE,"5.INVESTMENT";#N/A,#N/A,FALSE,"6.공문";#N/A,#N/A,FALSE,"7.netinvest"}</definedName>
    <definedName name="베" localSheetId="24"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3" hidden="1">{"賃貸事例比較法",#N/A,FALSE,"Sheet2";"賃貸条件",#N/A,FALSE,"Sheet2"}</definedName>
    <definedName name="変更" localSheetId="18" hidden="1">{"賃貸事例比較法",#N/A,FALSE,"Sheet2";"賃貸条件",#N/A,FALSE,"Sheet2"}</definedName>
    <definedName name="変更" localSheetId="24" hidden="1">{"賃貸事例比較法",#N/A,FALSE,"Sheet2";"賃貸条件",#N/A,FALSE,"Sheet2"}</definedName>
    <definedName name="変更" hidden="1">{"賃貸事例比較法",#N/A,FALSE,"Sheet2";"賃貸条件",#N/A,FALSE,"Sheet2"}</definedName>
    <definedName name="변경수량집계"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3" hidden="1">{"summary",#N/A,TRUE,"Focus";"interestexpense",#N/A,TRUE,"Focus";"interestincome",#N/A,TRUE,"Focus";"dividend",#N/A,TRUE,"Focus";"feeincome",#N/A,TRUE,"Focus";"gain",#N/A,TRUE,"Focus"}</definedName>
    <definedName name="変更後" localSheetId="18" hidden="1">{"summary",#N/A,TRUE,"Focus";"interestexpense",#N/A,TRUE,"Focus";"interestincome",#N/A,TRUE,"Focus";"dividend",#N/A,TRUE,"Focus";"feeincome",#N/A,TRUE,"Focus";"gain",#N/A,TRUE,"Focus"}</definedName>
    <definedName name="変更後" localSheetId="24"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3" hidden="1">{"REC1",#N/A,FALSE,"Focus";"REC2",#N/A,FALSE,"Focus";"REC3",#N/A,FALSE,"Focus";"REC4",#N/A,FALSE,"Focus"}</definedName>
    <definedName name="別表" localSheetId="18" hidden="1">{"REC1",#N/A,FALSE,"Focus";"REC2",#N/A,FALSE,"Focus";"REC3",#N/A,FALSE,"Focus";"REC4",#N/A,FALSE,"Focus"}</definedName>
    <definedName name="別表" localSheetId="24" hidden="1">{"REC1",#N/A,FALSE,"Focus";"REC2",#N/A,FALSE,"Focus";"REC3",#N/A,FALSE,"Focus";"REC4",#N/A,FALSE,"Focus"}</definedName>
    <definedName name="別表" hidden="1">{"REC1",#N/A,FALSE,"Focus";"REC2",#N/A,FALSE,"Focus";"REC3",#N/A,FALSE,"Focus";"REC4",#N/A,FALSE,"Focus"}</definedName>
    <definedName name="別表１" localSheetId="23" hidden="1">{"gain",#N/A,FALSE,"Focus"}</definedName>
    <definedName name="別表１" localSheetId="18" hidden="1">{"gain",#N/A,FALSE,"Focus"}</definedName>
    <definedName name="別表１" localSheetId="24" hidden="1">{"gain",#N/A,FALSE,"Focus"}</definedName>
    <definedName name="別表１" hidden="1">{"gain",#N/A,FALSE,"Focus"}</definedName>
    <definedName name="別表１賃料" localSheetId="23" hidden="1">{"REC1",#N/A,FALSE,"Focus";"REC2",#N/A,FALSE,"Focus";"REC3",#N/A,FALSE,"Focus";"REC4",#N/A,FALSE,"Focus"}</definedName>
    <definedName name="別表１賃料" localSheetId="18" hidden="1">{"REC1",#N/A,FALSE,"Focus";"REC2",#N/A,FALSE,"Focus";"REC3",#N/A,FALSE,"Focus";"REC4",#N/A,FALSE,"Focus"}</definedName>
    <definedName name="別表１賃料" localSheetId="24" hidden="1">{"REC1",#N/A,FALSE,"Focus";"REC2",#N/A,FALSE,"Focus";"REC3",#N/A,FALSE,"Focus";"REC4",#N/A,FALSE,"Focus"}</definedName>
    <definedName name="別表１賃料" hidden="1">{"REC1",#N/A,FALSE,"Focus";"REC2",#N/A,FALSE,"Focus";"REC3",#N/A,FALSE,"Focus";"REC4",#N/A,FALSE,"Focus"}</definedName>
    <definedName name="別表１賃料明細" localSheetId="23" hidden="1">{"summary",#N/A,TRUE,"Focus";"interestexpense",#N/A,TRUE,"Focus";"interestincome",#N/A,TRUE,"Focus";"dividend",#N/A,TRUE,"Focus";"feeincome",#N/A,TRUE,"Focus";"gain",#N/A,TRUE,"Focus"}</definedName>
    <definedName name="別表１賃料明細" localSheetId="18" hidden="1">{"summary",#N/A,TRUE,"Focus";"interestexpense",#N/A,TRUE,"Focus";"interestincome",#N/A,TRUE,"Focus";"dividend",#N/A,TRUE,"Focus";"feeincome",#N/A,TRUE,"Focus";"gain",#N/A,TRUE,"Focus"}</definedName>
    <definedName name="別表１賃料明細" localSheetId="24"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3" hidden="1">{#N/A,#N/A,FALSE,"1.CRITERIA";#N/A,#N/A,FALSE,"2.IS";#N/A,#N/A,FALSE,"3.BS";#N/A,#N/A,FALSE,"4.PER PL";#N/A,#N/A,FALSE,"5.INVESTMENT";#N/A,#N/A,FALSE,"6.공문";#N/A,#N/A,FALSE,"7.netinvest"}</definedName>
    <definedName name="보" localSheetId="18" hidden="1">{#N/A,#N/A,FALSE,"1.CRITERIA";#N/A,#N/A,FALSE,"2.IS";#N/A,#N/A,FALSE,"3.BS";#N/A,#N/A,FALSE,"4.PER PL";#N/A,#N/A,FALSE,"5.INVESTMENT";#N/A,#N/A,FALSE,"6.공문";#N/A,#N/A,FALSE,"7.netinvest"}</definedName>
    <definedName name="보" localSheetId="24"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3" hidden="1">{#N/A,#N/A,FALSE,"1.CRITERIA";#N/A,#N/A,FALSE,"2.IS";#N/A,#N/A,FALSE,"3.BS";#N/A,#N/A,FALSE,"4.PER PL";#N/A,#N/A,FALSE,"5.INVESTMENT";#N/A,#N/A,FALSE,"6.공문";#N/A,#N/A,FALSE,"7.netinvest"}</definedName>
    <definedName name="보라차" localSheetId="18" hidden="1">{#N/A,#N/A,FALSE,"1.CRITERIA";#N/A,#N/A,FALSE,"2.IS";#N/A,#N/A,FALSE,"3.BS";#N/A,#N/A,FALSE,"4.PER PL";#N/A,#N/A,FALSE,"5.INVESTMENT";#N/A,#N/A,FALSE,"6.공문";#N/A,#N/A,FALSE,"7.netinvest"}</definedName>
    <definedName name="보라차" localSheetId="24"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3" hidden="1">{#N/A,#N/A,FALSE,"1.CRITERIA";#N/A,#N/A,FALSE,"2.IS";#N/A,#N/A,FALSE,"3.BS";#N/A,#N/A,FALSE,"4.PER PL";#N/A,#N/A,FALSE,"5.INVESTMENT";#N/A,#N/A,FALSE,"6.공문";#N/A,#N/A,FALSE,"7.netinvest"}</definedName>
    <definedName name="보아리" localSheetId="18"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3" hidden="1">{#N/A,#N/A,FALSE,"이력서&amp;자기소개서"}</definedName>
    <definedName name="보안대장" localSheetId="18" hidden="1">{#N/A,#N/A,FALSE,"이력서&amp;자기소개서"}</definedName>
    <definedName name="보안대장" localSheetId="24" hidden="1">{#N/A,#N/A,FALSE,"이력서&amp;자기소개서"}</definedName>
    <definedName name="보안대장" hidden="1">{#N/A,#N/A,FALSE,"이력서&amp;자기소개서"}</definedName>
    <definedName name="보오링그라우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3" hidden="1">{#N/A,#N/A,FALSE,"1.CRITERIA";#N/A,#N/A,FALSE,"2.IS";#N/A,#N/A,FALSE,"3.BS";#N/A,#N/A,FALSE,"4.PER PL";#N/A,#N/A,FALSE,"5.INVESTMENT";#N/A,#N/A,FALSE,"6.공문";#N/A,#N/A,FALSE,"7.netinvest"}</definedName>
    <definedName name="보이" localSheetId="18" hidden="1">{#N/A,#N/A,FALSE,"1.CRITERIA";#N/A,#N/A,FALSE,"2.IS";#N/A,#N/A,FALSE,"3.BS";#N/A,#N/A,FALSE,"4.PER PL";#N/A,#N/A,FALSE,"5.INVESTMENT";#N/A,#N/A,FALSE,"6.공문";#N/A,#N/A,FALSE,"7.netinvest"}</definedName>
    <definedName name="보이" localSheetId="24"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3" hidden="1">{#N/A,#N/A,FALSE,"1.CRITERIA";#N/A,#N/A,FALSE,"2.IS";#N/A,#N/A,FALSE,"3.BS";#N/A,#N/A,FALSE,"4.PER PL";#N/A,#N/A,FALSE,"5.INVESTMENT";#N/A,#N/A,FALSE,"6.공문";#N/A,#N/A,FALSE,"7.netinvest"}</definedName>
    <definedName name="보이아" localSheetId="18"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3" hidden="1">{#N/A,#N/A,FALSE,"이력서&amp;자기소개서"}</definedName>
    <definedName name="보헌빌딩2" localSheetId="18" hidden="1">{#N/A,#N/A,FALSE,"이력서&amp;자기소개서"}</definedName>
    <definedName name="보헌빌딩2" localSheetId="24" hidden="1">{#N/A,#N/A,FALSE,"이력서&amp;자기소개서"}</definedName>
    <definedName name="보헌빌딩2" hidden="1">{#N/A,#N/A,FALSE,"이력서&amp;자기소개서"}</definedName>
    <definedName name="본" localSheetId="23" hidden="1">{"'PROFORMA'!$A$1:$H$120"}</definedName>
    <definedName name="본" localSheetId="18" hidden="1">{"'PROFORMA'!$A$1:$H$120"}</definedName>
    <definedName name="본" localSheetId="24" hidden="1">{"'PROFORMA'!$A$1:$H$120"}</definedName>
    <definedName name="본" hidden="1">{"'PROFORMA'!$A$1:$H$120"}</definedName>
    <definedName name="본사설계안분석" localSheetId="23" hidden="1">{"'PROFORMA'!$A$1:$H$120"}</definedName>
    <definedName name="본사설계안분석" localSheetId="18" hidden="1">{"'PROFORMA'!$A$1:$H$120"}</definedName>
    <definedName name="본사설계안분석" localSheetId="24" hidden="1">{"'PROFORMA'!$A$1:$H$120"}</definedName>
    <definedName name="본사설계안분석" hidden="1">{"'PROFORMA'!$A$1:$H$120"}</definedName>
    <definedName name="볼" localSheetId="23" hidden="1">{#N/A,#N/A,FALSE,"1.CRITERIA";#N/A,#N/A,FALSE,"2.IS";#N/A,#N/A,FALSE,"3.BS";#N/A,#N/A,FALSE,"4.PER PL";#N/A,#N/A,FALSE,"5.INVESTMENT";#N/A,#N/A,FALSE,"6.공문";#N/A,#N/A,FALSE,"7.netinvest"}</definedName>
    <definedName name="볼" localSheetId="18" hidden="1">{#N/A,#N/A,FALSE,"1.CRITERIA";#N/A,#N/A,FALSE,"2.IS";#N/A,#N/A,FALSE,"3.BS";#N/A,#N/A,FALSE,"4.PER PL";#N/A,#N/A,FALSE,"5.INVESTMENT";#N/A,#N/A,FALSE,"6.공문";#N/A,#N/A,FALSE,"7.netinvest"}</definedName>
    <definedName name="볼" localSheetId="24"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3" hidden="1">{#N/A,#N/A,FALSE,"단축1";#N/A,#N/A,FALSE,"단축2";#N/A,#N/A,FALSE,"단축3";#N/A,#N/A,FALSE,"장축";#N/A,#N/A,FALSE,"4WD"}</definedName>
    <definedName name="볼트수정" localSheetId="18" hidden="1">{#N/A,#N/A,FALSE,"단축1";#N/A,#N/A,FALSE,"단축2";#N/A,#N/A,FALSE,"단축3";#N/A,#N/A,FALSE,"장축";#N/A,#N/A,FALSE,"4WD"}</definedName>
    <definedName name="볼트수정" localSheetId="24" hidden="1">{#N/A,#N/A,FALSE,"단축1";#N/A,#N/A,FALSE,"단축2";#N/A,#N/A,FALSE,"단축3";#N/A,#N/A,FALSE,"장축";#N/A,#N/A,FALSE,"4WD"}</definedName>
    <definedName name="볼트수정" hidden="1">{#N/A,#N/A,FALSE,"단축1";#N/A,#N/A,FALSE,"단축2";#N/A,#N/A,FALSE,"단축3";#N/A,#N/A,FALSE,"장축";#N/A,#N/A,FALSE,"4WD"}</definedName>
    <definedName name="봐" localSheetId="23" hidden="1">{#N/A,#N/A,FALSE,"1.CRITERIA";#N/A,#N/A,FALSE,"2.IS";#N/A,#N/A,FALSE,"3.BS";#N/A,#N/A,FALSE,"4.PER PL";#N/A,#N/A,FALSE,"5.INVESTMENT";#N/A,#N/A,FALSE,"6.공문";#N/A,#N/A,FALSE,"7.netinvest"}</definedName>
    <definedName name="봐" localSheetId="18" hidden="1">{#N/A,#N/A,FALSE,"1.CRITERIA";#N/A,#N/A,FALSE,"2.IS";#N/A,#N/A,FALSE,"3.BS";#N/A,#N/A,FALSE,"4.PER PL";#N/A,#N/A,FALSE,"5.INVESTMENT";#N/A,#N/A,FALSE,"6.공문";#N/A,#N/A,FALSE,"7.netinvest"}</definedName>
    <definedName name="봐" localSheetId="24"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3" hidden="1">{"summary",#N/A,TRUE,"Focus";"interestexpense",#N/A,TRUE,"Focus";"interestincome",#N/A,TRUE,"Focus";"dividend",#N/A,TRUE,"Focus";"feeincome",#N/A,TRUE,"Focus";"gain",#N/A,TRUE,"Focus"}</definedName>
    <definedName name="敷金明細" localSheetId="18" hidden="1">{"summary",#N/A,TRUE,"Focus";"interestexpense",#N/A,TRUE,"Focus";"interestincome",#N/A,TRUE,"Focus";"dividend",#N/A,TRUE,"Focus";"feeincome",#N/A,TRUE,"Focus";"gain",#N/A,TRUE,"Focus"}</definedName>
    <definedName name="敷金明細" localSheetId="24"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3" hidden="1">{#N/A,#N/A,FALSE,"토공2"}</definedName>
    <definedName name="부대원본" localSheetId="18" hidden="1">{#N/A,#N/A,FALSE,"토공2"}</definedName>
    <definedName name="부대원본" localSheetId="24" hidden="1">{#N/A,#N/A,FALSE,"토공2"}</definedName>
    <definedName name="부대원본" hidden="1">{#N/A,#N/A,FALSE,"토공2"}</definedName>
    <definedName name="부발" localSheetId="23" hidden="1">{#N/A,#N/A,FALSE,"견적갑지";#N/A,#N/A,FALSE,"총괄표";#N/A,#N/A,FALSE,"철골공사";#N/A,#N/A,FALSE,"토목공사";#N/A,#N/A,FALSE,"판넬전기공사"}</definedName>
    <definedName name="부발" localSheetId="18" hidden="1">{#N/A,#N/A,FALSE,"견적갑지";#N/A,#N/A,FALSE,"총괄표";#N/A,#N/A,FALSE,"철골공사";#N/A,#N/A,FALSE,"토목공사";#N/A,#N/A,FALSE,"판넬전기공사"}</definedName>
    <definedName name="부발" localSheetId="24"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3" hidden="1">{"ｹﾝﾄ（M)",#N/A,FALSE,"収支・日割";"ｹﾝﾄ（RD)",#N/A,FALSE,"収支・日割";"ｹﾝﾄ（PMC)",#N/A,FALSE,"収支・日割"}</definedName>
    <definedName name="不備一覧" localSheetId="18" hidden="1">{"ｹﾝﾄ（M)",#N/A,FALSE,"収支・日割";"ｹﾝﾄ（RD)",#N/A,FALSE,"収支・日割";"ｹﾝﾄ（PMC)",#N/A,FALSE,"収支・日割"}</definedName>
    <definedName name="不備一覧" localSheetId="24"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3" hidden="1">{#N/A,#N/A,FALSE,"현장 NCR 분석";#N/A,#N/A,FALSE,"현장품질감사";#N/A,#N/A,FALSE,"현장품질감사"}</definedName>
    <definedName name="부손익" localSheetId="18" hidden="1">{#N/A,#N/A,FALSE,"현장 NCR 분석";#N/A,#N/A,FALSE,"현장품질감사";#N/A,#N/A,FALSE,"현장품질감사"}</definedName>
    <definedName name="부손익" localSheetId="24" hidden="1">{#N/A,#N/A,FALSE,"현장 NCR 분석";#N/A,#N/A,FALSE,"현장품질감사";#N/A,#N/A,FALSE,"현장품질감사"}</definedName>
    <definedName name="부손익" hidden="1">{#N/A,#N/A,FALSE,"현장 NCR 분석";#N/A,#N/A,FALSE,"현장품질감사";#N/A,#N/A,FALSE,"현장품질감사"}</definedName>
    <definedName name="부평" localSheetId="23" hidden="1">{#N/A,#N/A,FALSE,"97년 투자계획 세부내역 "}</definedName>
    <definedName name="부평" localSheetId="18" hidden="1">{#N/A,#N/A,FALSE,"97년 투자계획 세부내역 "}</definedName>
    <definedName name="부평" localSheetId="24" hidden="1">{#N/A,#N/A,FALSE,"97년 투자계획 세부내역 "}</definedName>
    <definedName name="부평" hidden="1">{#N/A,#N/A,FALSE,"97년 투자계획 세부내역 "}</definedName>
    <definedName name="분" localSheetId="23" hidden="1">{#N/A,#N/A,FALSE,"이태원철근"}</definedName>
    <definedName name="분" localSheetId="18" hidden="1">{#N/A,#N/A,FALSE,"이태원철근"}</definedName>
    <definedName name="분" localSheetId="24" hidden="1">{#N/A,#N/A,FALSE,"이태원철근"}</definedName>
    <definedName name="분" hidden="1">{#N/A,#N/A,FALSE,"이태원철근"}</definedName>
    <definedName name="분개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3" hidden="1">{#N/A,#N/A,TRUE,"Y생산";#N/A,#N/A,TRUE,"Y판매";#N/A,#N/A,TRUE,"Y총물량";#N/A,#N/A,TRUE,"Y능력";#N/A,#N/A,TRUE,"YKD"}</definedName>
    <definedName name="분기별" localSheetId="18" hidden="1">{#N/A,#N/A,TRUE,"Y생산";#N/A,#N/A,TRUE,"Y판매";#N/A,#N/A,TRUE,"Y총물량";#N/A,#N/A,TRUE,"Y능력";#N/A,#N/A,TRUE,"YKD"}</definedName>
    <definedName name="분기별" localSheetId="24" hidden="1">{#N/A,#N/A,TRUE,"Y생산";#N/A,#N/A,TRUE,"Y판매";#N/A,#N/A,TRUE,"Y총물량";#N/A,#N/A,TRUE,"Y능력";#N/A,#N/A,TRUE,"YKD"}</definedName>
    <definedName name="분기별" hidden="1">{#N/A,#N/A,TRUE,"Y생산";#N/A,#N/A,TRUE,"Y판매";#N/A,#N/A,TRUE,"Y총물량";#N/A,#N/A,TRUE,"Y능력";#N/A,#N/A,TRUE,"YKD"}</definedName>
    <definedName name="분기별_1" localSheetId="23" hidden="1">{#N/A,#N/A,TRUE,"Y생산";#N/A,#N/A,TRUE,"Y판매";#N/A,#N/A,TRUE,"Y총물량";#N/A,#N/A,TRUE,"Y능력";#N/A,#N/A,TRUE,"YKD"}</definedName>
    <definedName name="분기별_1" localSheetId="18" hidden="1">{#N/A,#N/A,TRUE,"Y생산";#N/A,#N/A,TRUE,"Y판매";#N/A,#N/A,TRUE,"Y총물량";#N/A,#N/A,TRUE,"Y능력";#N/A,#N/A,TRUE,"YKD"}</definedName>
    <definedName name="분기별_1" localSheetId="24" hidden="1">{#N/A,#N/A,TRUE,"Y생산";#N/A,#N/A,TRUE,"Y판매";#N/A,#N/A,TRUE,"Y총물량";#N/A,#N/A,TRUE,"Y능력";#N/A,#N/A,TRUE,"YKD"}</definedName>
    <definedName name="분기별_1" hidden="1">{#N/A,#N/A,TRUE,"Y생산";#N/A,#N/A,TRUE,"Y판매";#N/A,#N/A,TRUE,"Y총물량";#N/A,#N/A,TRUE,"Y능력";#N/A,#N/A,TRUE,"YKD"}</definedName>
    <definedName name="분당협조" localSheetId="23" hidden="1">{#N/A,#N/A,FALSE,"이태원철근"}</definedName>
    <definedName name="분당협조" localSheetId="18" hidden="1">{#N/A,#N/A,FALSE,"이태원철근"}</definedName>
    <definedName name="분당협조" localSheetId="24" hidden="1">{#N/A,#N/A,FALSE,"이태원철근"}</definedName>
    <definedName name="분당협조" hidden="1">{#N/A,#N/A,FALSE,"이태원철근"}</definedName>
    <definedName name="분류버전" localSheetId="23" hidden="1">{"'PROFORMA'!$A$1:$H$120"}</definedName>
    <definedName name="분류버전" localSheetId="18" hidden="1">{"'PROFORMA'!$A$1:$H$120"}</definedName>
    <definedName name="분류버전" localSheetId="24" hidden="1">{"'PROFORMA'!$A$1:$H$120"}</definedName>
    <definedName name="분류버전" hidden="1">{"'PROFORMA'!$A$1:$H$120"}</definedName>
    <definedName name="분야"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3" hidden="1">{"'표지'!$E$8"}</definedName>
    <definedName name="분양가조견표2" localSheetId="18" hidden="1">{"'표지'!$E$8"}</definedName>
    <definedName name="분양가조견표2" localSheetId="24" hidden="1">{"'표지'!$E$8"}</definedName>
    <definedName name="분양가조견표2" hidden="1">{"'표지'!$E$8"}</definedName>
    <definedName name="분양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3" hidden="1">{#N/A,#N/A,FALSE,"동부"}</definedName>
    <definedName name="비" localSheetId="18" hidden="1">{#N/A,#N/A,FALSE,"동부"}</definedName>
    <definedName name="비" localSheetId="24" hidden="1">{#N/A,#N/A,FALSE,"동부"}</definedName>
    <definedName name="비" hidden="1">{#N/A,#N/A,FALSE,"동부"}</definedName>
    <definedName name="비교" localSheetId="23" hidden="1">{#N/A,#N/A,FALSE,"이력서&amp;자기소개서"}</definedName>
    <definedName name="비교" localSheetId="18" hidden="1">{#N/A,#N/A,FALSE,"이력서&amp;자기소개서"}</definedName>
    <definedName name="비교" localSheetId="24" hidden="1">{#N/A,#N/A,FALSE,"이력서&amp;자기소개서"}</definedName>
    <definedName name="비교" hidden="1">{#N/A,#N/A,FALSE,"이력서&amp;자기소개서"}</definedName>
    <definedName name="비교표" localSheetId="23" hidden="1">{"'용역비'!$A$4:$C$8"}</definedName>
    <definedName name="비교표" localSheetId="18" hidden="1">{"'용역비'!$A$4:$C$8"}</definedName>
    <definedName name="비교표" localSheetId="24" hidden="1">{"'용역비'!$A$4:$C$8"}</definedName>
    <definedName name="비교표" hidden="1">{"'용역비'!$A$4:$C$8"}</definedName>
    <definedName name="비용" localSheetId="23" hidden="1">{"'용역비'!$A$4:$C$8"}</definedName>
    <definedName name="비용" localSheetId="18" hidden="1">{"'용역비'!$A$4:$C$8"}</definedName>
    <definedName name="비용" localSheetId="24" hidden="1">{"'용역비'!$A$4:$C$8"}</definedName>
    <definedName name="비용" hidden="1">{"'용역비'!$A$4:$C$8"}</definedName>
    <definedName name="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3" hidden="1">{#N/A,#N/A,FALSE,"동부"}</definedName>
    <definedName name="빌" localSheetId="18" hidden="1">{#N/A,#N/A,FALSE,"동부"}</definedName>
    <definedName name="빌" localSheetId="24" hidden="1">{#N/A,#N/A,FALSE,"동부"}</definedName>
    <definedName name="빌" hidden="1">{#N/A,#N/A,FALSE,"동부"}</definedName>
    <definedName name="빌딩" localSheetId="23" hidden="1">{#N/A,#N/A,FALSE,"동부"}</definedName>
    <definedName name="빌딩" localSheetId="18" hidden="1">{#N/A,#N/A,FALSE,"동부"}</definedName>
    <definedName name="빌딩" localSheetId="24" hidden="1">{#N/A,#N/A,FALSE,"동부"}</definedName>
    <definedName name="빌딩" hidden="1">{#N/A,#N/A,FALSE,"동부"}</definedName>
    <definedName name="빌딩2" localSheetId="23" hidden="1">{#N/A,#N/A,FALSE,"동부"}</definedName>
    <definedName name="빌딩2" localSheetId="18" hidden="1">{#N/A,#N/A,FALSE,"동부"}</definedName>
    <definedName name="빌딩2" localSheetId="24" hidden="1">{#N/A,#N/A,FALSE,"동부"}</definedName>
    <definedName name="빌딩2" hidden="1">{#N/A,#N/A,FALSE,"동부"}</definedName>
    <definedName name="빌딩3" localSheetId="23" hidden="1">{#N/A,#N/A,FALSE,"동부"}</definedName>
    <definedName name="빌딩3" localSheetId="18" hidden="1">{#N/A,#N/A,FALSE,"동부"}</definedName>
    <definedName name="빌딩3" localSheetId="24" hidden="1">{#N/A,#N/A,FALSE,"동부"}</definedName>
    <definedName name="빌딩3" hidden="1">{#N/A,#N/A,FALSE,"동부"}</definedName>
    <definedName name="빌딩별2" localSheetId="23" hidden="1">{#N/A,#N/A,FALSE,"동부"}</definedName>
    <definedName name="빌딩별2" localSheetId="18" hidden="1">{#N/A,#N/A,FALSE,"동부"}</definedName>
    <definedName name="빌딩별2" localSheetId="24" hidden="1">{#N/A,#N/A,FALSE,"동부"}</definedName>
    <definedName name="빌딩별2" hidden="1">{#N/A,#N/A,FALSE,"동부"}</definedName>
    <definedName name="빌딩별강남" localSheetId="23" hidden="1">{#N/A,#N/A,FALSE,"동부"}</definedName>
    <definedName name="빌딩별강남" localSheetId="18" hidden="1">{#N/A,#N/A,FALSE,"동부"}</definedName>
    <definedName name="빌딩별강남" localSheetId="24" hidden="1">{#N/A,#N/A,FALSE,"동부"}</definedName>
    <definedName name="빌딩별강남" hidden="1">{#N/A,#N/A,FALSE,"동부"}</definedName>
    <definedName name="빙" localSheetId="23" hidden="1">{#N/A,#N/A,FALSE,"견적갑지";#N/A,#N/A,FALSE,"총괄표";#N/A,#N/A,FALSE,"철골공사";#N/A,#N/A,FALSE,"토목공사";#N/A,#N/A,FALSE,"판넬전기공사"}</definedName>
    <definedName name="빙" localSheetId="18" hidden="1">{#N/A,#N/A,FALSE,"견적갑지";#N/A,#N/A,FALSE,"총괄표";#N/A,#N/A,FALSE,"철골공사";#N/A,#N/A,FALSE,"토목공사";#N/A,#N/A,FALSE,"판넬전기공사"}</definedName>
    <definedName name="빙" localSheetId="24"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3" hidden="1">{#N/A,#N/A,FALSE,"1.CRITERIA";#N/A,#N/A,FALSE,"2.IS";#N/A,#N/A,FALSE,"3.BS";#N/A,#N/A,FALSE,"4.PER PL";#N/A,#N/A,FALSE,"5.INVESTMENT";#N/A,#N/A,FALSE,"6.공문";#N/A,#N/A,FALSE,"7.netinvest"}</definedName>
    <definedName name="빙수" localSheetId="18" hidden="1">{#N/A,#N/A,FALSE,"1.CRITERIA";#N/A,#N/A,FALSE,"2.IS";#N/A,#N/A,FALSE,"3.BS";#N/A,#N/A,FALSE,"4.PER PL";#N/A,#N/A,FALSE,"5.INVESTMENT";#N/A,#N/A,FALSE,"6.공문";#N/A,#N/A,FALSE,"7.netinvest"}</definedName>
    <definedName name="빙수" localSheetId="24"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3" hidden="1">{#N/A,#N/A,FALSE,"견적갑지";#N/A,#N/A,FALSE,"총괄표";#N/A,#N/A,FALSE,"철골공사";#N/A,#N/A,FALSE,"토목공사";#N/A,#N/A,FALSE,"판넬전기공사"}</definedName>
    <definedName name="빙추" localSheetId="18" hidden="1">{#N/A,#N/A,FALSE,"견적갑지";#N/A,#N/A,FALSE,"총괄표";#N/A,#N/A,FALSE,"철골공사";#N/A,#N/A,FALSE,"토목공사";#N/A,#N/A,FALSE,"판넬전기공사"}</definedName>
    <definedName name="빙추" localSheetId="24"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3" hidden="1">{#N/A,#N/A,FALSE,"견적갑지";#N/A,#N/A,FALSE,"총괄표";#N/A,#N/A,FALSE,"철골공사";#N/A,#N/A,FALSE,"토목공사";#N/A,#N/A,FALSE,"판넬전기공사"}</definedName>
    <definedName name="빙축열" localSheetId="18"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3" hidden="1">{#N/A,#N/A,FALSE,"견적갑지";#N/A,#N/A,FALSE,"총괄표";#N/A,#N/A,FALSE,"철골공사";#N/A,#N/A,FALSE,"토목공사";#N/A,#N/A,FALSE,"판넬전기공사"}</definedName>
    <definedName name="빙축열주요자재" localSheetId="18"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3" hidden="1">{#N/A,#N/A,TRUE,"토적및재료집계";#N/A,#N/A,TRUE,"토적및재료집계";#N/A,#N/A,TRUE,"단위량"}</definedName>
    <definedName name="ㅅ" localSheetId="18" hidden="1">{#N/A,#N/A,TRUE,"토적및재료집계";#N/A,#N/A,TRUE,"토적및재료집계";#N/A,#N/A,TRUE,"단위량"}</definedName>
    <definedName name="ㅅ" localSheetId="24" hidden="1">{#N/A,#N/A,TRUE,"토적및재료집계";#N/A,#N/A,TRUE,"토적및재료집계";#N/A,#N/A,TRUE,"단위량"}</definedName>
    <definedName name="ㅅ" hidden="1">{#N/A,#N/A,TRUE,"토적및재료집계";#N/A,#N/A,TRUE,"토적및재료집계";#N/A,#N/A,TRUE,"단위량"}</definedName>
    <definedName name="ㅅㄱ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3" hidden="1">{#N/A,#N/A,FALSE,"동부"}</definedName>
    <definedName name="ㅅㄱㄷ" localSheetId="18" hidden="1">{#N/A,#N/A,FALSE,"동부"}</definedName>
    <definedName name="ㅅㄱㄷ" localSheetId="24" hidden="1">{#N/A,#N/A,FALSE,"동부"}</definedName>
    <definedName name="ㅅㄱㄷ" hidden="1">{#N/A,#N/A,FALSE,"동부"}</definedName>
    <definedName name="ㅅㄱㄷㅈㄹㅇ" localSheetId="23" hidden="1">{#N/A,#N/A,FALSE,"동부"}</definedName>
    <definedName name="ㅅㄱㄷㅈㄹㅇ" localSheetId="18" hidden="1">{#N/A,#N/A,FALSE,"동부"}</definedName>
    <definedName name="ㅅㄱㄷㅈㄹㅇ" localSheetId="24" hidden="1">{#N/A,#N/A,FALSE,"동부"}</definedName>
    <definedName name="ㅅㄱㄷㅈㄹㅇ" hidden="1">{#N/A,#N/A,FALSE,"동부"}</definedName>
    <definedName name="ㅅ교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3" hidden="1">{"AJD",#N/A,TRUE,"Summary";"AJD",#N/A,TRUE,"CFCONC-outputs";"AJD",#N/A,TRUE,"P&amp;LCONC-outputs";"AJD",#N/A,TRUE,"BSCONC-outputs";"AJD",#N/A,TRUE,"FSCONC-outputs"}</definedName>
    <definedName name="ㅅㄴㄹ" localSheetId="18" hidden="1">{"AJD",#N/A,TRUE,"Summary";"AJD",#N/A,TRUE,"CFCONC-outputs";"AJD",#N/A,TRUE,"P&amp;LCONC-outputs";"AJD",#N/A,TRUE,"BSCONC-outputs";"AJD",#N/A,TRUE,"FSCONC-outputs"}</definedName>
    <definedName name="ㅅㄴㄹ" localSheetId="24"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3" hidden="1">{"'7'!$B$15:$D$32"}</definedName>
    <definedName name="ㅅ마호" localSheetId="18" hidden="1">{"'7'!$B$15:$D$32"}</definedName>
    <definedName name="ㅅ마호" localSheetId="24" hidden="1">{"'7'!$B$15:$D$32"}</definedName>
    <definedName name="ㅅ마호" hidden="1">{"'7'!$B$15:$D$32"}</definedName>
    <definedName name="ㅅㅅㅅ" localSheetId="23" hidden="1">{"'손익현황'!$A$1:$J$29"}</definedName>
    <definedName name="ㅅㅅㅅ" localSheetId="18" hidden="1">{"'손익현황'!$A$1:$J$29"}</definedName>
    <definedName name="ㅅㅅㅅ" localSheetId="24" hidden="1">{"'손익현황'!$A$1:$J$29"}</definedName>
    <definedName name="ㅅㅅㅅ" hidden="1">{"'손익현황'!$A$1:$J$29"}</definedName>
    <definedName name="사" localSheetId="23" hidden="1">{#N/A,#N/A,FALSE,"지침";#N/A,#N/A,FALSE,"환경분석";#N/A,#N/A,FALSE,"Sheet16"}</definedName>
    <definedName name="사" localSheetId="18" hidden="1">{#N/A,#N/A,FALSE,"지침";#N/A,#N/A,FALSE,"환경분석";#N/A,#N/A,FALSE,"Sheet16"}</definedName>
    <definedName name="사" localSheetId="24" hidden="1">{#N/A,#N/A,FALSE,"지침";#N/A,#N/A,FALSE,"환경분석";#N/A,#N/A,FALSE,"Sheet16"}</definedName>
    <definedName name="사" hidden="1">{#N/A,#N/A,FALSE,"지침";#N/A,#N/A,FALSE,"환경분석";#N/A,#N/A,FALSE,"Sheet16"}</definedName>
    <definedName name="사1" localSheetId="23" hidden="1">{#N/A,#N/A,FALSE,"지침";#N/A,#N/A,FALSE,"환경분석";#N/A,#N/A,FALSE,"Sheet16"}</definedName>
    <definedName name="사1" localSheetId="18" hidden="1">{#N/A,#N/A,FALSE,"지침";#N/A,#N/A,FALSE,"환경분석";#N/A,#N/A,FALSE,"Sheet16"}</definedName>
    <definedName name="사1" localSheetId="24" hidden="1">{#N/A,#N/A,FALSE,"지침";#N/A,#N/A,FALSE,"환경분석";#N/A,#N/A,FALSE,"Sheet16"}</definedName>
    <definedName name="사1" hidden="1">{#N/A,#N/A,FALSE,"지침";#N/A,#N/A,FALSE,"환경분석";#N/A,#N/A,FALSE,"Sheet16"}</definedName>
    <definedName name="사랑"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3" hidden="1">{#N/A,#N/A,FALSE,"견적갑지";#N/A,#N/A,FALSE,"총괄표";#N/A,#N/A,FALSE,"철골공사";#N/A,#N/A,FALSE,"토목공사";#N/A,#N/A,FALSE,"판넬전기공사"}</definedName>
    <definedName name="사사삿" localSheetId="18" hidden="1">{#N/A,#N/A,FALSE,"견적갑지";#N/A,#N/A,FALSE,"총괄표";#N/A,#N/A,FALSE,"철골공사";#N/A,#N/A,FALSE,"토목공사";#N/A,#N/A,FALSE,"판넬전기공사"}</definedName>
    <definedName name="사사삿" localSheetId="24"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3" hidden="1">{"'표지'!$E$8"}</definedName>
    <definedName name="사업수지표1" localSheetId="18" hidden="1">{"'표지'!$E$8"}</definedName>
    <definedName name="사업수지표1" localSheetId="24" hidden="1">{"'표지'!$E$8"}</definedName>
    <definedName name="사업수지표1" hidden="1">{"'표지'!$E$8"}</definedName>
    <definedName name="사옥보수" localSheetId="23" hidden="1">{#N/A,#N/A,FALSE,"97년 투자계획 세부내역 "}</definedName>
    <definedName name="사옥보수" localSheetId="18" hidden="1">{#N/A,#N/A,FALSE,"97년 투자계획 세부내역 "}</definedName>
    <definedName name="사옥보수" localSheetId="24" hidden="1">{#N/A,#N/A,FALSE,"97년 투자계획 세부내역 "}</definedName>
    <definedName name="사옥보수" hidden="1">{#N/A,#N/A,FALSE,"97년 투자계획 세부내역 "}</definedName>
    <definedName name="사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3" hidden="1">{#N/A,#N/A,FALSE,"1.CRITERIA";#N/A,#N/A,FALSE,"2.IS";#N/A,#N/A,FALSE,"3.BS";#N/A,#N/A,FALSE,"4.PER PL";#N/A,#N/A,FALSE,"5.INVESTMENT";#N/A,#N/A,FALSE,"6.공문";#N/A,#N/A,FALSE,"7.netinvest"}</definedName>
    <definedName name="사원미지급" localSheetId="18" hidden="1">{#N/A,#N/A,FALSE,"1.CRITERIA";#N/A,#N/A,FALSE,"2.IS";#N/A,#N/A,FALSE,"3.BS";#N/A,#N/A,FALSE,"4.PER PL";#N/A,#N/A,FALSE,"5.INVESTMENT";#N/A,#N/A,FALSE,"6.공문";#N/A,#N/A,FALSE,"7.netinvest"}</definedName>
    <definedName name="사원미지급" localSheetId="24"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3" hidden="1">{"'7'!$B$15:$D$32"}</definedName>
    <definedName name="사원추가합격자" localSheetId="18" hidden="1">{"'7'!$B$15:$D$32"}</definedName>
    <definedName name="사원추가합격자" localSheetId="24" hidden="1">{"'7'!$B$15:$D$32"}</definedName>
    <definedName name="사원추가합격자" hidden="1">{"'7'!$B$15:$D$32"}</definedName>
    <definedName name="写真2" localSheetId="23" hidden="1">{"MonthlyRentRoll",#N/A,FALSE,"RentRoll"}</definedName>
    <definedName name="写真2" localSheetId="18" hidden="1">{"MonthlyRentRoll",#N/A,FALSE,"RentRoll"}</definedName>
    <definedName name="写真2" localSheetId="24" hidden="1">{"MonthlyRentRoll",#N/A,FALSE,"RentRoll"}</definedName>
    <definedName name="写真2" hidden="1">{"MonthlyRentRoll",#N/A,FALSE,"RentRoll"}</definedName>
    <definedName name="삭제" localSheetId="23" hidden="1">{#N/A,#N/A,FALSE,"이력서&amp;자기소개서"}</definedName>
    <definedName name="삭제" localSheetId="18" hidden="1">{#N/A,#N/A,FALSE,"이력서&amp;자기소개서"}</definedName>
    <definedName name="삭제" localSheetId="24" hidden="1">{#N/A,#N/A,FALSE,"이력서&amp;자기소개서"}</definedName>
    <definedName name="삭제" hidden="1">{#N/A,#N/A,FALSE,"이력서&amp;자기소개서"}</definedName>
    <definedName name="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3" hidden="1">{#N/A,#N/A,FALSE,"１";#N/A,#N/A,FALSE,"２";#N/A,#N/A,FALSE,"３";#N/A,#N/A,FALSE,"４"}</definedName>
    <definedName name="三茶１０１７" localSheetId="18" hidden="1">{#N/A,#N/A,FALSE,"１";#N/A,#N/A,FALSE,"２";#N/A,#N/A,FALSE,"３";#N/A,#N/A,FALSE,"４"}</definedName>
    <definedName name="三茶１０１７" localSheetId="24" hidden="1">{#N/A,#N/A,FALSE,"１";#N/A,#N/A,FALSE,"２";#N/A,#N/A,FALSE,"３";#N/A,#N/A,FALSE,"４"}</definedName>
    <definedName name="三茶１０１７" hidden="1">{#N/A,#N/A,FALSE,"１";#N/A,#N/A,FALSE,"２";#N/A,#N/A,FALSE,"３";#N/A,#N/A,FALSE,"４"}</definedName>
    <definedName name="三茶PK1017" localSheetId="23" hidden="1">{"Actual",#N/A,FALSE,"(価格)";"Market",#N/A,FALSE,"(価格)";"Plan",#N/A,FALSE,"(価格)"}</definedName>
    <definedName name="三茶PK1017" localSheetId="18" hidden="1">{"Actual",#N/A,FALSE,"(価格)";"Market",#N/A,FALSE,"(価格)";"Plan",#N/A,FALSE,"(価格)"}</definedName>
    <definedName name="三茶PK1017" localSheetId="24" hidden="1">{"Actual",#N/A,FALSE,"(価格)";"Market",#N/A,FALSE,"(価格)";"Plan",#N/A,FALSE,"(価格)"}</definedName>
    <definedName name="三茶PK1017" hidden="1">{"Actual",#N/A,FALSE,"(価格)";"Market",#N/A,FALSE,"(価格)";"Plan",#N/A,FALSE,"(価格)"}</definedName>
    <definedName name="삼호" localSheetId="23" hidden="1">{"'7'!$B$15:$D$32"}</definedName>
    <definedName name="삼호" localSheetId="18" hidden="1">{"'7'!$B$15:$D$32"}</definedName>
    <definedName name="삼호" localSheetId="24" hidden="1">{"'7'!$B$15:$D$32"}</definedName>
    <definedName name="삼호" hidden="1">{"'7'!$B$15:$D$32"}</definedName>
    <definedName name="상각"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3" hidden="1">{#N/A,#N/A,FALSE,"CAM-G7";#N/A,#N/A,FALSE,"SPL";#N/A,#N/A,FALSE,"butt-in G7";#N/A,#N/A,FALSE,"dia-in G7";#N/A,#N/A,FALSE,"추가-STA G7"}</definedName>
    <definedName name="상관D교" localSheetId="18" hidden="1">{#N/A,#N/A,FALSE,"CAM-G7";#N/A,#N/A,FALSE,"SPL";#N/A,#N/A,FALSE,"butt-in G7";#N/A,#N/A,FALSE,"dia-in G7";#N/A,#N/A,FALSE,"추가-STA G7"}</definedName>
    <definedName name="상관D교" localSheetId="24" hidden="1">{#N/A,#N/A,FALSE,"CAM-G7";#N/A,#N/A,FALSE,"SPL";#N/A,#N/A,FALSE,"butt-in G7";#N/A,#N/A,FALSE,"dia-in G7";#N/A,#N/A,FALSE,"추가-STA G7"}</definedName>
    <definedName name="상관D교" hidden="1">{#N/A,#N/A,FALSE,"CAM-G7";#N/A,#N/A,FALSE,"SPL";#N/A,#N/A,FALSE,"butt-in G7";#N/A,#N/A,FALSE,"dia-in G7";#N/A,#N/A,FALSE,"추가-STA G7"}</definedName>
    <definedName name="상권" localSheetId="23" hidden="1">{"'7'!$B$15:$D$32"}</definedName>
    <definedName name="상권" localSheetId="18" hidden="1">{"'7'!$B$15:$D$32"}</definedName>
    <definedName name="상권" localSheetId="24" hidden="1">{"'7'!$B$15:$D$32"}</definedName>
    <definedName name="상권" hidden="1">{"'7'!$B$15:$D$32"}</definedName>
    <definedName name="상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3" hidden="1">{#N/A,#N/A,TRUE,"대 차 대 조 표"}</definedName>
    <definedName name="상암" localSheetId="18" hidden="1">{#N/A,#N/A,TRUE,"대 차 대 조 표"}</definedName>
    <definedName name="상암" localSheetId="24" hidden="1">{#N/A,#N/A,TRUE,"대 차 대 조 표"}</definedName>
    <definedName name="상암" hidden="1">{#N/A,#N/A,TRUE,"대 차 대 조 표"}</definedName>
    <definedName name="새새샛" localSheetId="23" hidden="1">{"'미착금액'!$A$4:$G$14"}</definedName>
    <definedName name="새새샛" localSheetId="18" hidden="1">{"'미착금액'!$A$4:$G$14"}</definedName>
    <definedName name="새새샛" localSheetId="24" hidden="1">{"'미착금액'!$A$4:$G$14"}</definedName>
    <definedName name="새새샛" hidden="1">{"'미착금액'!$A$4:$G$14"}</definedName>
    <definedName name="생산관리부" localSheetId="23" hidden="1">{#N/A,#N/A,FALSE,"단축1";#N/A,#N/A,FALSE,"단축2";#N/A,#N/A,FALSE,"단축3";#N/A,#N/A,FALSE,"장축";#N/A,#N/A,FALSE,"4WD"}</definedName>
    <definedName name="생산관리부" localSheetId="18" hidden="1">{#N/A,#N/A,FALSE,"단축1";#N/A,#N/A,FALSE,"단축2";#N/A,#N/A,FALSE,"단축3";#N/A,#N/A,FALSE,"장축";#N/A,#N/A,FALSE,"4WD"}</definedName>
    <definedName name="생산관리부" localSheetId="24" hidden="1">{#N/A,#N/A,FALSE,"단축1";#N/A,#N/A,FALSE,"단축2";#N/A,#N/A,FALSE,"단축3";#N/A,#N/A,FALSE,"장축";#N/A,#N/A,FALSE,"4WD"}</definedName>
    <definedName name="생산관리부" hidden="1">{#N/A,#N/A,FALSE,"단축1";#N/A,#N/A,FALSE,"단축2";#N/A,#N/A,FALSE,"단축3";#N/A,#N/A,FALSE,"장축";#N/A,#N/A,FALSE,"4WD"}</definedName>
    <definedName name="생활동" localSheetId="23" hidden="1">{#N/A,#N/A,TRUE,"대 차 대 조 표"}</definedName>
    <definedName name="생활동" localSheetId="18" hidden="1">{#N/A,#N/A,TRUE,"대 차 대 조 표"}</definedName>
    <definedName name="생활동" localSheetId="24" hidden="1">{#N/A,#N/A,TRUE,"대 차 대 조 표"}</definedName>
    <definedName name="생활동" hidden="1">{#N/A,#N/A,TRUE,"대 차 대 조 표"}</definedName>
    <definedName name="서" localSheetId="23" hidden="1">{#N/A,#N/A,FALSE,"동부"}</definedName>
    <definedName name="서" localSheetId="18" hidden="1">{#N/A,#N/A,FALSE,"동부"}</definedName>
    <definedName name="서" localSheetId="24" hidden="1">{#N/A,#N/A,FALSE,"동부"}</definedName>
    <definedName name="서" hidden="1">{#N/A,#N/A,FALSE,"동부"}</definedName>
    <definedName name="서부간선" localSheetId="23" hidden="1">{#N/A,#N/A,FALSE,"CAM-G7";#N/A,#N/A,FALSE,"SPL";#N/A,#N/A,FALSE,"butt-in G7";#N/A,#N/A,FALSE,"dia-in G7";#N/A,#N/A,FALSE,"추가-STA G7"}</definedName>
    <definedName name="서부간선" localSheetId="18" hidden="1">{#N/A,#N/A,FALSE,"CAM-G7";#N/A,#N/A,FALSE,"SPL";#N/A,#N/A,FALSE,"butt-in G7";#N/A,#N/A,FALSE,"dia-in G7";#N/A,#N/A,FALSE,"추가-STA G7"}</definedName>
    <definedName name="서부간선" localSheetId="24" hidden="1">{#N/A,#N/A,FALSE,"CAM-G7";#N/A,#N/A,FALSE,"SPL";#N/A,#N/A,FALSE,"butt-in G7";#N/A,#N/A,FALSE,"dia-in G7";#N/A,#N/A,FALSE,"추가-STA G7"}</definedName>
    <definedName name="서부간선" hidden="1">{#N/A,#N/A,FALSE,"CAM-G7";#N/A,#N/A,FALSE,"SPL";#N/A,#N/A,FALSE,"butt-in G7";#N/A,#N/A,FALSE,"dia-in G7";#N/A,#N/A,FALSE,"추가-STA G7"}</definedName>
    <definedName name="서영태" localSheetId="23" hidden="1">{#N/A,#N/A,TRUE,"Y생산";#N/A,#N/A,TRUE,"Y판매";#N/A,#N/A,TRUE,"Y총물량";#N/A,#N/A,TRUE,"Y능력";#N/A,#N/A,TRUE,"YKD"}</definedName>
    <definedName name="서영태" localSheetId="18" hidden="1">{#N/A,#N/A,TRUE,"Y생산";#N/A,#N/A,TRUE,"Y판매";#N/A,#N/A,TRUE,"Y총물량";#N/A,#N/A,TRUE,"Y능력";#N/A,#N/A,TRUE,"YKD"}</definedName>
    <definedName name="서영태" localSheetId="24" hidden="1">{#N/A,#N/A,TRUE,"Y생산";#N/A,#N/A,TRUE,"Y판매";#N/A,#N/A,TRUE,"Y총물량";#N/A,#N/A,TRUE,"Y능력";#N/A,#N/A,TRUE,"YKD"}</definedName>
    <definedName name="서영태" hidden="1">{#N/A,#N/A,TRUE,"Y생산";#N/A,#N/A,TRUE,"Y판매";#N/A,#N/A,TRUE,"Y총물량";#N/A,#N/A,TRUE,"Y능력";#N/A,#N/A,TRUE,"YKD"}</definedName>
    <definedName name="서영태_1" localSheetId="23" hidden="1">{#N/A,#N/A,TRUE,"Y생산";#N/A,#N/A,TRUE,"Y판매";#N/A,#N/A,TRUE,"Y총물량";#N/A,#N/A,TRUE,"Y능력";#N/A,#N/A,TRUE,"YKD"}</definedName>
    <definedName name="서영태_1" localSheetId="18" hidden="1">{#N/A,#N/A,TRUE,"Y생산";#N/A,#N/A,TRUE,"Y판매";#N/A,#N/A,TRUE,"Y총물량";#N/A,#N/A,TRUE,"Y능력";#N/A,#N/A,TRUE,"YKD"}</definedName>
    <definedName name="서영태_1" localSheetId="24" hidden="1">{#N/A,#N/A,TRUE,"Y생산";#N/A,#N/A,TRUE,"Y판매";#N/A,#N/A,TRUE,"Y총물량";#N/A,#N/A,TRUE,"Y능력";#N/A,#N/A,TRUE,"YKD"}</definedName>
    <definedName name="서영태_1" hidden="1">{#N/A,#N/A,TRUE,"Y생산";#N/A,#N/A,TRUE,"Y판매";#N/A,#N/A,TRUE,"Y총물량";#N/A,#N/A,TRUE,"Y능력";#N/A,#N/A,TRUE,"YKD"}</definedName>
    <definedName name="서울" localSheetId="23" hidden="1">{#N/A,#N/A,FALSE,"97년 투자계획 세부내역 "}</definedName>
    <definedName name="서울" localSheetId="18" hidden="1">{#N/A,#N/A,FALSE,"97년 투자계획 세부내역 "}</definedName>
    <definedName name="서울" localSheetId="24" hidden="1">{#N/A,#N/A,FALSE,"97년 투자계획 세부내역 "}</definedName>
    <definedName name="서울" hidden="1">{#N/A,#N/A,FALSE,"97년 투자계획 세부내역 "}</definedName>
    <definedName name="서이" localSheetId="23" hidden="1">{#N/A,#N/A,FALSE,"1.CRITERIA";#N/A,#N/A,FALSE,"2.IS";#N/A,#N/A,FALSE,"3.BS";#N/A,#N/A,FALSE,"4.PER PL";#N/A,#N/A,FALSE,"5.INVESTMENT";#N/A,#N/A,FALSE,"6.공문";#N/A,#N/A,FALSE,"7.netinvest"}</definedName>
    <definedName name="서이" localSheetId="18" hidden="1">{#N/A,#N/A,FALSE,"1.CRITERIA";#N/A,#N/A,FALSE,"2.IS";#N/A,#N/A,FALSE,"3.BS";#N/A,#N/A,FALSE,"4.PER PL";#N/A,#N/A,FALSE,"5.INVESTMENT";#N/A,#N/A,FALSE,"6.공문";#N/A,#N/A,FALSE,"7.netinvest"}</definedName>
    <definedName name="서이" localSheetId="24"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3" hidden="1">{#N/A,#N/A,TRUE,"대 차 대 조 표"}</definedName>
    <definedName name="서초" localSheetId="18" hidden="1">{#N/A,#N/A,TRUE,"대 차 대 조 표"}</definedName>
    <definedName name="서초" localSheetId="24" hidden="1">{#N/A,#N/A,TRUE,"대 차 대 조 표"}</definedName>
    <definedName name="서초" hidden="1">{#N/A,#N/A,TRUE,"대 차 대 조 표"}</definedName>
    <definedName name="서초_1" localSheetId="23" hidden="1">{#N/A,#N/A,TRUE,"대 차 대 조 표"}</definedName>
    <definedName name="서초_1" localSheetId="18" hidden="1">{#N/A,#N/A,TRUE,"대 차 대 조 표"}</definedName>
    <definedName name="서초_1" localSheetId="24" hidden="1">{#N/A,#N/A,TRUE,"대 차 대 조 표"}</definedName>
    <definedName name="서초_1" hidden="1">{#N/A,#N/A,TRUE,"대 차 대 조 표"}</definedName>
    <definedName name="서초2" localSheetId="23" hidden="1">{#N/A,#N/A,TRUE,"대 차 대 조 표"}</definedName>
    <definedName name="서초2" localSheetId="18" hidden="1">{#N/A,#N/A,TRUE,"대 차 대 조 표"}</definedName>
    <definedName name="서초2" localSheetId="24" hidden="1">{#N/A,#N/A,TRUE,"대 차 대 조 표"}</definedName>
    <definedName name="서초2" hidden="1">{#N/A,#N/A,TRUE,"대 차 대 조 표"}</definedName>
    <definedName name="서초2_1" localSheetId="23" hidden="1">{#N/A,#N/A,TRUE,"대 차 대 조 표"}</definedName>
    <definedName name="서초2_1" localSheetId="18" hidden="1">{#N/A,#N/A,TRUE,"대 차 대 조 표"}</definedName>
    <definedName name="서초2_1" localSheetId="24" hidden="1">{#N/A,#N/A,TRUE,"대 차 대 조 표"}</definedName>
    <definedName name="서초2_1" hidden="1">{#N/A,#N/A,TRUE,"대 차 대 조 표"}</definedName>
    <definedName name="서초해동" localSheetId="23" hidden="1">{#N/A,#N/A,TRUE,"대 차 대 조 표"}</definedName>
    <definedName name="서초해동" localSheetId="18" hidden="1">{#N/A,#N/A,TRUE,"대 차 대 조 표"}</definedName>
    <definedName name="서초해동" localSheetId="24" hidden="1">{#N/A,#N/A,TRUE,"대 차 대 조 표"}</definedName>
    <definedName name="서초해동" hidden="1">{#N/A,#N/A,TRUE,"대 차 대 조 표"}</definedName>
    <definedName name="서초해동_1" localSheetId="23" hidden="1">{#N/A,#N/A,TRUE,"대 차 대 조 표"}</definedName>
    <definedName name="서초해동_1" localSheetId="18" hidden="1">{#N/A,#N/A,TRUE,"대 차 대 조 표"}</definedName>
    <definedName name="서초해동_1" localSheetId="24" hidden="1">{#N/A,#N/A,TRUE,"대 차 대 조 표"}</definedName>
    <definedName name="서초해동_1" hidden="1">{#N/A,#N/A,TRUE,"대 차 대 조 표"}</definedName>
    <definedName name="서해" localSheetId="23" hidden="1">{#N/A,#N/A,TRUE,"대 차 대 조 표"}</definedName>
    <definedName name="서해" localSheetId="18" hidden="1">{#N/A,#N/A,TRUE,"대 차 대 조 표"}</definedName>
    <definedName name="서해" localSheetId="24" hidden="1">{#N/A,#N/A,TRUE,"대 차 대 조 표"}</definedName>
    <definedName name="서해" hidden="1">{#N/A,#N/A,TRUE,"대 차 대 조 표"}</definedName>
    <definedName name="선급금" localSheetId="23" hidden="1">{#N/A,#N/A,FALSE,"1.CRITERIA";#N/A,#N/A,FALSE,"2.IS";#N/A,#N/A,FALSE,"3.BS";#N/A,#N/A,FALSE,"4.PER PL";#N/A,#N/A,FALSE,"5.INVESTMENT";#N/A,#N/A,FALSE,"6.공문";#N/A,#N/A,FALSE,"7.netinvest"}</definedName>
    <definedName name="선급금" localSheetId="18" hidden="1">{#N/A,#N/A,FALSE,"1.CRITERIA";#N/A,#N/A,FALSE,"2.IS";#N/A,#N/A,FALSE,"3.BS";#N/A,#N/A,FALSE,"4.PER PL";#N/A,#N/A,FALSE,"5.INVESTMENT";#N/A,#N/A,FALSE,"6.공문";#N/A,#N/A,FALSE,"7.netinvest"}</definedName>
    <definedName name="선급금" localSheetId="24"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3" hidden="1">{#N/A,#N/A,FALSE,"견적갑지";#N/A,#N/A,FALSE,"총괄표";#N/A,#N/A,FALSE,"철골공사";#N/A,#N/A,FALSE,"토목공사";#N/A,#N/A,FALSE,"판넬전기공사"}</definedName>
    <definedName name="설비" localSheetId="18" hidden="1">{#N/A,#N/A,FALSE,"견적갑지";#N/A,#N/A,FALSE,"총괄표";#N/A,#N/A,FALSE,"철골공사";#N/A,#N/A,FALSE,"토목공사";#N/A,#N/A,FALSE,"판넬전기공사"}</definedName>
    <definedName name="설비" localSheetId="24"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3" hidden="1">{#N/A,#N/A,FALSE,"CCTV"}</definedName>
    <definedName name="성우" localSheetId="18" hidden="1">{#N/A,#N/A,FALSE,"CCTV"}</definedName>
    <definedName name="성우" localSheetId="24" hidden="1">{#N/A,#N/A,FALSE,"CCTV"}</definedName>
    <definedName name="성우" hidden="1">{#N/A,#N/A,FALSE,"CCTV"}</definedName>
    <definedName name="성원200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3" hidden="1">{#N/A,#N/A,TRUE,"Y생산";#N/A,#N/A,TRUE,"Y판매";#N/A,#N/A,TRUE,"Y총물량";#N/A,#N/A,TRUE,"Y능력";#N/A,#N/A,TRUE,"YKD"}</definedName>
    <definedName name="성화기업" localSheetId="18" hidden="1">{#N/A,#N/A,TRUE,"Y생산";#N/A,#N/A,TRUE,"Y판매";#N/A,#N/A,TRUE,"Y총물량";#N/A,#N/A,TRUE,"Y능력";#N/A,#N/A,TRUE,"YKD"}</definedName>
    <definedName name="성화기업" localSheetId="24" hidden="1">{#N/A,#N/A,TRUE,"Y생산";#N/A,#N/A,TRUE,"Y판매";#N/A,#N/A,TRUE,"Y총물량";#N/A,#N/A,TRUE,"Y능력";#N/A,#N/A,TRUE,"YKD"}</definedName>
    <definedName name="성화기업" hidden="1">{#N/A,#N/A,TRUE,"Y생산";#N/A,#N/A,TRUE,"Y판매";#N/A,#N/A,TRUE,"Y총물량";#N/A,#N/A,TRUE,"Y능력";#N/A,#N/A,TRUE,"YKD"}</definedName>
    <definedName name="성화내역서" localSheetId="23" hidden="1">{#N/A,#N/A,TRUE,"Y생산";#N/A,#N/A,TRUE,"Y판매";#N/A,#N/A,TRUE,"Y총물량";#N/A,#N/A,TRUE,"Y능력";#N/A,#N/A,TRUE,"YKD"}</definedName>
    <definedName name="성화내역서" localSheetId="18" hidden="1">{#N/A,#N/A,TRUE,"Y생산";#N/A,#N/A,TRUE,"Y판매";#N/A,#N/A,TRUE,"Y총물량";#N/A,#N/A,TRUE,"Y능력";#N/A,#N/A,TRUE,"YKD"}</definedName>
    <definedName name="성화내역서" localSheetId="24" hidden="1">{#N/A,#N/A,TRUE,"Y생산";#N/A,#N/A,TRUE,"Y판매";#N/A,#N/A,TRUE,"Y총물량";#N/A,#N/A,TRUE,"Y능력";#N/A,#N/A,TRUE,"YKD"}</definedName>
    <definedName name="성화내역서" hidden="1">{#N/A,#N/A,TRUE,"Y생산";#N/A,#N/A,TRUE,"Y판매";#N/A,#N/A,TRUE,"Y총물량";#N/A,#N/A,TRUE,"Y능력";#N/A,#N/A,TRUE,"YKD"}</definedName>
    <definedName name="세부내역2" localSheetId="23" hidden="1">{"'PROFORMA'!$A$1:$H$120"}</definedName>
    <definedName name="세부내역2" localSheetId="18" hidden="1">{"'PROFORMA'!$A$1:$H$120"}</definedName>
    <definedName name="세부내역2" localSheetId="24" hidden="1">{"'PROFORMA'!$A$1:$H$120"}</definedName>
    <definedName name="세부내역2" hidden="1">{"'PROFORMA'!$A$1:$H$120"}</definedName>
    <definedName name="세부내역서1" localSheetId="23" hidden="1">{#N/A,#N/A,TRUE,"대 차 대 조 표"}</definedName>
    <definedName name="세부내역서1" localSheetId="18" hidden="1">{#N/A,#N/A,TRUE,"대 차 대 조 표"}</definedName>
    <definedName name="세부내역서1" localSheetId="24" hidden="1">{#N/A,#N/A,TRUE,"대 차 대 조 표"}</definedName>
    <definedName name="세부내역서1" hidden="1">{#N/A,#N/A,TRUE,"대 차 대 조 표"}</definedName>
    <definedName name="세전" localSheetId="23" hidden="1">{#N/A,#N/A,FALSE,"지침";#N/A,#N/A,FALSE,"환경분석";#N/A,#N/A,FALSE,"Sheet16"}</definedName>
    <definedName name="세전" localSheetId="18" hidden="1">{#N/A,#N/A,FALSE,"지침";#N/A,#N/A,FALSE,"환경분석";#N/A,#N/A,FALSE,"Sheet16"}</definedName>
    <definedName name="세전" localSheetId="24" hidden="1">{#N/A,#N/A,FALSE,"지침";#N/A,#N/A,FALSE,"환경분석";#N/A,#N/A,FALSE,"Sheet16"}</definedName>
    <definedName name="세전" hidden="1">{#N/A,#N/A,FALSE,"지침";#N/A,#N/A,FALSE,"환경분석";#N/A,#N/A,FALSE,"Sheet16"}</definedName>
    <definedName name="세전익익" localSheetId="23" hidden="1">{#N/A,#N/A,FALSE,"지침";#N/A,#N/A,FALSE,"환경분석";#N/A,#N/A,FALSE,"Sheet16"}</definedName>
    <definedName name="세전익익" localSheetId="18" hidden="1">{#N/A,#N/A,FALSE,"지침";#N/A,#N/A,FALSE,"환경분석";#N/A,#N/A,FALSE,"Sheet16"}</definedName>
    <definedName name="세전익익" localSheetId="24" hidden="1">{#N/A,#N/A,FALSE,"지침";#N/A,#N/A,FALSE,"환경분석";#N/A,#N/A,FALSE,"Sheet16"}</definedName>
    <definedName name="세전익익" hidden="1">{#N/A,#N/A,FALSE,"지침";#N/A,#N/A,FALSE,"환경분석";#N/A,#N/A,FALSE,"Sheet16"}</definedName>
    <definedName name="小石川" localSheetId="23" hidden="1">{#N/A,#N/A,FALSE,"１";#N/A,#N/A,FALSE,"２";#N/A,#N/A,FALSE,"３";#N/A,#N/A,FALSE,"４"}</definedName>
    <definedName name="小石川" localSheetId="18" hidden="1">{#N/A,#N/A,FALSE,"１";#N/A,#N/A,FALSE,"２";#N/A,#N/A,FALSE,"３";#N/A,#N/A,FALSE,"４"}</definedName>
    <definedName name="小石川" localSheetId="24" hidden="1">{#N/A,#N/A,FALSE,"１";#N/A,#N/A,FALSE,"２";#N/A,#N/A,FALSE,"３";#N/A,#N/A,FALSE,"４"}</definedName>
    <definedName name="小石川" hidden="1">{#N/A,#N/A,FALSE,"１";#N/A,#N/A,FALSE,"２";#N/A,#N/A,FALSE,"３";#N/A,#N/A,FALSE,"４"}</definedName>
    <definedName name="소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3" hidden="1">{#N/A,#N/A,FALSE,"97년 투자계획 세부내역 "}</definedName>
    <definedName name="소유사옥" localSheetId="18" hidden="1">{#N/A,#N/A,FALSE,"97년 투자계획 세부내역 "}</definedName>
    <definedName name="소유사옥" localSheetId="24" hidden="1">{#N/A,#N/A,FALSE,"97년 투자계획 세부내역 "}</definedName>
    <definedName name="소유사옥" hidden="1">{#N/A,#N/A,FALSE,"97년 투자계획 세부내역 "}</definedName>
    <definedName name="소유사옥보수1" localSheetId="23" hidden="1">{#N/A,#N/A,FALSE,"97년 투자계획 세부내역 "}</definedName>
    <definedName name="소유사옥보수1" localSheetId="18" hidden="1">{#N/A,#N/A,FALSE,"97년 투자계획 세부내역 "}</definedName>
    <definedName name="소유사옥보수1" localSheetId="24" hidden="1">{#N/A,#N/A,FALSE,"97년 투자계획 세부내역 "}</definedName>
    <definedName name="소유사옥보수1" hidden="1">{#N/A,#N/A,FALSE,"97년 투자계획 세부내역 "}</definedName>
    <definedName name="소포장" localSheetId="23" hidden="1">{#N/A,#N/A,FALSE,"견적갑지";#N/A,#N/A,FALSE,"총괄표";#N/A,#N/A,FALSE,"철골공사";#N/A,#N/A,FALSE,"토목공사";#N/A,#N/A,FALSE,"판넬전기공사"}</definedName>
    <definedName name="소포장" localSheetId="18" hidden="1">{#N/A,#N/A,FALSE,"견적갑지";#N/A,#N/A,FALSE,"총괄표";#N/A,#N/A,FALSE,"철골공사";#N/A,#N/A,FALSE,"토목공사";#N/A,#N/A,FALSE,"판넬전기공사"}</definedName>
    <definedName name="소포장" localSheetId="24"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3" hidden="1">{#N/A,#N/A,FALSE,"견적갑지";#N/A,#N/A,FALSE,"총괄표";#N/A,#N/A,FALSE,"철골공사";#N/A,#N/A,FALSE,"토목공사";#N/A,#N/A,FALSE,"판넬전기공사"}</definedName>
    <definedName name="소포장설비" localSheetId="18"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3" hidden="1">{#N/A,#N/A,FALSE,"CCTV"}</definedName>
    <definedName name="소화갑지" localSheetId="18" hidden="1">{#N/A,#N/A,FALSE,"CCTV"}</definedName>
    <definedName name="소화갑지" localSheetId="24" hidden="1">{#N/A,#N/A,FALSE,"CCTV"}</definedName>
    <definedName name="소화갑지" hidden="1">{#N/A,#N/A,FALSE,"CCTV"}</definedName>
    <definedName name="손"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3" hidden="1">{#N/A,#N/A,FALSE,"1.CRITERIA";#N/A,#N/A,FALSE,"2.IS";#N/A,#N/A,FALSE,"3.BS";#N/A,#N/A,FALSE,"4.PER PL";#N/A,#N/A,FALSE,"5.INVESTMENT";#N/A,#N/A,FALSE,"6.공문";#N/A,#N/A,FALSE,"7.netinvest"}</definedName>
    <definedName name="손실" localSheetId="18" hidden="1">{#N/A,#N/A,FALSE,"1.CRITERIA";#N/A,#N/A,FALSE,"2.IS";#N/A,#N/A,FALSE,"3.BS";#N/A,#N/A,FALSE,"4.PER PL";#N/A,#N/A,FALSE,"5.INVESTMENT";#N/A,#N/A,FALSE,"6.공문";#N/A,#N/A,FALSE,"7.netinvest"}</definedName>
    <definedName name="손실" localSheetId="24"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3" hidden="1">{#N/A,#N/A,FALSE,"1.CRITERIA";#N/A,#N/A,FALSE,"2.IS";#N/A,#N/A,FALSE,"3.BS";#N/A,#N/A,FALSE,"4.PER PL";#N/A,#N/A,FALSE,"5.INVESTMENT";#N/A,#N/A,FALSE,"6.공문";#N/A,#N/A,FALSE,"7.netinvest"}</definedName>
    <definedName name="손익계산서조정_04_12" localSheetId="18" hidden="1">{#N/A,#N/A,FALSE,"1.CRITERIA";#N/A,#N/A,FALSE,"2.IS";#N/A,#N/A,FALSE,"3.BS";#N/A,#N/A,FALSE,"4.PER PL";#N/A,#N/A,FALSE,"5.INVESTMENT";#N/A,#N/A,FALSE,"6.공문";#N/A,#N/A,FALSE,"7.netinvest"}</definedName>
    <definedName name="손익계산서조정_04_12" localSheetId="24"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3" hidden="1">{#N/A,#N/A,FALSE,"지침";#N/A,#N/A,FALSE,"환경분석";#N/A,#N/A,FALSE,"Sheet16"}</definedName>
    <definedName name="손익변경" localSheetId="18" hidden="1">{#N/A,#N/A,FALSE,"지침";#N/A,#N/A,FALSE,"환경분석";#N/A,#N/A,FALSE,"Sheet16"}</definedName>
    <definedName name="손익변경" localSheetId="24" hidden="1">{#N/A,#N/A,FALSE,"지침";#N/A,#N/A,FALSE,"환경분석";#N/A,#N/A,FALSE,"Sheet16"}</definedName>
    <definedName name="손익변경" hidden="1">{#N/A,#N/A,FALSE,"지침";#N/A,#N/A,FALSE,"환경분석";#N/A,#N/A,FALSE,"Sheet16"}</definedName>
    <definedName name="솔" localSheetId="23" hidden="1">{#N/A,#N/A,TRUE,"대 차 대 조 표"}</definedName>
    <definedName name="솔" localSheetId="18" hidden="1">{#N/A,#N/A,TRUE,"대 차 대 조 표"}</definedName>
    <definedName name="솔" localSheetId="24" hidden="1">{#N/A,#N/A,TRUE,"대 차 대 조 표"}</definedName>
    <definedName name="솔" hidden="1">{#N/A,#N/A,TRUE,"대 차 대 조 표"}</definedName>
    <definedName name="솔_1" localSheetId="23" hidden="1">{#N/A,#N/A,TRUE,"대 차 대 조 표"}</definedName>
    <definedName name="솔_1" localSheetId="18" hidden="1">{#N/A,#N/A,TRUE,"대 차 대 조 표"}</definedName>
    <definedName name="솔_1" localSheetId="24" hidden="1">{#N/A,#N/A,TRUE,"대 차 대 조 표"}</definedName>
    <definedName name="솔_1" hidden="1">{#N/A,#N/A,TRUE,"대 차 대 조 표"}</definedName>
    <definedName name="송" localSheetId="23" hidden="1">{#N/A,#N/A,TRUE,"Y생산";#N/A,#N/A,TRUE,"Y판매";#N/A,#N/A,TRUE,"Y총물량";#N/A,#N/A,TRUE,"Y능력";#N/A,#N/A,TRUE,"YKD"}</definedName>
    <definedName name="송" localSheetId="18" hidden="1">{#N/A,#N/A,TRUE,"Y생산";#N/A,#N/A,TRUE,"Y판매";#N/A,#N/A,TRUE,"Y총물량";#N/A,#N/A,TRUE,"Y능력";#N/A,#N/A,TRUE,"YKD"}</definedName>
    <definedName name="송" localSheetId="24" hidden="1">{#N/A,#N/A,TRUE,"Y생산";#N/A,#N/A,TRUE,"Y판매";#N/A,#N/A,TRUE,"Y총물량";#N/A,#N/A,TRUE,"Y능력";#N/A,#N/A,TRUE,"YKD"}</definedName>
    <definedName name="송" hidden="1">{#N/A,#N/A,TRUE,"Y생산";#N/A,#N/A,TRUE,"Y판매";#N/A,#N/A,TRUE,"Y총물량";#N/A,#N/A,TRUE,"Y능력";#N/A,#N/A,TRUE,"YKD"}</definedName>
    <definedName name="송ㄶㄹㅇ" localSheetId="23" hidden="1">{#N/A,#N/A,FALSE,"동부"}</definedName>
    <definedName name="송ㄶㄹㅇ" localSheetId="18" hidden="1">{#N/A,#N/A,FALSE,"동부"}</definedName>
    <definedName name="송ㄶㄹㅇ" localSheetId="24" hidden="1">{#N/A,#N/A,FALSE,"동부"}</definedName>
    <definedName name="송ㄶㄹㅇ" hidden="1">{#N/A,#N/A,FALSE,"동부"}</definedName>
    <definedName name="송창기" localSheetId="23" hidden="1">{#N/A,#N/A,TRUE,"Y생산";#N/A,#N/A,TRUE,"Y판매";#N/A,#N/A,TRUE,"Y총물량";#N/A,#N/A,TRUE,"Y능력";#N/A,#N/A,TRUE,"YKD"}</definedName>
    <definedName name="송창기" localSheetId="18" hidden="1">{#N/A,#N/A,TRUE,"Y생산";#N/A,#N/A,TRUE,"Y판매";#N/A,#N/A,TRUE,"Y총물량";#N/A,#N/A,TRUE,"Y능력";#N/A,#N/A,TRUE,"YKD"}</definedName>
    <definedName name="송창기" localSheetId="24" hidden="1">{#N/A,#N/A,TRUE,"Y생산";#N/A,#N/A,TRUE,"Y판매";#N/A,#N/A,TRUE,"Y총물량";#N/A,#N/A,TRUE,"Y능력";#N/A,#N/A,TRUE,"YKD"}</definedName>
    <definedName name="송창기" hidden="1">{#N/A,#N/A,TRUE,"Y생산";#N/A,#N/A,TRUE,"Y판매";#N/A,#N/A,TRUE,"Y총물량";#N/A,#N/A,TRUE,"Y능력";#N/A,#N/A,TRUE,"YKD"}</definedName>
    <definedName name="쇼바2" localSheetId="23" hidden="1">{#N/A,#N/A,FALSE,"단축1";#N/A,#N/A,FALSE,"단축2";#N/A,#N/A,FALSE,"단축3";#N/A,#N/A,FALSE,"장축";#N/A,#N/A,FALSE,"4WD"}</definedName>
    <definedName name="쇼바2" localSheetId="18" hidden="1">{#N/A,#N/A,FALSE,"단축1";#N/A,#N/A,FALSE,"단축2";#N/A,#N/A,FALSE,"단축3";#N/A,#N/A,FALSE,"장축";#N/A,#N/A,FALSE,"4WD"}</definedName>
    <definedName name="쇼바2" localSheetId="24" hidden="1">{#N/A,#N/A,FALSE,"단축1";#N/A,#N/A,FALSE,"단축2";#N/A,#N/A,FALSE,"단축3";#N/A,#N/A,FALSE,"장축";#N/A,#N/A,FALSE,"4WD"}</definedName>
    <definedName name="쇼바2" hidden="1">{#N/A,#N/A,FALSE,"단축1";#N/A,#N/A,FALSE,"단축2";#N/A,#N/A,FALSE,"단축3";#N/A,#N/A,FALSE,"장축";#N/A,#N/A,FALSE,"4WD"}</definedName>
    <definedName name="쇼ㅑㅕ" localSheetId="23" hidden="1">{#N/A,#N/A,TRUE,"Y생산";#N/A,#N/A,TRUE,"Y판매";#N/A,#N/A,TRUE,"Y총물량";#N/A,#N/A,TRUE,"Y능력";#N/A,#N/A,TRUE,"YKD"}</definedName>
    <definedName name="쇼ㅑㅕ" localSheetId="18" hidden="1">{#N/A,#N/A,TRUE,"Y생산";#N/A,#N/A,TRUE,"Y판매";#N/A,#N/A,TRUE,"Y총물량";#N/A,#N/A,TRUE,"Y능력";#N/A,#N/A,TRUE,"YKD"}</definedName>
    <definedName name="쇼ㅑㅕ" localSheetId="24" hidden="1">{#N/A,#N/A,TRUE,"Y생산";#N/A,#N/A,TRUE,"Y판매";#N/A,#N/A,TRUE,"Y총물량";#N/A,#N/A,TRUE,"Y능력";#N/A,#N/A,TRUE,"YKD"}</definedName>
    <definedName name="쇼ㅑㅕ" hidden="1">{#N/A,#N/A,TRUE,"Y생산";#N/A,#N/A,TRUE,"Y판매";#N/A,#N/A,TRUE,"Y총물량";#N/A,#N/A,TRUE,"Y능력";#N/A,#N/A,TRUE,"YKD"}</definedName>
    <definedName name="쇽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3" hidden="1">{#N/A,#N/A,FALSE,"동부"}</definedName>
    <definedName name="수광비" localSheetId="18" hidden="1">{#N/A,#N/A,FALSE,"동부"}</definedName>
    <definedName name="수광비" localSheetId="24" hidden="1">{#N/A,#N/A,FALSE,"동부"}</definedName>
    <definedName name="수광비" hidden="1">{#N/A,#N/A,FALSE,"동부"}</definedName>
    <definedName name="水道光熱費" localSheetId="23" hidden="1">{"pond1",#N/A,FALSE,"Focus";"pond2",#N/A,FALSE,"Focus"}</definedName>
    <definedName name="水道光熱費" localSheetId="18" hidden="1">{"pond1",#N/A,FALSE,"Focus";"pond2",#N/A,FALSE,"Focus"}</definedName>
    <definedName name="水道光熱費" localSheetId="24" hidden="1">{"pond1",#N/A,FALSE,"Focus";"pond2",#N/A,FALSE,"Focus"}</definedName>
    <definedName name="水道光熱費" hidden="1">{"pond1",#N/A,FALSE,"Focus";"pond2",#N/A,FALSE,"Focus"}</definedName>
    <definedName name="修繕費" localSheetId="23" hidden="1">{"MonthlyRentRoll",#N/A,FALSE,"RentRoll"}</definedName>
    <definedName name="修繕費" localSheetId="18" hidden="1">{"MonthlyRentRoll",#N/A,FALSE,"RentRoll"}</definedName>
    <definedName name="修繕費" localSheetId="24" hidden="1">{"MonthlyRentRoll",#N/A,FALSE,"RentRoll"}</definedName>
    <definedName name="修繕費" hidden="1">{"MonthlyRentRoll",#N/A,FALSE,"RentRoll"}</definedName>
    <definedName name="수송" localSheetId="23">BlankMacro1</definedName>
    <definedName name="수송" localSheetId="18">BlankMacro1</definedName>
    <definedName name="수송" localSheetId="24">BlankMacro1</definedName>
    <definedName name="수송" localSheetId="1">BlankMacro1</definedName>
    <definedName name="수송">BlankMacro1</definedName>
    <definedName name="수식1">'IS(FY)'!$M$76:$DW$76</definedName>
    <definedName name="수익비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3" hidden="1">{#N/A,#N/A,TRUE,"대 차 대 조 표"}</definedName>
    <definedName name="수익추정" localSheetId="18" hidden="1">{#N/A,#N/A,TRUE,"대 차 대 조 표"}</definedName>
    <definedName name="수익추정" localSheetId="24" hidden="1">{#N/A,#N/A,TRUE,"대 차 대 조 표"}</definedName>
    <definedName name="수익추정" hidden="1">{#N/A,#N/A,TRUE,"대 차 대 조 표"}</definedName>
    <definedName name="수입" localSheetId="23" hidden="1">{#N/A,#N/A,TRUE,"대 차 대 조 표"}</definedName>
    <definedName name="수입" localSheetId="18" hidden="1">{#N/A,#N/A,TRUE,"대 차 대 조 표"}</definedName>
    <definedName name="수입" localSheetId="24" hidden="1">{#N/A,#N/A,TRUE,"대 차 대 조 표"}</definedName>
    <definedName name="수입" hidden="1">{#N/A,#N/A,TRUE,"대 차 대 조 표"}</definedName>
    <definedName name="수입추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3" hidden="1">{#N/A,#N/A,FALSE,"BS";#N/A,#N/A,FALSE,"PL";#N/A,#N/A,FALSE,"처분";#N/A,#N/A,FALSE,"현금";#N/A,#N/A,FALSE,"매출";#N/A,#N/A,FALSE,"원가";#N/A,#N/A,FALSE,"경영"}</definedName>
    <definedName name="수정" localSheetId="18" hidden="1">{#N/A,#N/A,FALSE,"BS";#N/A,#N/A,FALSE,"PL";#N/A,#N/A,FALSE,"처분";#N/A,#N/A,FALSE,"현금";#N/A,#N/A,FALSE,"매출";#N/A,#N/A,FALSE,"원가";#N/A,#N/A,FALSE,"경영"}</definedName>
    <definedName name="수정" localSheetId="24"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3" hidden="1">{#N/A,#N/A,FALSE,"CAM-G7";#N/A,#N/A,FALSE,"SPL";#N/A,#N/A,FALSE,"butt-in G7";#N/A,#N/A,FALSE,"dia-in G7";#N/A,#N/A,FALSE,"추가-STA G7"}</definedName>
    <definedName name="수정내역" localSheetId="18" hidden="1">{#N/A,#N/A,FALSE,"CAM-G7";#N/A,#N/A,FALSE,"SPL";#N/A,#N/A,FALSE,"butt-in G7";#N/A,#N/A,FALSE,"dia-in G7";#N/A,#N/A,FALSE,"추가-STA G7"}</definedName>
    <definedName name="수정내역" localSheetId="24" hidden="1">{#N/A,#N/A,FALSE,"CAM-G7";#N/A,#N/A,FALSE,"SPL";#N/A,#N/A,FALSE,"butt-in G7";#N/A,#N/A,FALSE,"dia-in G7";#N/A,#N/A,FALSE,"추가-STA G7"}</definedName>
    <definedName name="수정내역" hidden="1">{#N/A,#N/A,FALSE,"CAM-G7";#N/A,#N/A,FALSE,"SPL";#N/A,#N/A,FALSE,"butt-in G7";#N/A,#N/A,FALSE,"dia-in G7";#N/A,#N/A,FALSE,"추가-STA G7"}</definedName>
    <definedName name="수정물량" localSheetId="23" hidden="1">{#N/A,#N/A,TRUE,"Y생산";#N/A,#N/A,TRUE,"Y판매";#N/A,#N/A,TRUE,"Y총물량";#N/A,#N/A,TRUE,"Y능력";#N/A,#N/A,TRUE,"YKD"}</definedName>
    <definedName name="수정물량" localSheetId="18" hidden="1">{#N/A,#N/A,TRUE,"Y생산";#N/A,#N/A,TRUE,"Y판매";#N/A,#N/A,TRUE,"Y총물량";#N/A,#N/A,TRUE,"Y능력";#N/A,#N/A,TRUE,"YKD"}</definedName>
    <definedName name="수정물량" localSheetId="24" hidden="1">{#N/A,#N/A,TRUE,"Y생산";#N/A,#N/A,TRUE,"Y판매";#N/A,#N/A,TRUE,"Y총물량";#N/A,#N/A,TRUE,"Y능력";#N/A,#N/A,TRUE,"YKD"}</definedName>
    <definedName name="수정물량" hidden="1">{#N/A,#N/A,TRUE,"Y생산";#N/A,#N/A,TRUE,"Y판매";#N/A,#N/A,TRUE,"Y총물량";#N/A,#N/A,TRUE,"Y능력";#N/A,#N/A,TRUE,"YKD"}</definedName>
    <definedName name="수정물량_1" localSheetId="23" hidden="1">{#N/A,#N/A,TRUE,"Y생산";#N/A,#N/A,TRUE,"Y판매";#N/A,#N/A,TRUE,"Y총물량";#N/A,#N/A,TRUE,"Y능력";#N/A,#N/A,TRUE,"YKD"}</definedName>
    <definedName name="수정물량_1" localSheetId="18" hidden="1">{#N/A,#N/A,TRUE,"Y생산";#N/A,#N/A,TRUE,"Y판매";#N/A,#N/A,TRUE,"Y총물량";#N/A,#N/A,TRUE,"Y능력";#N/A,#N/A,TRUE,"YKD"}</definedName>
    <definedName name="수정물량_1" localSheetId="24" hidden="1">{#N/A,#N/A,TRUE,"Y생산";#N/A,#N/A,TRUE,"Y판매";#N/A,#N/A,TRUE,"Y총물량";#N/A,#N/A,TRUE,"Y능력";#N/A,#N/A,TRUE,"YKD"}</definedName>
    <definedName name="수정물량_1" hidden="1">{#N/A,#N/A,TRUE,"Y생산";#N/A,#N/A,TRUE,"Y판매";#N/A,#N/A,TRUE,"Y총물량";#N/A,#N/A,TRUE,"Y능력";#N/A,#N/A,TRUE,"YKD"}</definedName>
    <definedName name="수정본" localSheetId="23" hidden="1">{"'PROFORMA'!$A$1:$H$120"}</definedName>
    <definedName name="수정본" localSheetId="18" hidden="1">{"'PROFORMA'!$A$1:$H$120"}</definedName>
    <definedName name="수정본" localSheetId="24" hidden="1">{"'PROFORMA'!$A$1:$H$120"}</definedName>
    <definedName name="수정본" hidden="1">{"'PROFORMA'!$A$1:$H$120"}</definedName>
    <definedName name="수정월보" localSheetId="23" hidden="1">{#N/A,#N/A,FALSE,"업체선정";#N/A,#N/A,FALSE,"업체선정sheet";#N/A,#N/A,FALSE,"업체실태";#N/A,#N/A,FALSE,"업체실태(1)";#N/A,#N/A,FALSE,"종업원현황(2)";#N/A,#N/A,FALSE,"생산품목(3)";#N/A,#N/A,FALSE,"장비보유현황";#N/A,#N/A,FALSE,"차량및약도";#N/A,#N/A,FALSE,"금형LIST"}</definedName>
    <definedName name="수정월보" localSheetId="18" hidden="1">{#N/A,#N/A,FALSE,"업체선정";#N/A,#N/A,FALSE,"업체선정sheet";#N/A,#N/A,FALSE,"업체실태";#N/A,#N/A,FALSE,"업체실태(1)";#N/A,#N/A,FALSE,"종업원현황(2)";#N/A,#N/A,FALSE,"생산품목(3)";#N/A,#N/A,FALSE,"장비보유현황";#N/A,#N/A,FALSE,"차량및약도";#N/A,#N/A,FALSE,"금형LIST"}</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3" hidden="1">{"'7'!$B$15:$D$32"}</definedName>
    <definedName name="수주2" localSheetId="18" hidden="1">{"'7'!$B$15:$D$32"}</definedName>
    <definedName name="수주2" localSheetId="24" hidden="1">{"'7'!$B$15:$D$32"}</definedName>
    <definedName name="수주2" hidden="1">{"'7'!$B$15:$D$32"}</definedName>
    <definedName name="순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'IS(FY)'!$M$76:$DU$76</definedName>
    <definedName name="순환1값">'IS(FY)'!$M$78:$DU$78</definedName>
    <definedName name="순환2">'A&amp;R'!$N$23</definedName>
    <definedName name="순환2값">'A&amp;R'!$O$23</definedName>
    <definedName name="순환3">'CF(M)'!$I$113</definedName>
    <definedName name="순환3값">'CF(M)'!$H$113</definedName>
    <definedName name="순환4">'CF(M)'!$H$151</definedName>
    <definedName name="순환4값">'CF(M)'!$H$145</definedName>
    <definedName name="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3" hidden="1">{"'9월'!$F$38"}</definedName>
    <definedName name="시공사1" localSheetId="18" hidden="1">{"'9월'!$F$38"}</definedName>
    <definedName name="시공사1" localSheetId="24" hidden="1">{"'9월'!$F$38"}</definedName>
    <definedName name="시공사1" hidden="1">{"'9월'!$F$38"}</definedName>
    <definedName name="시설공구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3" hidden="1">{#N/A,#N/A,TRUE,"Y생산";#N/A,#N/A,TRUE,"Y판매";#N/A,#N/A,TRUE,"Y총물량";#N/A,#N/A,TRUE,"Y능력";#N/A,#N/A,TRUE,"YKD"}</definedName>
    <definedName name="시작장비2" localSheetId="18" hidden="1">{#N/A,#N/A,TRUE,"Y생산";#N/A,#N/A,TRUE,"Y판매";#N/A,#N/A,TRUE,"Y총물량";#N/A,#N/A,TRUE,"Y능력";#N/A,#N/A,TRUE,"YKD"}</definedName>
    <definedName name="시작장비2" localSheetId="24" hidden="1">{#N/A,#N/A,TRUE,"Y생산";#N/A,#N/A,TRUE,"Y판매";#N/A,#N/A,TRUE,"Y총물량";#N/A,#N/A,TRUE,"Y능력";#N/A,#N/A,TRUE,"YKD"}</definedName>
    <definedName name="시작장비2" hidden="1">{#N/A,#N/A,TRUE,"Y생산";#N/A,#N/A,TRUE,"Y판매";#N/A,#N/A,TRUE,"Y총물량";#N/A,#N/A,TRUE,"Y능력";#N/A,#N/A,TRUE,"YKD"}</definedName>
    <definedName name="시트" localSheetId="23" hidden="1">{#N/A,#N/A,FALSE,"견적갑지";#N/A,#N/A,FALSE,"총괄표";#N/A,#N/A,FALSE,"철골공사";#N/A,#N/A,FALSE,"토목공사";#N/A,#N/A,FALSE,"판넬전기공사"}</definedName>
    <definedName name="시트" localSheetId="18" hidden="1">{#N/A,#N/A,FALSE,"견적갑지";#N/A,#N/A,FALSE,"총괄표";#N/A,#N/A,FALSE,"철골공사";#N/A,#N/A,FALSE,"토목공사";#N/A,#N/A,FALSE,"판넬전기공사"}</definedName>
    <definedName name="시트" localSheetId="24"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3" hidden="1">{#N/A,#N/A,FALSE,"이태원철근"}</definedName>
    <definedName name="시행" localSheetId="18" hidden="1">{#N/A,#N/A,FALSE,"이태원철근"}</definedName>
    <definedName name="시행" localSheetId="24" hidden="1">{#N/A,#N/A,FALSE,"이태원철근"}</definedName>
    <definedName name="시행" hidden="1">{#N/A,#N/A,FALSE,"이태원철근"}</definedName>
    <definedName name="식식" localSheetId="23" hidden="1">{#N/A,#N/A,TRUE,"Y생산";#N/A,#N/A,TRUE,"Y판매";#N/A,#N/A,TRUE,"Y총물량";#N/A,#N/A,TRUE,"Y능력";#N/A,#N/A,TRUE,"YKD"}</definedName>
    <definedName name="식식" localSheetId="18" hidden="1">{#N/A,#N/A,TRUE,"Y생산";#N/A,#N/A,TRUE,"Y판매";#N/A,#N/A,TRUE,"Y총물량";#N/A,#N/A,TRUE,"Y능력";#N/A,#N/A,TRUE,"YKD"}</definedName>
    <definedName name="식식" localSheetId="24" hidden="1">{#N/A,#N/A,TRUE,"Y생산";#N/A,#N/A,TRUE,"Y판매";#N/A,#N/A,TRUE,"Y총물량";#N/A,#N/A,TRUE,"Y능력";#N/A,#N/A,TRUE,"YKD"}</definedName>
    <definedName name="식식" hidden="1">{#N/A,#N/A,TRUE,"Y생산";#N/A,#N/A,TRUE,"Y판매";#N/A,#N/A,TRUE,"Y총물량";#N/A,#N/A,TRUE,"Y능력";#N/A,#N/A,TRUE,"YKD"}</definedName>
    <definedName name="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3" hidden="1">{"'통신지'!$A$1:$J$41"}</definedName>
    <definedName name="신고분장" localSheetId="18" hidden="1">{"'통신지'!$A$1:$J$41"}</definedName>
    <definedName name="신고분장" localSheetId="24" hidden="1">{"'통신지'!$A$1:$J$41"}</definedName>
    <definedName name="신고분장" hidden="1">{"'통신지'!$A$1:$J$41"}</definedName>
    <definedName name="신미향사무원" localSheetId="23" hidden="1">{#N/A,#N/A,FALSE,"이력서&amp;자기소개서"}</definedName>
    <definedName name="신미향사무원" localSheetId="18" hidden="1">{#N/A,#N/A,FALSE,"이력서&amp;자기소개서"}</definedName>
    <definedName name="신미향사무원" localSheetId="24" hidden="1">{#N/A,#N/A,FALSE,"이력서&amp;자기소개서"}</definedName>
    <definedName name="신미향사무원" hidden="1">{#N/A,#N/A,FALSE,"이력서&amp;자기소개서"}</definedName>
    <definedName name="실비" localSheetId="23" hidden="1">{"'7'!$B$15:$D$32"}</definedName>
    <definedName name="실비" localSheetId="18" hidden="1">{"'7'!$B$15:$D$32"}</definedName>
    <definedName name="실비" localSheetId="24" hidden="1">{"'7'!$B$15:$D$32"}</definedName>
    <definedName name="실비" hidden="1">{"'7'!$B$15:$D$32"}</definedName>
    <definedName name="실적집계" localSheetId="23" hidden="1">{#N/A,#N/A,FALSE,"단축1";#N/A,#N/A,FALSE,"단축2";#N/A,#N/A,FALSE,"단축3";#N/A,#N/A,FALSE,"장축";#N/A,#N/A,FALSE,"4WD"}</definedName>
    <definedName name="실적집계" localSheetId="18" hidden="1">{#N/A,#N/A,FALSE,"단축1";#N/A,#N/A,FALSE,"단축2";#N/A,#N/A,FALSE,"단축3";#N/A,#N/A,FALSE,"장축";#N/A,#N/A,FALSE,"4WD"}</definedName>
    <definedName name="실적집계" localSheetId="24" hidden="1">{#N/A,#N/A,FALSE,"단축1";#N/A,#N/A,FALSE,"단축2";#N/A,#N/A,FALSE,"단축3";#N/A,#N/A,FALSE,"장축";#N/A,#N/A,FALSE,"4WD"}</definedName>
    <definedName name="실적집계" hidden="1">{#N/A,#N/A,FALSE,"단축1";#N/A,#N/A,FALSE,"단축2";#N/A,#N/A,FALSE,"단축3";#N/A,#N/A,FALSE,"장축";#N/A,#N/A,FALSE,"4WD"}</definedName>
    <definedName name="실제급여" localSheetId="23" hidden="1">{#N/A,#N/A,TRUE,"대 차 대 조 표"}</definedName>
    <definedName name="실제급여" localSheetId="18" hidden="1">{#N/A,#N/A,TRUE,"대 차 대 조 표"}</definedName>
    <definedName name="실제급여" localSheetId="24" hidden="1">{#N/A,#N/A,TRUE,"대 차 대 조 표"}</definedName>
    <definedName name="실제급여" hidden="1">{#N/A,#N/A,TRUE,"대 차 대 조 표"}</definedName>
    <definedName name="실제급여_1" localSheetId="23" hidden="1">{#N/A,#N/A,TRUE,"대 차 대 조 표"}</definedName>
    <definedName name="실제급여_1" localSheetId="18" hidden="1">{#N/A,#N/A,TRUE,"대 차 대 조 표"}</definedName>
    <definedName name="실제급여_1" localSheetId="24" hidden="1">{#N/A,#N/A,TRUE,"대 차 대 조 표"}</definedName>
    <definedName name="실제급여_1" hidden="1">{#N/A,#N/A,TRUE,"대 차 대 조 표"}</definedName>
    <definedName name="실행분석" localSheetId="23" hidden="1">{"'PROFORMA'!$A$1:$H$120"}</definedName>
    <definedName name="실행분석" localSheetId="18" hidden="1">{"'PROFORMA'!$A$1:$H$120"}</definedName>
    <definedName name="실행분석" localSheetId="24" hidden="1">{"'PROFORMA'!$A$1:$H$120"}</definedName>
    <definedName name="실행분석" hidden="1">{"'PROFORMA'!$A$1:$H$120"}</definedName>
    <definedName name="실행분석1" localSheetId="23" hidden="1">{"'PROFORMA'!$A$1:$H$120"}</definedName>
    <definedName name="실행분석1" localSheetId="18" hidden="1">{"'PROFORMA'!$A$1:$H$120"}</definedName>
    <definedName name="실행분석1" localSheetId="24" hidden="1">{"'PROFORMA'!$A$1:$H$120"}</definedName>
    <definedName name="실행분석1" hidden="1">{"'PROFORMA'!$A$1:$H$120"}</definedName>
    <definedName name="씨엔에이치" localSheetId="23" hidden="1">{#N/A,#N/A,TRUE,"대 차 대 조 표"}</definedName>
    <definedName name="씨엔에이치" localSheetId="18" hidden="1">{#N/A,#N/A,TRUE,"대 차 대 조 표"}</definedName>
    <definedName name="씨엔에이치" localSheetId="24" hidden="1">{#N/A,#N/A,TRUE,"대 차 대 조 표"}</definedName>
    <definedName name="씨엔에이치" hidden="1">{#N/A,#N/A,TRUE,"대 차 대 조 표"}</definedName>
    <definedName name="씨엔에이치_1" localSheetId="23" hidden="1">{#N/A,#N/A,TRUE,"대 차 대 조 표"}</definedName>
    <definedName name="씨엔에이치_1" localSheetId="18" hidden="1">{#N/A,#N/A,TRUE,"대 차 대 조 표"}</definedName>
    <definedName name="씨엔에이치_1" localSheetId="24" hidden="1">{#N/A,#N/A,TRUE,"대 차 대 조 표"}</definedName>
    <definedName name="씨엔에이치_1" hidden="1">{#N/A,#N/A,TRUE,"대 차 대 조 표"}</definedName>
    <definedName name="ㅇ0"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3" hidden="1">{"'7'!$B$15:$D$32"}</definedName>
    <definedName name="ㅇ4년" localSheetId="18" hidden="1">{"'7'!$B$15:$D$32"}</definedName>
    <definedName name="ㅇ4년" localSheetId="24" hidden="1">{"'7'!$B$15:$D$32"}</definedName>
    <definedName name="ㅇ4년" hidden="1">{"'7'!$B$15:$D$32"}</definedName>
    <definedName name="ㅇㄴ" localSheetId="23" hidden="1">{"'용역비'!$A$4:$C$8"}</definedName>
    <definedName name="ㅇㄴ" localSheetId="18" hidden="1">{"'용역비'!$A$4:$C$8"}</definedName>
    <definedName name="ㅇㄴ" localSheetId="24" hidden="1">{"'용역비'!$A$4:$C$8"}</definedName>
    <definedName name="ㅇㄴ" hidden="1">{"'용역비'!$A$4:$C$8"}</definedName>
    <definedName name="ㅇㄴㄷ" localSheetId="23" hidden="1">{#N/A,#N/A,TRUE,"대 차 대 조 표"}</definedName>
    <definedName name="ㅇㄴㄷ" localSheetId="18" hidden="1">{#N/A,#N/A,TRUE,"대 차 대 조 표"}</definedName>
    <definedName name="ㅇㄴㄷ" localSheetId="24" hidden="1">{#N/A,#N/A,TRUE,"대 차 대 조 표"}</definedName>
    <definedName name="ㅇㄴㄷ" hidden="1">{#N/A,#N/A,TRUE,"대 차 대 조 표"}</definedName>
    <definedName name="ㅇㄴㄹ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3" hidden="1">{#N/A,#N/A,TRUE,"대 차 대 조 표"}</definedName>
    <definedName name="ㅇㄴㄹㄷ" localSheetId="18" hidden="1">{#N/A,#N/A,TRUE,"대 차 대 조 표"}</definedName>
    <definedName name="ㅇㄴㄹㄷ" localSheetId="24" hidden="1">{#N/A,#N/A,TRUE,"대 차 대 조 표"}</definedName>
    <definedName name="ㅇㄴㄹㄷ" hidden="1">{#N/A,#N/A,TRUE,"대 차 대 조 표"}</definedName>
    <definedName name="ㅇㄴㄹㅇㄴ" localSheetId="23" hidden="1">{#N/A,#N/A,TRUE,"대 차 대 조 표"}</definedName>
    <definedName name="ㅇㄴㄹㅇㄴ" localSheetId="18" hidden="1">{#N/A,#N/A,TRUE,"대 차 대 조 표"}</definedName>
    <definedName name="ㅇㄴㄹㅇㄴ" localSheetId="24" hidden="1">{#N/A,#N/A,TRUE,"대 차 대 조 표"}</definedName>
    <definedName name="ㅇㄴㄹㅇㄴ" hidden="1">{#N/A,#N/A,TRUE,"대 차 대 조 표"}</definedName>
    <definedName name="ㅇㄴ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3" hidden="1">{#N/A,#N/A,TRUE,"Y생산";#N/A,#N/A,TRUE,"Y판매";#N/A,#N/A,TRUE,"Y총물량";#N/A,#N/A,TRUE,"Y능력";#N/A,#N/A,TRUE,"YKD"}</definedName>
    <definedName name="ㅇㄴㄻㄴㅇㄹ" localSheetId="18" hidden="1">{#N/A,#N/A,TRUE,"Y생산";#N/A,#N/A,TRUE,"Y판매";#N/A,#N/A,TRUE,"Y총물량";#N/A,#N/A,TRUE,"Y능력";#N/A,#N/A,TRUE,"YKD"}</definedName>
    <definedName name="ㅇㄴㄻㄴㅇㄹ" localSheetId="24" hidden="1">{#N/A,#N/A,TRUE,"Y생산";#N/A,#N/A,TRUE,"Y판매";#N/A,#N/A,TRUE,"Y총물량";#N/A,#N/A,TRUE,"Y능력";#N/A,#N/A,TRUE,"YKD"}</definedName>
    <definedName name="ㅇㄴㄻㄴㅇㄹ" hidden="1">{#N/A,#N/A,TRUE,"Y생산";#N/A,#N/A,TRUE,"Y판매";#N/A,#N/A,TRUE,"Y총물량";#N/A,#N/A,TRUE,"Y능력";#N/A,#N/A,TRUE,"YKD"}</definedName>
    <definedName name="ㅇㄴㄻㄴㅇㄹ_1" localSheetId="23" hidden="1">{#N/A,#N/A,TRUE,"Y생산";#N/A,#N/A,TRUE,"Y판매";#N/A,#N/A,TRUE,"Y총물량";#N/A,#N/A,TRUE,"Y능력";#N/A,#N/A,TRUE,"YKD"}</definedName>
    <definedName name="ㅇㄴㄻㄴㅇㄹ_1" localSheetId="18" hidden="1">{#N/A,#N/A,TRUE,"Y생산";#N/A,#N/A,TRUE,"Y판매";#N/A,#N/A,TRUE,"Y총물량";#N/A,#N/A,TRUE,"Y능력";#N/A,#N/A,TRUE,"YKD"}</definedName>
    <definedName name="ㅇㄴㄻㄴㅇㄹ_1" localSheetId="24" hidden="1">{#N/A,#N/A,TRUE,"Y생산";#N/A,#N/A,TRUE,"Y판매";#N/A,#N/A,TRUE,"Y총물량";#N/A,#N/A,TRUE,"Y능력";#N/A,#N/A,TRUE,"YKD"}</definedName>
    <definedName name="ㅇㄴㄻㄴㅇㄹ_1" hidden="1">{#N/A,#N/A,TRUE,"Y생산";#N/A,#N/A,TRUE,"Y판매";#N/A,#N/A,TRUE,"Y총물량";#N/A,#N/A,TRUE,"Y능력";#N/A,#N/A,TRUE,"YKD"}</definedName>
    <definedName name="ㅇㄴㅀ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3" hidden="1">{#N/A,#N/A,FALSE,"이력서&amp;자기소개서"}</definedName>
    <definedName name="ㅇㄴㅁ" localSheetId="18" hidden="1">{#N/A,#N/A,FALSE,"이력서&amp;자기소개서"}</definedName>
    <definedName name="ㅇㄴㅁ" localSheetId="24" hidden="1">{#N/A,#N/A,FALSE,"이력서&amp;자기소개서"}</definedName>
    <definedName name="ㅇㄴㅁ" hidden="1">{#N/A,#N/A,FALSE,"이력서&amp;자기소개서"}</definedName>
    <definedName name="ㅇㄴㅁㄹㄷ" localSheetId="23" hidden="1">{#N/A,#N/A,TRUE,"대 차 대 조 표"}</definedName>
    <definedName name="ㅇㄴㅁㄹㄷ" localSheetId="18" hidden="1">{#N/A,#N/A,TRUE,"대 차 대 조 표"}</definedName>
    <definedName name="ㅇㄴㅁㄹㄷ" localSheetId="24" hidden="1">{#N/A,#N/A,TRUE,"대 차 대 조 표"}</definedName>
    <definedName name="ㅇㄴㅁㄹㄷ" hidden="1">{#N/A,#N/A,TRUE,"대 차 대 조 표"}</definedName>
    <definedName name="ㅇㄴㅁㄹㅇ" localSheetId="23" hidden="1">{"AJD",#N/A,TRUE,"Summary";"AJD",#N/A,TRUE,"CFCONC-outputs";"AJD",#N/A,TRUE,"P&amp;LCONC-outputs";"AJD",#N/A,TRUE,"BSCONC-outputs";"AJD",#N/A,TRUE,"FSCONC-outputs"}</definedName>
    <definedName name="ㅇㄴㅁㄹㅇ" localSheetId="18" hidden="1">{"AJD",#N/A,TRUE,"Summary";"AJD",#N/A,TRUE,"CFCONC-outputs";"AJD",#N/A,TRUE,"P&amp;LCONC-outputs";"AJD",#N/A,TRUE,"BSCONC-outputs";"AJD",#N/A,TRUE,"FSCONC-outputs"}</definedName>
    <definedName name="ㅇㄴㅁㄹㅇ" localSheetId="24"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3" hidden="1">{#N/A,#N/A,FALSE,"동부"}</definedName>
    <definedName name="ㅇㄴㅁㅇㄴ" localSheetId="18" hidden="1">{#N/A,#N/A,FALSE,"동부"}</definedName>
    <definedName name="ㅇㄴㅁㅇㄴ" localSheetId="24" hidden="1">{#N/A,#N/A,FALSE,"동부"}</definedName>
    <definedName name="ㅇㄴㅁㅇㄴ" hidden="1">{#N/A,#N/A,FALSE,"동부"}</definedName>
    <definedName name="ㅇㄴㅇㄴ" localSheetId="23" hidden="1">{#N/A,#N/A,FALSE,"CCTV"}</definedName>
    <definedName name="ㅇㄴㅇㄴ" localSheetId="18" hidden="1">{#N/A,#N/A,FALSE,"CCTV"}</definedName>
    <definedName name="ㅇㄴㅇㄴ" localSheetId="24" hidden="1">{#N/A,#N/A,FALSE,"CCTV"}</definedName>
    <definedName name="ㅇㄴㅇㄴ" hidden="1">{#N/A,#N/A,FALSE,"CCTV"}</definedName>
    <definedName name="ㅇㄴㅇㄴㄹ" localSheetId="23" hidden="1">{"'7'!$B$15:$D$32"}</definedName>
    <definedName name="ㅇㄴㅇㄴㄹ" localSheetId="18" hidden="1">{"'7'!$B$15:$D$32"}</definedName>
    <definedName name="ㅇㄴㅇㄴㄹ" localSheetId="24" hidden="1">{"'7'!$B$15:$D$32"}</definedName>
    <definedName name="ㅇㄴㅇㄴㄹ" hidden="1">{"'7'!$B$15:$D$32"}</definedName>
    <definedName name="ㅇㄴㅇㄹㄴㅇ" localSheetId="23" hidden="1">{#N/A,#N/A,TRUE,"Y생산";#N/A,#N/A,TRUE,"Y판매";#N/A,#N/A,TRUE,"Y총물량";#N/A,#N/A,TRUE,"Y능력";#N/A,#N/A,TRUE,"YKD"}</definedName>
    <definedName name="ㅇㄴㅇㄹㄴㅇ" localSheetId="18" hidden="1">{#N/A,#N/A,TRUE,"Y생산";#N/A,#N/A,TRUE,"Y판매";#N/A,#N/A,TRUE,"Y총물량";#N/A,#N/A,TRUE,"Y능력";#N/A,#N/A,TRUE,"YKD"}</definedName>
    <definedName name="ㅇㄴㅇㄹㄴㅇ" localSheetId="24" hidden="1">{#N/A,#N/A,TRUE,"Y생산";#N/A,#N/A,TRUE,"Y판매";#N/A,#N/A,TRUE,"Y총물량";#N/A,#N/A,TRUE,"Y능력";#N/A,#N/A,TRUE,"YKD"}</definedName>
    <definedName name="ㅇㄴㅇㄹㄴㅇ" hidden="1">{#N/A,#N/A,TRUE,"Y생산";#N/A,#N/A,TRUE,"Y판매";#N/A,#N/A,TRUE,"Y총물량";#N/A,#N/A,TRUE,"Y능력";#N/A,#N/A,TRUE,"YKD"}</definedName>
    <definedName name="ㅇㄴㅇㄹㄴㅇ_1" localSheetId="23" hidden="1">{#N/A,#N/A,TRUE,"Y생산";#N/A,#N/A,TRUE,"Y판매";#N/A,#N/A,TRUE,"Y총물량";#N/A,#N/A,TRUE,"Y능력";#N/A,#N/A,TRUE,"YKD"}</definedName>
    <definedName name="ㅇㄴㅇㄹㄴㅇ_1" localSheetId="18" hidden="1">{#N/A,#N/A,TRUE,"Y생산";#N/A,#N/A,TRUE,"Y판매";#N/A,#N/A,TRUE,"Y총물량";#N/A,#N/A,TRUE,"Y능력";#N/A,#N/A,TRUE,"YKD"}</definedName>
    <definedName name="ㅇㄴㅇㄹㄴㅇ_1" localSheetId="24" hidden="1">{#N/A,#N/A,TRUE,"Y생산";#N/A,#N/A,TRUE,"Y판매";#N/A,#N/A,TRUE,"Y총물량";#N/A,#N/A,TRUE,"Y능력";#N/A,#N/A,TRUE,"YKD"}</definedName>
    <definedName name="ㅇㄴㅇㄹㄴㅇ_1" hidden="1">{#N/A,#N/A,TRUE,"Y생산";#N/A,#N/A,TRUE,"Y판매";#N/A,#N/A,TRUE,"Y총물량";#N/A,#N/A,TRUE,"Y능력";#N/A,#N/A,TRUE,"YKD"}</definedName>
    <definedName name="ㅇ나ㅓㅗ랑" localSheetId="23" hidden="1">{#N/A,#N/A,FALSE,"동부"}</definedName>
    <definedName name="ㅇ나ㅓㅗ랑" localSheetId="18" hidden="1">{#N/A,#N/A,FALSE,"동부"}</definedName>
    <definedName name="ㅇ나ㅓㅗ랑" localSheetId="24" hidden="1">{#N/A,#N/A,FALSE,"동부"}</definedName>
    <definedName name="ㅇ나ㅓㅗ랑" hidden="1">{#N/A,#N/A,FALSE,"동부"}</definedName>
    <definedName name="ㅇㄷ" localSheetId="23" hidden="1">{#N/A,#N/A,FALSE,"Aging Summary";#N/A,#N/A,FALSE,"Ratio Analysis";#N/A,#N/A,FALSE,"Test 120 Day Accts";#N/A,#N/A,FALSE,"Tickmarks"}</definedName>
    <definedName name="ㅇㄷ" localSheetId="18" hidden="1">{#N/A,#N/A,FALSE,"Aging Summary";#N/A,#N/A,FALSE,"Ratio Analysis";#N/A,#N/A,FALSE,"Test 120 Day Accts";#N/A,#N/A,FALSE,"Tickmarks"}</definedName>
    <definedName name="ㅇㄷ" localSheetId="24" hidden="1">{#N/A,#N/A,FALSE,"Aging Summary";#N/A,#N/A,FALSE,"Ratio Analysis";#N/A,#N/A,FALSE,"Test 120 Day Accts";#N/A,#N/A,FALSE,"Tickmarks"}</definedName>
    <definedName name="ㅇㄷ" hidden="1">{#N/A,#N/A,FALSE,"Aging Summary";#N/A,#N/A,FALSE,"Ratio Analysis";#N/A,#N/A,FALSE,"Test 120 Day Accts";#N/A,#N/A,FALSE,"Tickmarks"}</definedName>
    <definedName name="ㅇㄹ" localSheetId="23" hidden="1">{"'9월'!$F$38"}</definedName>
    <definedName name="ㅇㄹ" localSheetId="18" hidden="1">{"'9월'!$F$38"}</definedName>
    <definedName name="ㅇㄹ" localSheetId="24" hidden="1">{"'9월'!$F$38"}</definedName>
    <definedName name="ㅇㄹ" hidden="1">{"'9월'!$F$38"}</definedName>
    <definedName name="ㅇㄹㄴ" localSheetId="23" hidden="1">{#N/A,#N/A,FALSE,"97년 투자계획 세부내역 "}</definedName>
    <definedName name="ㅇㄹㄴ" localSheetId="18" hidden="1">{#N/A,#N/A,FALSE,"97년 투자계획 세부내역 "}</definedName>
    <definedName name="ㅇㄹㄴ" localSheetId="24" hidden="1">{#N/A,#N/A,FALSE,"97년 투자계획 세부내역 "}</definedName>
    <definedName name="ㅇㄹㄴ" hidden="1">{#N/A,#N/A,FALSE,"97년 투자계획 세부내역 "}</definedName>
    <definedName name="ㅇㄹㄴㄷㄱ" localSheetId="23" hidden="1">{#N/A,#N/A,FALSE,"동부"}</definedName>
    <definedName name="ㅇㄹㄴㄷㄱ" localSheetId="18" hidden="1">{#N/A,#N/A,FALSE,"동부"}</definedName>
    <definedName name="ㅇㄹㄴㄷㄱ" localSheetId="24" hidden="1">{#N/A,#N/A,FALSE,"동부"}</definedName>
    <definedName name="ㅇㄹㄴㄷㄱ" hidden="1">{#N/A,#N/A,FALSE,"동부"}</definedName>
    <definedName name="ㅇㄹㄴㅁㅁㅁㅁㅁㅁㅁㅁㅁ" localSheetId="23" hidden="1">{#N/A,#N/A,TRUE,"대 차 대 조 표"}</definedName>
    <definedName name="ㅇㄹㄴㅁㅁㅁㅁㅁㅁㅁㅁㅁ" localSheetId="18" hidden="1">{#N/A,#N/A,TRUE,"대 차 대 조 표"}</definedName>
    <definedName name="ㅇㄹㄴㅁㅁㅁㅁㅁㅁㅁㅁㅁ" localSheetId="24" hidden="1">{#N/A,#N/A,TRUE,"대 차 대 조 표"}</definedName>
    <definedName name="ㅇㄹㄴㅁㅁㅁㅁㅁㅁㅁㅁㅁ" hidden="1">{#N/A,#N/A,TRUE,"대 차 대 조 표"}</definedName>
    <definedName name="ㅇㄹㄴㅇㄹ" localSheetId="23" hidden="1">{#N/A,#N/A,TRUE,"Y생산";#N/A,#N/A,TRUE,"Y판매";#N/A,#N/A,TRUE,"Y총물량";#N/A,#N/A,TRUE,"Y능력";#N/A,#N/A,TRUE,"YKD"}</definedName>
    <definedName name="ㅇㄹㄴㅇㄹ" localSheetId="18" hidden="1">{#N/A,#N/A,TRUE,"Y생산";#N/A,#N/A,TRUE,"Y판매";#N/A,#N/A,TRUE,"Y총물량";#N/A,#N/A,TRUE,"Y능력";#N/A,#N/A,TRUE,"YKD"}</definedName>
    <definedName name="ㅇㄹㄴㅇㄹ" localSheetId="24" hidden="1">{#N/A,#N/A,TRUE,"Y생산";#N/A,#N/A,TRUE,"Y판매";#N/A,#N/A,TRUE,"Y총물량";#N/A,#N/A,TRUE,"Y능력";#N/A,#N/A,TRUE,"YKD"}</definedName>
    <definedName name="ㅇㄹㄴㅇㄹ" hidden="1">{#N/A,#N/A,TRUE,"Y생산";#N/A,#N/A,TRUE,"Y판매";#N/A,#N/A,TRUE,"Y총물량";#N/A,#N/A,TRUE,"Y능력";#N/A,#N/A,TRUE,"YKD"}</definedName>
    <definedName name="ㅇㄹㄴㅇㄹ_1" localSheetId="23" hidden="1">{#N/A,#N/A,TRUE,"Y생산";#N/A,#N/A,TRUE,"Y판매";#N/A,#N/A,TRUE,"Y총물량";#N/A,#N/A,TRUE,"Y능력";#N/A,#N/A,TRUE,"YKD"}</definedName>
    <definedName name="ㅇㄹㄴㅇㄹ_1" localSheetId="18" hidden="1">{#N/A,#N/A,TRUE,"Y생산";#N/A,#N/A,TRUE,"Y판매";#N/A,#N/A,TRUE,"Y총물량";#N/A,#N/A,TRUE,"Y능력";#N/A,#N/A,TRUE,"YKD"}</definedName>
    <definedName name="ㅇㄹㄴㅇㄹ_1" localSheetId="24" hidden="1">{#N/A,#N/A,TRUE,"Y생산";#N/A,#N/A,TRUE,"Y판매";#N/A,#N/A,TRUE,"Y총물량";#N/A,#N/A,TRUE,"Y능력";#N/A,#N/A,TRUE,"YKD"}</definedName>
    <definedName name="ㅇㄹㄴㅇㄹ_1" hidden="1">{#N/A,#N/A,TRUE,"Y생산";#N/A,#N/A,TRUE,"Y판매";#N/A,#N/A,TRUE,"Y총물량";#N/A,#N/A,TRUE,"Y능력";#N/A,#N/A,TRUE,"YKD"}</definedName>
    <definedName name="ㅇ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3" hidden="1">{#N/A,#N/A,TRUE,"Y생산";#N/A,#N/A,TRUE,"Y판매";#N/A,#N/A,TRUE,"Y총물량";#N/A,#N/A,TRUE,"Y능력";#N/A,#N/A,TRUE,"YKD"}</definedName>
    <definedName name="ㅇㄹㅇㄴㄹ" localSheetId="18" hidden="1">{#N/A,#N/A,TRUE,"Y생산";#N/A,#N/A,TRUE,"Y판매";#N/A,#N/A,TRUE,"Y총물량";#N/A,#N/A,TRUE,"Y능력";#N/A,#N/A,TRUE,"YKD"}</definedName>
    <definedName name="ㅇㄹㅇㄴㄹ" localSheetId="24" hidden="1">{#N/A,#N/A,TRUE,"Y생산";#N/A,#N/A,TRUE,"Y판매";#N/A,#N/A,TRUE,"Y총물량";#N/A,#N/A,TRUE,"Y능력";#N/A,#N/A,TRUE,"YKD"}</definedName>
    <definedName name="ㅇㄹㅇㄴㄹ" hidden="1">{#N/A,#N/A,TRUE,"Y생산";#N/A,#N/A,TRUE,"Y판매";#N/A,#N/A,TRUE,"Y총물량";#N/A,#N/A,TRUE,"Y능력";#N/A,#N/A,TRUE,"YKD"}</definedName>
    <definedName name="ㅇㄹㅇㄴㄹ_1" localSheetId="23" hidden="1">{#N/A,#N/A,TRUE,"Y생산";#N/A,#N/A,TRUE,"Y판매";#N/A,#N/A,TRUE,"Y총물량";#N/A,#N/A,TRUE,"Y능력";#N/A,#N/A,TRUE,"YKD"}</definedName>
    <definedName name="ㅇㄹㅇㄴㄹ_1" localSheetId="18" hidden="1">{#N/A,#N/A,TRUE,"Y생산";#N/A,#N/A,TRUE,"Y판매";#N/A,#N/A,TRUE,"Y총물량";#N/A,#N/A,TRUE,"Y능력";#N/A,#N/A,TRUE,"YKD"}</definedName>
    <definedName name="ㅇㄹㅇㄴㄹ_1" localSheetId="24" hidden="1">{#N/A,#N/A,TRUE,"Y생산";#N/A,#N/A,TRUE,"Y판매";#N/A,#N/A,TRUE,"Y총물량";#N/A,#N/A,TRUE,"Y능력";#N/A,#N/A,TRUE,"YKD"}</definedName>
    <definedName name="ㅇㄹㅇㄴㄹ_1" hidden="1">{#N/A,#N/A,TRUE,"Y생산";#N/A,#N/A,TRUE,"Y판매";#N/A,#N/A,TRUE,"Y총물량";#N/A,#N/A,TRUE,"Y능력";#N/A,#N/A,TRUE,"YKD"}</definedName>
    <definedName name="ㅇㄹ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3" hidden="1">{#N/A,#N/A,TRUE,"Y생산";#N/A,#N/A,TRUE,"Y판매";#N/A,#N/A,TRUE,"Y총물량";#N/A,#N/A,TRUE,"Y능력";#N/A,#N/A,TRUE,"YKD"}</definedName>
    <definedName name="ㅇㄹㅇㄹ" localSheetId="18" hidden="1">{#N/A,#N/A,TRUE,"Y생산";#N/A,#N/A,TRUE,"Y판매";#N/A,#N/A,TRUE,"Y총물량";#N/A,#N/A,TRUE,"Y능력";#N/A,#N/A,TRUE,"YKD"}</definedName>
    <definedName name="ㅇㄹㅇㄹ" localSheetId="24" hidden="1">{#N/A,#N/A,TRUE,"Y생산";#N/A,#N/A,TRUE,"Y판매";#N/A,#N/A,TRUE,"Y총물량";#N/A,#N/A,TRUE,"Y능력";#N/A,#N/A,TRUE,"YKD"}</definedName>
    <definedName name="ㅇㄹㅇㄹ" hidden="1">{#N/A,#N/A,TRUE,"Y생산";#N/A,#N/A,TRUE,"Y판매";#N/A,#N/A,TRUE,"Y총물량";#N/A,#N/A,TRUE,"Y능력";#N/A,#N/A,TRUE,"YKD"}</definedName>
    <definedName name="ㅇㄹㅇㄹ_1" localSheetId="23" hidden="1">{#N/A,#N/A,TRUE,"Y생산";#N/A,#N/A,TRUE,"Y판매";#N/A,#N/A,TRUE,"Y총물량";#N/A,#N/A,TRUE,"Y능력";#N/A,#N/A,TRUE,"YKD"}</definedName>
    <definedName name="ㅇㄹㅇㄹ_1" localSheetId="18" hidden="1">{#N/A,#N/A,TRUE,"Y생산";#N/A,#N/A,TRUE,"Y판매";#N/A,#N/A,TRUE,"Y총물량";#N/A,#N/A,TRUE,"Y능력";#N/A,#N/A,TRUE,"YKD"}</definedName>
    <definedName name="ㅇㄹㅇㄹ_1" localSheetId="24" hidden="1">{#N/A,#N/A,TRUE,"Y생산";#N/A,#N/A,TRUE,"Y판매";#N/A,#N/A,TRUE,"Y총물량";#N/A,#N/A,TRUE,"Y능력";#N/A,#N/A,TRUE,"YKD"}</definedName>
    <definedName name="ㅇㄹㅇㄹ_1" hidden="1">{#N/A,#N/A,TRUE,"Y생산";#N/A,#N/A,TRUE,"Y판매";#N/A,#N/A,TRUE,"Y총물량";#N/A,#N/A,TRUE,"Y능력";#N/A,#N/A,TRUE,"YKD"}</definedName>
    <definedName name="ㅇ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3" hidden="1">{#N/A,#N/A,FALSE,"이력서&amp;자기소개서"}</definedName>
    <definedName name="ㅇㄹㅇㄹㅇㄹㅇㄹㅇㄹㅇㄹㅇㄹㅇㄹ" localSheetId="18" hidden="1">{#N/A,#N/A,FALSE,"이력서&amp;자기소개서"}</definedName>
    <definedName name="ㅇㄹㅇㄹㅇㄹㅇㄹㅇㄹㅇㄹㅇㄹㅇㄹ" localSheetId="24" hidden="1">{#N/A,#N/A,FALSE,"이력서&amp;자기소개서"}</definedName>
    <definedName name="ㅇㄹㅇㄹㅇㄹㅇㄹㅇㄹㅇㄹㅇㄹㅇㄹ" hidden="1">{#N/A,#N/A,FALSE,"이력서&amp;자기소개서"}</definedName>
    <definedName name="ㅇㄹ홍ㄹ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3" hidden="1">{#N/A,#N/A,FALSE,"동부"}</definedName>
    <definedName name="ㅇㄻㄱㄷ" localSheetId="18" hidden="1">{#N/A,#N/A,FALSE,"동부"}</definedName>
    <definedName name="ㅇㄻㄱㄷ" localSheetId="24" hidden="1">{#N/A,#N/A,FALSE,"동부"}</definedName>
    <definedName name="ㅇㄻㄱㄷ" hidden="1">{#N/A,#N/A,FALSE,"동부"}</definedName>
    <definedName name="ㅇㄻ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3" hidden="1">{#N/A,#N/A,FALSE,"단축1";#N/A,#N/A,FALSE,"단축2";#N/A,#N/A,FALSE,"단축3";#N/A,#N/A,FALSE,"장축";#N/A,#N/A,FALSE,"4WD"}</definedName>
    <definedName name="ㅇㅀ" localSheetId="18" hidden="1">{#N/A,#N/A,FALSE,"단축1";#N/A,#N/A,FALSE,"단축2";#N/A,#N/A,FALSE,"단축3";#N/A,#N/A,FALSE,"장축";#N/A,#N/A,FALSE,"4WD"}</definedName>
    <definedName name="ㅇㅀ" localSheetId="24" hidden="1">{#N/A,#N/A,FALSE,"단축1";#N/A,#N/A,FALSE,"단축2";#N/A,#N/A,FALSE,"단축3";#N/A,#N/A,FALSE,"장축";#N/A,#N/A,FALSE,"4WD"}</definedName>
    <definedName name="ㅇㅀ" hidden="1">{#N/A,#N/A,FALSE,"단축1";#N/A,#N/A,FALSE,"단축2";#N/A,#N/A,FALSE,"단축3";#N/A,#N/A,FALSE,"장축";#N/A,#N/A,FALSE,"4WD"}</definedName>
    <definedName name="ㅇㅀㄹ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3" hidden="1">{"'용역비'!$A$4:$C$8"}</definedName>
    <definedName name="ㅇㅁ" localSheetId="18" hidden="1">{"'용역비'!$A$4:$C$8"}</definedName>
    <definedName name="ㅇㅁ" localSheetId="24" hidden="1">{"'용역비'!$A$4:$C$8"}</definedName>
    <definedName name="ㅇㅁ" hidden="1">{"'용역비'!$A$4:$C$8"}</definedName>
    <definedName name="ㅇㅁㄴㄻ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3" hidden="1">{#N/A,#N/A,TRUE,"대 차 대 조 표"}</definedName>
    <definedName name="ㅇㅇ" localSheetId="18" hidden="1">{#N/A,#N/A,TRUE,"대 차 대 조 표"}</definedName>
    <definedName name="ㅇㅇ" localSheetId="24" hidden="1">{#N/A,#N/A,TRUE,"대 차 대 조 표"}</definedName>
    <definedName name="ㅇㅇ" hidden="1">{#N/A,#N/A,TRUE,"대 차 대 조 표"}</definedName>
    <definedName name="ㅇㅇㄴ" localSheetId="23">BlankMacro1</definedName>
    <definedName name="ㅇㅇㄴ" localSheetId="18">BlankMacro1</definedName>
    <definedName name="ㅇㅇㄴ" localSheetId="24">BlankMacro1</definedName>
    <definedName name="ㅇㅇㄴ" localSheetId="1">BlankMacro1</definedName>
    <definedName name="ㅇㅇㄴ">BlankMacro1</definedName>
    <definedName name="ㅇㅇㄹㅇㄹㅇㄹㄴ" localSheetId="23" hidden="1">{"'7'!$B$15:$D$32"}</definedName>
    <definedName name="ㅇㅇㄹㅇㄹㅇㄹㄴ" localSheetId="18" hidden="1">{"'7'!$B$15:$D$32"}</definedName>
    <definedName name="ㅇㅇㄹㅇㄹㅇㄹㄴ" localSheetId="24" hidden="1">{"'7'!$B$15:$D$32"}</definedName>
    <definedName name="ㅇㅇㄹㅇㄹㅇㄹㄴ" hidden="1">{"'7'!$B$15:$D$32"}</definedName>
    <definedName name="ㅇㅇㅇ" localSheetId="23" hidden="1">{#N/A,#N/A,FALSE,"지침";#N/A,#N/A,FALSE,"환경분석";#N/A,#N/A,FALSE,"Sheet16"}</definedName>
    <definedName name="ㅇㅇㅇ" localSheetId="18" hidden="1">{#N/A,#N/A,FALSE,"지침";#N/A,#N/A,FALSE,"환경분석";#N/A,#N/A,FALSE,"Sheet16"}</definedName>
    <definedName name="ㅇㅇㅇ" localSheetId="24" hidden="1">{#N/A,#N/A,FALSE,"지침";#N/A,#N/A,FALSE,"환경분석";#N/A,#N/A,FALSE,"Sheet16"}</definedName>
    <definedName name="ㅇㅇㅇ" hidden="1">{#N/A,#N/A,FALSE,"지침";#N/A,#N/A,FALSE,"환경분석";#N/A,#N/A,FALSE,"Sheet16"}</definedName>
    <definedName name="ㅇㅇㅇㅇ" localSheetId="23" hidden="1">{#N/A,#N/A,FALSE,"지침";#N/A,#N/A,FALSE,"환경분석";#N/A,#N/A,FALSE,"Sheet16"}</definedName>
    <definedName name="ㅇㅇㅇㅇ" localSheetId="18" hidden="1">{#N/A,#N/A,FALSE,"지침";#N/A,#N/A,FALSE,"환경분석";#N/A,#N/A,FALSE,"Sheet16"}</definedName>
    <definedName name="ㅇㅇㅇㅇ" localSheetId="24" hidden="1">{#N/A,#N/A,FALSE,"지침";#N/A,#N/A,FALSE,"환경분석";#N/A,#N/A,FALSE,"Sheet16"}</definedName>
    <definedName name="ㅇㅇㅇㅇ" hidden="1">{#N/A,#N/A,FALSE,"지침";#N/A,#N/A,FALSE,"환경분석";#N/A,#N/A,FALSE,"Sheet16"}</definedName>
    <definedName name="ㅇㅇㅇㅇㅇ" localSheetId="23" hidden="1">{#N/A,#N/A,TRUE,"대 차 대 조 표"}</definedName>
    <definedName name="ㅇㅇㅇㅇㅇ" localSheetId="18" hidden="1">{#N/A,#N/A,TRUE,"대 차 대 조 표"}</definedName>
    <definedName name="ㅇㅇㅇㅇㅇ" localSheetId="24" hidden="1">{#N/A,#N/A,TRUE,"대 차 대 조 표"}</definedName>
    <definedName name="ㅇㅇㅇㅇㅇ" hidden="1">{#N/A,#N/A,TRUE,"대 차 대 조 표"}</definedName>
    <definedName name="ㅇㅇㅇㅇㅇ_1" localSheetId="23" hidden="1">{#N/A,#N/A,TRUE,"대 차 대 조 표"}</definedName>
    <definedName name="ㅇㅇㅇㅇㅇ_1" localSheetId="18" hidden="1">{#N/A,#N/A,TRUE,"대 차 대 조 표"}</definedName>
    <definedName name="ㅇㅇㅇㅇㅇ_1" localSheetId="24" hidden="1">{#N/A,#N/A,TRUE,"대 차 대 조 표"}</definedName>
    <definedName name="ㅇㅇㅇㅇㅇ_1" hidden="1">{#N/A,#N/A,TRUE,"대 차 대 조 표"}</definedName>
    <definedName name="ㅇㅇㅇㅇㅇㅇ" localSheetId="23" hidden="1">{#N/A,#N/A,FALSE,"지침";#N/A,#N/A,FALSE,"환경분석";#N/A,#N/A,FALSE,"Sheet16"}</definedName>
    <definedName name="ㅇㅇㅇㅇㅇㅇ" localSheetId="18" hidden="1">{#N/A,#N/A,FALSE,"지침";#N/A,#N/A,FALSE,"환경분석";#N/A,#N/A,FALSE,"Sheet16"}</definedName>
    <definedName name="ㅇㅇㅇㅇㅇㅇ" localSheetId="24" hidden="1">{#N/A,#N/A,FALSE,"지침";#N/A,#N/A,FALSE,"환경분석";#N/A,#N/A,FALSE,"Sheet16"}</definedName>
    <definedName name="ㅇㅇㅇㅇㅇㅇ" hidden="1">{#N/A,#N/A,FALSE,"지침";#N/A,#N/A,FALSE,"환경분석";#N/A,#N/A,FALSE,"Sheet16"}</definedName>
    <definedName name="ㅇㅇㅇㅇㅇㅇㅇㅇㅇ" localSheetId="23" hidden="1">{"'7'!$B$15:$D$32"}</definedName>
    <definedName name="ㅇㅇㅇㅇㅇㅇㅇㅇㅇ" localSheetId="18" hidden="1">{"'7'!$B$15:$D$32"}</definedName>
    <definedName name="ㅇㅇㅇㅇㅇㅇㅇㅇㅇ" localSheetId="24" hidden="1">{"'7'!$B$15:$D$32"}</definedName>
    <definedName name="ㅇㅇㅇㅇㅇㅇㅇㅇㅇ" hidden="1">{"'7'!$B$15:$D$32"}</definedName>
    <definedName name="ㅇㅇㅇㅇㅇㅇㅇㅇㅇㅇㅇ" localSheetId="23" hidden="1">{#N/A,#N/A,TRUE,"Y생산";#N/A,#N/A,TRUE,"Y판매";#N/A,#N/A,TRUE,"Y총물량";#N/A,#N/A,TRUE,"Y능력";#N/A,#N/A,TRUE,"YKD"}</definedName>
    <definedName name="ㅇㅇㅇㅇㅇㅇㅇㅇㅇㅇㅇ" localSheetId="18" hidden="1">{#N/A,#N/A,TRUE,"Y생산";#N/A,#N/A,TRUE,"Y판매";#N/A,#N/A,TRUE,"Y총물량";#N/A,#N/A,TRUE,"Y능력";#N/A,#N/A,TRUE,"YKD"}</definedName>
    <definedName name="ㅇㅇㅇㅇㅇㅇㅇㅇㅇㅇㅇ" localSheetId="24"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3" hidden="1">{#N/A,#N/A,TRUE,"Y생산";#N/A,#N/A,TRUE,"Y판매";#N/A,#N/A,TRUE,"Y총물량";#N/A,#N/A,TRUE,"Y능력";#N/A,#N/A,TRUE,"YKD"}</definedName>
    <definedName name="ㅇㅇㅇㅇㅇㅇㅇㅇㅇㅇㅇ_1" localSheetId="18"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hidden="1">{#N/A,#N/A,TRUE,"Y생산";#N/A,#N/A,TRUE,"Y판매";#N/A,#N/A,TRUE,"Y총물량";#N/A,#N/A,TRUE,"Y능력";#N/A,#N/A,TRUE,"YKD"}</definedName>
    <definedName name="ㅇㅈ"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3" hidden="1">{#N/A,#N/A,TRUE,"대 차 대 조 표"}</definedName>
    <definedName name="ㅇㅎㄹㅇㄶㄹㅇ" localSheetId="18" hidden="1">{#N/A,#N/A,TRUE,"대 차 대 조 표"}</definedName>
    <definedName name="ㅇㅎㄹㅇㄶㄹㅇ" localSheetId="24" hidden="1">{#N/A,#N/A,TRUE,"대 차 대 조 표"}</definedName>
    <definedName name="ㅇㅎㄹㅇㄶㄹㅇ" hidden="1">{#N/A,#N/A,TRUE,"대 차 대 조 표"}</definedName>
    <definedName name="ㅇㅎㅁ" localSheetId="23" hidden="1">{#N/A,#N/A,FALSE,"97년 투자계획 세부내역 "}</definedName>
    <definedName name="ㅇㅎㅁ" localSheetId="18" hidden="1">{#N/A,#N/A,FALSE,"97년 투자계획 세부내역 "}</definedName>
    <definedName name="ㅇㅎㅁ" localSheetId="24" hidden="1">{#N/A,#N/A,FALSE,"97년 투자계획 세부내역 "}</definedName>
    <definedName name="ㅇㅎㅁ" hidden="1">{#N/A,#N/A,FALSE,"97년 투자계획 세부내역 "}</definedName>
    <definedName name="ㅇㅎㅇㅎ" localSheetId="23" hidden="1">{"'용역비'!$A$4:$C$8"}</definedName>
    <definedName name="ㅇㅎㅇㅎ" localSheetId="18" hidden="1">{"'용역비'!$A$4:$C$8"}</definedName>
    <definedName name="ㅇㅎㅇㅎ" localSheetId="24" hidden="1">{"'용역비'!$A$4:$C$8"}</definedName>
    <definedName name="ㅇㅎㅇㅎ" hidden="1">{"'용역비'!$A$4:$C$8"}</definedName>
    <definedName name="ㅇ호" localSheetId="23" hidden="1">{"'용역비'!$A$4:$C$8"}</definedName>
    <definedName name="ㅇ호" localSheetId="18" hidden="1">{"'용역비'!$A$4:$C$8"}</definedName>
    <definedName name="ㅇ호" localSheetId="24" hidden="1">{"'용역비'!$A$4:$C$8"}</definedName>
    <definedName name="ㅇ호" hidden="1">{"'용역비'!$A$4:$C$8"}</definedName>
    <definedName name="ㅇ호ㅓ" localSheetId="23" hidden="1">{"'용역비'!$A$4:$C$8"}</definedName>
    <definedName name="ㅇ호ㅓ" localSheetId="18" hidden="1">{"'용역비'!$A$4:$C$8"}</definedName>
    <definedName name="ㅇ호ㅓ" localSheetId="24" hidden="1">{"'용역비'!$A$4:$C$8"}</definedName>
    <definedName name="ㅇ호ㅓ" hidden="1">{"'용역비'!$A$4:$C$8"}</definedName>
    <definedName name="ㅇ호ㅓㅇㅎ" localSheetId="23" hidden="1">{"'용역비'!$A$4:$C$8"}</definedName>
    <definedName name="ㅇ호ㅓㅇㅎ" localSheetId="18" hidden="1">{"'용역비'!$A$4:$C$8"}</definedName>
    <definedName name="ㅇ호ㅓㅇㅎ" localSheetId="24" hidden="1">{"'용역비'!$A$4:$C$8"}</definedName>
    <definedName name="ㅇ호ㅓㅇㅎ" hidden="1">{"'용역비'!$A$4:$C$8"}</definedName>
    <definedName name="ㅇ호ㅓㅇ호ㅓ" localSheetId="23" hidden="1">{"'용역비'!$A$4:$C$8"}</definedName>
    <definedName name="ㅇ호ㅓㅇ호ㅓ" localSheetId="18" hidden="1">{"'용역비'!$A$4:$C$8"}</definedName>
    <definedName name="ㅇ호ㅓㅇ호ㅓ" localSheetId="24" hidden="1">{"'용역비'!$A$4:$C$8"}</definedName>
    <definedName name="ㅇ호ㅓㅇ호ㅓ" hidden="1">{"'용역비'!$A$4:$C$8"}</definedName>
    <definedName name="ㅇ호ㅓㅎ" localSheetId="23" hidden="1">{"'용역비'!$A$4:$C$8"}</definedName>
    <definedName name="ㅇ호ㅓㅎ" localSheetId="18" hidden="1">{"'용역비'!$A$4:$C$8"}</definedName>
    <definedName name="ㅇ호ㅓㅎ" localSheetId="24" hidden="1">{"'용역비'!$A$4:$C$8"}</definedName>
    <definedName name="ㅇ호ㅓㅎ" hidden="1">{"'용역비'!$A$4:$C$8"}</definedName>
    <definedName name="ㅇ호ㅓ호ㅓ" localSheetId="23" hidden="1">{"'용역비'!$A$4:$C$8"}</definedName>
    <definedName name="ㅇ호ㅓ호ㅓ" localSheetId="18" hidden="1">{"'용역비'!$A$4:$C$8"}</definedName>
    <definedName name="ㅇ호ㅓ호ㅓ" localSheetId="24" hidden="1">{"'용역비'!$A$4:$C$8"}</definedName>
    <definedName name="ㅇ호ㅓ호ㅓ" hidden="1">{"'용역비'!$A$4:$C$8"}</definedName>
    <definedName name="아" localSheetId="23" hidden="1">{#N/A,#N/A,FALSE,"1.CRITERIA";#N/A,#N/A,FALSE,"2.IS";#N/A,#N/A,FALSE,"3.BS";#N/A,#N/A,FALSE,"4.PER PL";#N/A,#N/A,FALSE,"5.INVESTMENT";#N/A,#N/A,FALSE,"6.공문";#N/A,#N/A,FALSE,"7.netinvest"}</definedName>
    <definedName name="아" localSheetId="18" hidden="1">{#N/A,#N/A,FALSE,"1.CRITERIA";#N/A,#N/A,FALSE,"2.IS";#N/A,#N/A,FALSE,"3.BS";#N/A,#N/A,FALSE,"4.PER PL";#N/A,#N/A,FALSE,"5.INVESTMENT";#N/A,#N/A,FALSE,"6.공문";#N/A,#N/A,FALSE,"7.netinvest"}</definedName>
    <definedName name="아" localSheetId="24"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3" hidden="1">{#N/A,#N/A,FALSE,"지침";#N/A,#N/A,FALSE,"환경분석";#N/A,#N/A,FALSE,"Sheet16"}</definedName>
    <definedName name="아그우" localSheetId="18" hidden="1">{#N/A,#N/A,FALSE,"지침";#N/A,#N/A,FALSE,"환경분석";#N/A,#N/A,FALSE,"Sheet16"}</definedName>
    <definedName name="아그우" localSheetId="24" hidden="1">{#N/A,#N/A,FALSE,"지침";#N/A,#N/A,FALSE,"환경분석";#N/A,#N/A,FALSE,"Sheet16"}</definedName>
    <definedName name="아그우" hidden="1">{#N/A,#N/A,FALSE,"지침";#N/A,#N/A,FALSE,"환경분석";#N/A,#N/A,FALSE,"Sheet16"}</definedName>
    <definedName name="아들" localSheetId="23" hidden="1">{"'7'!$B$15:$D$32"}</definedName>
    <definedName name="아들" localSheetId="18" hidden="1">{"'7'!$B$15:$D$32"}</definedName>
    <definedName name="아들" localSheetId="24" hidden="1">{"'7'!$B$15:$D$32"}</definedName>
    <definedName name="아들" hidden="1">{"'7'!$B$15:$D$32"}</definedName>
    <definedName name="아마도" localSheetId="23" hidden="1">{#N/A,#N/A,FALSE,"97년 투자계획 세부내역 "}</definedName>
    <definedName name="아마도" localSheetId="18" hidden="1">{#N/A,#N/A,FALSE,"97년 투자계획 세부내역 "}</definedName>
    <definedName name="아마도" localSheetId="24" hidden="1">{#N/A,#N/A,FALSE,"97년 투자계획 세부내역 "}</definedName>
    <definedName name="아마도" hidden="1">{#N/A,#N/A,FALSE,"97년 투자계획 세부내역 "}</definedName>
    <definedName name="아무거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3" hidden="1">{#N/A,#N/A,FALSE,"1.CRITERIA";#N/A,#N/A,FALSE,"2.IS";#N/A,#N/A,FALSE,"3.BS";#N/A,#N/A,FALSE,"4.PER PL";#N/A,#N/A,FALSE,"5.INVESTMENT";#N/A,#N/A,FALSE,"6.공문";#N/A,#N/A,FALSE,"7.netinvest"}</definedName>
    <definedName name="아아" localSheetId="18" hidden="1">{#N/A,#N/A,FALSE,"1.CRITERIA";#N/A,#N/A,FALSE,"2.IS";#N/A,#N/A,FALSE,"3.BS";#N/A,#N/A,FALSE,"4.PER PL";#N/A,#N/A,FALSE,"5.INVESTMENT";#N/A,#N/A,FALSE,"6.공문";#N/A,#N/A,FALSE,"7.netinvest"}</definedName>
    <definedName name="아아" localSheetId="24"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3" hidden="1">{#N/A,#N/A,FALSE,"1.CRITERIA";#N/A,#N/A,FALSE,"2.IS";#N/A,#N/A,FALSE,"3.BS";#N/A,#N/A,FALSE,"4.PER PL";#N/A,#N/A,FALSE,"5.INVESTMENT";#N/A,#N/A,FALSE,"6.공문";#N/A,#N/A,FALSE,"7.netinvest"}</definedName>
    <definedName name="아아아" localSheetId="18"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3" hidden="1">{#N/A,#N/A,FALSE,"1.CRITERIA";#N/A,#N/A,FALSE,"2.IS";#N/A,#N/A,FALSE,"3.BS";#N/A,#N/A,FALSE,"4.PER PL";#N/A,#N/A,FALSE,"5.INVESTMENT";#N/A,#N/A,FALSE,"6.공문";#N/A,#N/A,FALSE,"7.netinvest"}</definedName>
    <definedName name="아이" localSheetId="18"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3" hidden="1">{"'PROFORMA'!$A$1:$H$120"}</definedName>
    <definedName name="아자자자자" localSheetId="18" hidden="1">{"'PROFORMA'!$A$1:$H$120"}</definedName>
    <definedName name="아자자자자" localSheetId="24" hidden="1">{"'PROFORMA'!$A$1:$H$120"}</definedName>
    <definedName name="아자자자자" hidden="1">{"'PROFORMA'!$A$1:$H$120"}</definedName>
    <definedName name="아크리스빌딩" localSheetId="23" hidden="1">{#N/A,#N/A,FALSE,"동부"}</definedName>
    <definedName name="아크리스빌딩" localSheetId="18" hidden="1">{#N/A,#N/A,FALSE,"동부"}</definedName>
    <definedName name="아크리스빌딩" localSheetId="24" hidden="1">{#N/A,#N/A,FALSE,"동부"}</definedName>
    <definedName name="아크리스빌딩" hidden="1">{#N/A,#N/A,FALSE,"동부"}</definedName>
    <definedName name="아ㅏㅓ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3" hidden="1">{#N/A,#N/A,FALSE,"범우구미";#N/A,#N/A,FALSE,"세한케미칼";#N/A,#N/A,FALSE,"세명화학";#N/A,#N/A,FALSE,"신영케미칼";#N/A,#N/A,FALSE,"일석상사"}</definedName>
    <definedName name="아ㅣㅣㅣ" localSheetId="18" hidden="1">{#N/A,#N/A,FALSE,"범우구미";#N/A,#N/A,FALSE,"세한케미칼";#N/A,#N/A,FALSE,"세명화학";#N/A,#N/A,FALSE,"신영케미칼";#N/A,#N/A,FALSE,"일석상사"}</definedName>
    <definedName name="아ㅣㅣㅣ" localSheetId="24"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3" hidden="1">{#N/A,#N/A,FALSE,"BS";#N/A,#N/A,FALSE,"PL";#N/A,#N/A,FALSE,"처분";#N/A,#N/A,FALSE,"현금";#N/A,#N/A,FALSE,"매출";#N/A,#N/A,FALSE,"원가";#N/A,#N/A,FALSE,"경영"}</definedName>
    <definedName name="안건" localSheetId="18" hidden="1">{#N/A,#N/A,FALSE,"BS";#N/A,#N/A,FALSE,"PL";#N/A,#N/A,FALSE,"처분";#N/A,#N/A,FALSE,"현금";#N/A,#N/A,FALSE,"매출";#N/A,#N/A,FALSE,"원가";#N/A,#N/A,FALSE,"경영"}</definedName>
    <definedName name="안건" localSheetId="24"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3" hidden="1">{#N/A,#N/A,TRUE,"대 차 대 조 표"}</definedName>
    <definedName name="안범기" localSheetId="18" hidden="1">{#N/A,#N/A,TRUE,"대 차 대 조 표"}</definedName>
    <definedName name="안범기" localSheetId="24" hidden="1">{#N/A,#N/A,TRUE,"대 차 대 조 표"}</definedName>
    <definedName name="안범기" hidden="1">{#N/A,#N/A,TRUE,"대 차 대 조 표"}</definedName>
    <definedName name="안산" localSheetId="23" hidden="1">{#N/A,#N/A,FALSE,"CCTV"}</definedName>
    <definedName name="안산" localSheetId="18" hidden="1">{#N/A,#N/A,FALSE,"CCTV"}</definedName>
    <definedName name="안산" localSheetId="24" hidden="1">{#N/A,#N/A,FALSE,"CCTV"}</definedName>
    <definedName name="안산" hidden="1">{#N/A,#N/A,FALSE,"CCTV"}</definedName>
    <definedName name="안전절감효과" localSheetId="23" hidden="1">{#N/A,#N/A,TRUE,"Y생산";#N/A,#N/A,TRUE,"Y판매";#N/A,#N/A,TRUE,"Y총물량";#N/A,#N/A,TRUE,"Y능력";#N/A,#N/A,TRUE,"YKD"}</definedName>
    <definedName name="안전절감효과" localSheetId="18" hidden="1">{#N/A,#N/A,TRUE,"Y생산";#N/A,#N/A,TRUE,"Y판매";#N/A,#N/A,TRUE,"Y총물량";#N/A,#N/A,TRUE,"Y능력";#N/A,#N/A,TRUE,"YKD"}</definedName>
    <definedName name="안전절감효과" localSheetId="24" hidden="1">{#N/A,#N/A,TRUE,"Y생산";#N/A,#N/A,TRUE,"Y판매";#N/A,#N/A,TRUE,"Y총물량";#N/A,#N/A,TRUE,"Y능력";#N/A,#N/A,TRUE,"YKD"}</definedName>
    <definedName name="안전절감효과" hidden="1">{#N/A,#N/A,TRUE,"Y생산";#N/A,#N/A,TRUE,"Y판매";#N/A,#N/A,TRUE,"Y총물량";#N/A,#N/A,TRUE,"Y능력";#N/A,#N/A,TRUE,"YKD"}</definedName>
    <definedName name="안전점검내역" localSheetId="23" hidden="1">{#N/A,#N/A,FALSE,"현장 NCR 분석";#N/A,#N/A,FALSE,"현장품질감사";#N/A,#N/A,FALSE,"현장품질감사"}</definedName>
    <definedName name="안전점검내역" localSheetId="18" hidden="1">{#N/A,#N/A,FALSE,"현장 NCR 분석";#N/A,#N/A,FALSE,"현장품질감사";#N/A,#N/A,FALSE,"현장품질감사"}</definedName>
    <definedName name="안전점검내역" localSheetId="24" hidden="1">{#N/A,#N/A,FALSE,"현장 NCR 분석";#N/A,#N/A,FALSE,"현장품질감사";#N/A,#N/A,FALSE,"현장품질감사"}</definedName>
    <definedName name="안전점검내역" hidden="1">{#N/A,#N/A,FALSE,"현장 NCR 분석";#N/A,#N/A,FALSE,"현장품질감사";#N/A,#N/A,FALSE,"현장품질감사"}</definedName>
    <definedName name="암사" localSheetId="23" hidden="1">{#N/A,#N/A,TRUE,"대 차 대 조 표"}</definedName>
    <definedName name="암사" localSheetId="18" hidden="1">{#N/A,#N/A,TRUE,"대 차 대 조 표"}</definedName>
    <definedName name="암사" localSheetId="24" hidden="1">{#N/A,#N/A,TRUE,"대 차 대 조 표"}</definedName>
    <definedName name="암사" hidden="1">{#N/A,#N/A,TRUE,"대 차 대 조 표"}</definedName>
    <definedName name="암사_1" localSheetId="23" hidden="1">{#N/A,#N/A,TRUE,"대 차 대 조 표"}</definedName>
    <definedName name="암사_1" localSheetId="18" hidden="1">{#N/A,#N/A,TRUE,"대 차 대 조 표"}</definedName>
    <definedName name="암사_1" localSheetId="24" hidden="1">{#N/A,#N/A,TRUE,"대 차 대 조 표"}</definedName>
    <definedName name="암사_1" hidden="1">{#N/A,#N/A,TRUE,"대 차 대 조 표"}</definedName>
    <definedName name="앙" localSheetId="23" hidden="1">{#N/A,#N/A,FALSE,"이력서&amp;자기소개서"}</definedName>
    <definedName name="앙" localSheetId="18" hidden="1">{#N/A,#N/A,FALSE,"이력서&amp;자기소개서"}</definedName>
    <definedName name="앙" localSheetId="24" hidden="1">{#N/A,#N/A,FALSE,"이력서&amp;자기소개서"}</definedName>
    <definedName name="앙" hidden="1">{#N/A,#N/A,FALSE,"이력서&amp;자기소개서"}</definedName>
    <definedName name="앙_1" localSheetId="23" hidden="1">{#N/A,#N/A,FALSE,"BS";#N/A,#N/A,FALSE,"PL";#N/A,#N/A,FALSE,"처분";#N/A,#N/A,FALSE,"현금";#N/A,#N/A,FALSE,"매출";#N/A,#N/A,FALSE,"원가";#N/A,#N/A,FALSE,"경영"}</definedName>
    <definedName name="앙_1" localSheetId="18" hidden="1">{#N/A,#N/A,FALSE,"BS";#N/A,#N/A,FALSE,"PL";#N/A,#N/A,FALSE,"처분";#N/A,#N/A,FALSE,"현금";#N/A,#N/A,FALSE,"매출";#N/A,#N/A,FALSE,"원가";#N/A,#N/A,FALSE,"경영"}</definedName>
    <definedName name="앙_1" localSheetId="24"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3" hidden="1">{#N/A,#N/A,FALSE,"동부"}</definedName>
    <definedName name="약" localSheetId="18" hidden="1">{#N/A,#N/A,FALSE,"동부"}</definedName>
    <definedName name="약" localSheetId="24" hidden="1">{#N/A,#N/A,FALSE,"동부"}</definedName>
    <definedName name="약" hidden="1">{#N/A,#N/A,FALSE,"동부"}</definedName>
    <definedName name="양"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3" hidden="1">{"'용역비'!$A$4:$C$8"}</definedName>
    <definedName name="어" localSheetId="18" hidden="1">{"'용역비'!$A$4:$C$8"}</definedName>
    <definedName name="어" localSheetId="24" hidden="1">{"'용역비'!$A$4:$C$8"}</definedName>
    <definedName name="어" hidden="1">{"'용역비'!$A$4:$C$8"}</definedName>
    <definedName name="어어" localSheetId="23" hidden="1">{#N/A,#N/A,FALSE,"1.CRITERIA";#N/A,#N/A,FALSE,"2.IS";#N/A,#N/A,FALSE,"3.BS";#N/A,#N/A,FALSE,"4.PER PL";#N/A,#N/A,FALSE,"5.INVESTMENT";#N/A,#N/A,FALSE,"6.공문";#N/A,#N/A,FALSE,"7.netinvest"}</definedName>
    <definedName name="어어" localSheetId="18" hidden="1">{#N/A,#N/A,FALSE,"1.CRITERIA";#N/A,#N/A,FALSE,"2.IS";#N/A,#N/A,FALSE,"3.BS";#N/A,#N/A,FALSE,"4.PER PL";#N/A,#N/A,FALSE,"5.INVESTMENT";#N/A,#N/A,FALSE,"6.공문";#N/A,#N/A,FALSE,"7.netinvest"}</definedName>
    <definedName name="어어" localSheetId="24"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3" hidden="1">{"'2분기예산별'!$B$2:$O$38"}</definedName>
    <definedName name="어어어어어" localSheetId="18" hidden="1">{"'2분기예산별'!$B$2:$O$38"}</definedName>
    <definedName name="어어어어어" localSheetId="24" hidden="1">{"'2분기예산별'!$B$2:$O$38"}</definedName>
    <definedName name="어어어어어" hidden="1">{"'2분기예산별'!$B$2:$O$38"}</definedName>
    <definedName name="어음수표" localSheetId="23" hidden="1">{#N/A,#N/A,FALSE,"1.CRITERIA";#N/A,#N/A,FALSE,"2.IS";#N/A,#N/A,FALSE,"3.BS";#N/A,#N/A,FALSE,"4.PER PL";#N/A,#N/A,FALSE,"5.INVESTMENT";#N/A,#N/A,FALSE,"6.공문";#N/A,#N/A,FALSE,"7.netinvest"}</definedName>
    <definedName name="어음수표" localSheetId="18" hidden="1">{#N/A,#N/A,FALSE,"1.CRITERIA";#N/A,#N/A,FALSE,"2.IS";#N/A,#N/A,FALSE,"3.BS";#N/A,#N/A,FALSE,"4.PER PL";#N/A,#N/A,FALSE,"5.INVESTMENT";#N/A,#N/A,FALSE,"6.공문";#N/A,#N/A,FALSE,"7.netinvest"}</definedName>
    <definedName name="어음수표" localSheetId="24"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3" hidden="1">{#N/A,#N/A,TRUE,"대 차 대 조 표"}</definedName>
    <definedName name="업무" localSheetId="18" hidden="1">{#N/A,#N/A,TRUE,"대 차 대 조 표"}</definedName>
    <definedName name="업무" localSheetId="24" hidden="1">{#N/A,#N/A,TRUE,"대 차 대 조 표"}</definedName>
    <definedName name="업무" hidden="1">{#N/A,#N/A,TRUE,"대 차 대 조 표"}</definedName>
    <definedName name="업무_1" localSheetId="23" hidden="1">{#N/A,#N/A,TRUE,"대 차 대 조 표"}</definedName>
    <definedName name="업무_1" localSheetId="18" hidden="1">{#N/A,#N/A,TRUE,"대 차 대 조 표"}</definedName>
    <definedName name="업무_1" localSheetId="24" hidden="1">{#N/A,#N/A,TRUE,"대 차 대 조 표"}</definedName>
    <definedName name="업무_1" hidden="1">{#N/A,#N/A,TRUE,"대 차 대 조 표"}</definedName>
    <definedName name="업무계획표" localSheetId="23" hidden="1">{#N/A,#N/A,TRUE,"대 차 대 조 표"}</definedName>
    <definedName name="업무계획표" localSheetId="18" hidden="1">{#N/A,#N/A,TRUE,"대 차 대 조 표"}</definedName>
    <definedName name="업무계획표" localSheetId="24" hidden="1">{#N/A,#N/A,TRUE,"대 차 대 조 표"}</definedName>
    <definedName name="업무계획표" hidden="1">{#N/A,#N/A,TRUE,"대 차 대 조 표"}</definedName>
    <definedName name="업무계획표_1" localSheetId="23" hidden="1">{#N/A,#N/A,TRUE,"대 차 대 조 표"}</definedName>
    <definedName name="업무계획표_1" localSheetId="18" hidden="1">{#N/A,#N/A,TRUE,"대 차 대 조 표"}</definedName>
    <definedName name="업무계획표_1" localSheetId="24" hidden="1">{#N/A,#N/A,TRUE,"대 차 대 조 표"}</definedName>
    <definedName name="업무계획표_1" hidden="1">{#N/A,#N/A,TRUE,"대 차 대 조 표"}</definedName>
    <definedName name="업무계획표01" localSheetId="23" hidden="1">{#N/A,#N/A,TRUE,"대 차 대 조 표"}</definedName>
    <definedName name="업무계획표01" localSheetId="18" hidden="1">{#N/A,#N/A,TRUE,"대 차 대 조 표"}</definedName>
    <definedName name="업무계획표01" localSheetId="24" hidden="1">{#N/A,#N/A,TRUE,"대 차 대 조 표"}</definedName>
    <definedName name="업무계획표01" hidden="1">{#N/A,#N/A,TRUE,"대 차 대 조 표"}</definedName>
    <definedName name="업무계획표01_1" localSheetId="23" hidden="1">{#N/A,#N/A,TRUE,"대 차 대 조 표"}</definedName>
    <definedName name="업무계획표01_1" localSheetId="18" hidden="1">{#N/A,#N/A,TRUE,"대 차 대 조 표"}</definedName>
    <definedName name="업무계획표01_1" localSheetId="24" hidden="1">{#N/A,#N/A,TRUE,"대 차 대 조 표"}</definedName>
    <definedName name="업무계획표01_1" hidden="1">{#N/A,#N/A,TRUE,"대 차 대 조 표"}</definedName>
    <definedName name="업체근속" localSheetId="23" hidden="1">{#N/A,#N/A,FALSE,"단축1";#N/A,#N/A,FALSE,"단축2";#N/A,#N/A,FALSE,"단축3";#N/A,#N/A,FALSE,"장축";#N/A,#N/A,FALSE,"4WD"}</definedName>
    <definedName name="업체근속" localSheetId="18" hidden="1">{#N/A,#N/A,FALSE,"단축1";#N/A,#N/A,FALSE,"단축2";#N/A,#N/A,FALSE,"단축3";#N/A,#N/A,FALSE,"장축";#N/A,#N/A,FALSE,"4WD"}</definedName>
    <definedName name="업체근속" localSheetId="24" hidden="1">{#N/A,#N/A,FALSE,"단축1";#N/A,#N/A,FALSE,"단축2";#N/A,#N/A,FALSE,"단축3";#N/A,#N/A,FALSE,"장축";#N/A,#N/A,FALSE,"4WD"}</definedName>
    <definedName name="업체근속" hidden="1">{#N/A,#N/A,FALSE,"단축1";#N/A,#N/A,FALSE,"단축2";#N/A,#N/A,FALSE,"단축3";#N/A,#N/A,FALSE,"장축";#N/A,#N/A,FALSE,"4WD"}</definedName>
    <definedName name="없애버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3">BlankMacro1</definedName>
    <definedName name="에너지비용산출근거" localSheetId="18">BlankMacro1</definedName>
    <definedName name="에너지비용산출근거" localSheetId="24">BlankMacro1</definedName>
    <definedName name="에너지비용산출근거" localSheetId="1">BlankMacro1</definedName>
    <definedName name="에너지비용산출근거">BlankMacro1</definedName>
    <definedName name="에스" localSheetId="23" hidden="1">{#N/A,#N/A,FALSE,"동부"}</definedName>
    <definedName name="에스" localSheetId="18" hidden="1">{#N/A,#N/A,FALSE,"동부"}</definedName>
    <definedName name="에스" localSheetId="24" hidden="1">{#N/A,#N/A,FALSE,"동부"}</definedName>
    <definedName name="에스" hidden="1">{#N/A,#N/A,FALSE,"동부"}</definedName>
    <definedName name="予算" localSheetId="23" hidden="1">{"pond1",#N/A,FALSE,"Focus";"pond2",#N/A,FALSE,"Focus"}</definedName>
    <definedName name="予算" localSheetId="18" hidden="1">{"pond1",#N/A,FALSE,"Focus";"pond2",#N/A,FALSE,"Focus"}</definedName>
    <definedName name="予算" localSheetId="24" hidden="1">{"pond1",#N/A,FALSE,"Focus";"pond2",#N/A,FALSE,"Focus"}</definedName>
    <definedName name="予算" hidden="1">{"pond1",#N/A,FALSE,"Focus";"pond2",#N/A,FALSE,"Focus"}</definedName>
    <definedName name="여의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3" hidden="1">{#N/A,#N/A,FALSE,"1.CRITERIA";#N/A,#N/A,FALSE,"2.IS";#N/A,#N/A,FALSE,"3.BS";#N/A,#N/A,FALSE,"4.PER PL";#N/A,#N/A,FALSE,"5.INVESTMENT";#N/A,#N/A,FALSE,"6.공문";#N/A,#N/A,FALSE,"7.netinvest"}</definedName>
    <definedName name="여이" localSheetId="18" hidden="1">{#N/A,#N/A,FALSE,"1.CRITERIA";#N/A,#N/A,FALSE,"2.IS";#N/A,#N/A,FALSE,"3.BS";#N/A,#N/A,FALSE,"4.PER PL";#N/A,#N/A,FALSE,"5.INVESTMENT";#N/A,#N/A,FALSE,"6.공문";#N/A,#N/A,FALSE,"7.netinvest"}</definedName>
    <definedName name="여이" localSheetId="24"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3" hidden="1">{#N/A,#N/A,TRUE,"대 차 대 조 표"}</definedName>
    <definedName name="역삼4월" localSheetId="18" hidden="1">{#N/A,#N/A,TRUE,"대 차 대 조 표"}</definedName>
    <definedName name="역삼4월" localSheetId="24" hidden="1">{#N/A,#N/A,TRUE,"대 차 대 조 표"}</definedName>
    <definedName name="역삼4월" hidden="1">{#N/A,#N/A,TRUE,"대 차 대 조 표"}</definedName>
    <definedName name="역삼5월" localSheetId="23" hidden="1">{#N/A,#N/A,TRUE,"대 차 대 조 표"}</definedName>
    <definedName name="역삼5월" localSheetId="18" hidden="1">{#N/A,#N/A,TRUE,"대 차 대 조 표"}</definedName>
    <definedName name="역삼5월" localSheetId="24" hidden="1">{#N/A,#N/A,TRUE,"대 차 대 조 표"}</definedName>
    <definedName name="역삼5월" hidden="1">{#N/A,#N/A,TRUE,"대 차 대 조 표"}</definedName>
    <definedName name="역삼5월청구" localSheetId="23" hidden="1">{#N/A,#N/A,TRUE,"대 차 대 조 표"}</definedName>
    <definedName name="역삼5월청구" localSheetId="18" hidden="1">{#N/A,#N/A,TRUE,"대 차 대 조 표"}</definedName>
    <definedName name="역삼5월청구" localSheetId="24" hidden="1">{#N/A,#N/A,TRUE,"대 차 대 조 표"}</definedName>
    <definedName name="역삼5월청구" hidden="1">{#N/A,#N/A,TRUE,"대 차 대 조 표"}</definedName>
    <definedName name="역삼계" localSheetId="23" hidden="1">{#N/A,#N/A,TRUE,"대 차 대 조 표"}</definedName>
    <definedName name="역삼계" localSheetId="18" hidden="1">{#N/A,#N/A,TRUE,"대 차 대 조 표"}</definedName>
    <definedName name="역삼계" localSheetId="24" hidden="1">{#N/A,#N/A,TRUE,"대 차 대 조 표"}</definedName>
    <definedName name="역삼계" hidden="1">{#N/A,#N/A,TRUE,"대 차 대 조 표"}</definedName>
    <definedName name="연구" localSheetId="23" hidden="1">{"'7'!$B$15:$D$32"}</definedName>
    <definedName name="연구" localSheetId="18" hidden="1">{"'7'!$B$15:$D$32"}</definedName>
    <definedName name="연구" localSheetId="24" hidden="1">{"'7'!$B$15:$D$32"}</definedName>
    <definedName name="연구" hidden="1">{"'7'!$B$15:$D$32"}</definedName>
    <definedName name="연세대학교" localSheetId="23" hidden="1">{#N/A,#N/A,FALSE,"이력서&amp;자기소개서"}</definedName>
    <definedName name="연세대학교" localSheetId="18" hidden="1">{#N/A,#N/A,FALSE,"이력서&amp;자기소개서"}</definedName>
    <definedName name="연세대학교" localSheetId="24" hidden="1">{#N/A,#N/A,FALSE,"이력서&amp;자기소개서"}</definedName>
    <definedName name="연세대학교" hidden="1">{#N/A,#N/A,FALSE,"이력서&amp;자기소개서"}</definedName>
    <definedName name="엽기" localSheetId="23" hidden="1">{#N/A,#N/A,FALSE,"단축1";#N/A,#N/A,FALSE,"단축2";#N/A,#N/A,FALSE,"단축3";#N/A,#N/A,FALSE,"장축";#N/A,#N/A,FALSE,"4WD"}</definedName>
    <definedName name="엽기" localSheetId="18" hidden="1">{#N/A,#N/A,FALSE,"단축1";#N/A,#N/A,FALSE,"단축2";#N/A,#N/A,FALSE,"단축3";#N/A,#N/A,FALSE,"장축";#N/A,#N/A,FALSE,"4WD"}</definedName>
    <definedName name="엽기" localSheetId="24" hidden="1">{#N/A,#N/A,FALSE,"단축1";#N/A,#N/A,FALSE,"단축2";#N/A,#N/A,FALSE,"단축3";#N/A,#N/A,FALSE,"장축";#N/A,#N/A,FALSE,"4WD"}</definedName>
    <definedName name="엽기" hidden="1">{#N/A,#N/A,FALSE,"단축1";#N/A,#N/A,FALSE,"단축2";#N/A,#N/A,FALSE,"단축3";#N/A,#N/A,FALSE,"장축";#N/A,#N/A,FALSE,"4WD"}</definedName>
    <definedName name="영" localSheetId="23" hidden="1">{#N/A,#N/A,FALSE,"1.CRITERIA";#N/A,#N/A,FALSE,"2.IS";#N/A,#N/A,FALSE,"3.BS";#N/A,#N/A,FALSE,"4.PER PL";#N/A,#N/A,FALSE,"5.INVESTMENT";#N/A,#N/A,FALSE,"6.공문";#N/A,#N/A,FALSE,"7.netinvest"}</definedName>
    <definedName name="영" localSheetId="18" hidden="1">{#N/A,#N/A,FALSE,"1.CRITERIA";#N/A,#N/A,FALSE,"2.IS";#N/A,#N/A,FALSE,"3.BS";#N/A,#N/A,FALSE,"4.PER PL";#N/A,#N/A,FALSE,"5.INVESTMENT";#N/A,#N/A,FALSE,"6.공문";#N/A,#N/A,FALSE,"7.netinvest"}</definedName>
    <definedName name="영" localSheetId="24"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3" hidden="1">{#N/A,#N/A,FALSE,"지침";#N/A,#N/A,FALSE,"환경분석";#N/A,#N/A,FALSE,"Sheet16"}</definedName>
    <definedName name="영구" localSheetId="18" hidden="1">{#N/A,#N/A,FALSE,"지침";#N/A,#N/A,FALSE,"환경분석";#N/A,#N/A,FALSE,"Sheet16"}</definedName>
    <definedName name="영구" localSheetId="24" hidden="1">{#N/A,#N/A,FALSE,"지침";#N/A,#N/A,FALSE,"환경분석";#N/A,#N/A,FALSE,"Sheet16"}</definedName>
    <definedName name="영구" hidden="1">{#N/A,#N/A,FALSE,"지침";#N/A,#N/A,FALSE,"환경분석";#N/A,#N/A,FALSE,"Sheet16"}</definedName>
    <definedName name="영성기업" localSheetId="23" hidden="1">{#N/A,#N/A,FALSE,"범우구미";#N/A,#N/A,FALSE,"세한케미칼";#N/A,#N/A,FALSE,"세명화학";#N/A,#N/A,FALSE,"신영케미칼";#N/A,#N/A,FALSE,"일석상사"}</definedName>
    <definedName name="영성기업" localSheetId="18" hidden="1">{#N/A,#N/A,FALSE,"범우구미";#N/A,#N/A,FALSE,"세한케미칼";#N/A,#N/A,FALSE,"세명화학";#N/A,#N/A,FALSE,"신영케미칼";#N/A,#N/A,FALSE,"일석상사"}</definedName>
    <definedName name="영성기업" localSheetId="24"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3" hidden="1">{#N/A,#N/A,FALSE,"1.CRITERIA";#N/A,#N/A,FALSE,"2.IS";#N/A,#N/A,FALSE,"3.BS";#N/A,#N/A,FALSE,"4.PER PL";#N/A,#N/A,FALSE,"5.INVESTMENT";#N/A,#N/A,FALSE,"6.공문";#N/A,#N/A,FALSE,"7.netinvest"}</definedName>
    <definedName name="영업수" localSheetId="18" hidden="1">{#N/A,#N/A,FALSE,"1.CRITERIA";#N/A,#N/A,FALSE,"2.IS";#N/A,#N/A,FALSE,"3.BS";#N/A,#N/A,FALSE,"4.PER PL";#N/A,#N/A,FALSE,"5.INVESTMENT";#N/A,#N/A,FALSE,"6.공문";#N/A,#N/A,FALSE,"7.netinvest"}</definedName>
    <definedName name="영업수" localSheetId="24"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3" hidden="1">{#N/A,#N/A,FALSE,"1.CRITERIA";#N/A,#N/A,FALSE,"2.IS";#N/A,#N/A,FALSE,"3.BS";#N/A,#N/A,FALSE,"4.PER PL";#N/A,#N/A,FALSE,"5.INVESTMENT";#N/A,#N/A,FALSE,"6.공문";#N/A,#N/A,FALSE,"7.netinvest"}</definedName>
    <definedName name="영업수익" localSheetId="18"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3" hidden="1">{#N/A,#N/A,FALSE,"BS";#N/A,#N/A,FALSE,"PL";#N/A,#N/A,FALSE,"처분";#N/A,#N/A,FALSE,"현금";#N/A,#N/A,FALSE,"매출";#N/A,#N/A,FALSE,"원가";#N/A,#N/A,FALSE,"경영"}</definedName>
    <definedName name="영업외비용" localSheetId="18" hidden="1">{#N/A,#N/A,FALSE,"BS";#N/A,#N/A,FALSE,"PL";#N/A,#N/A,FALSE,"처분";#N/A,#N/A,FALSE,"현금";#N/A,#N/A,FALSE,"매출";#N/A,#N/A,FALSE,"원가";#N/A,#N/A,FALSE,"경영"}</definedName>
    <definedName name="영업외비용" localSheetId="24"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3" hidden="1">{#N/A,#N/A,FALSE,"1.CRITERIA";#N/A,#N/A,FALSE,"2.IS";#N/A,#N/A,FALSE,"3.BS";#N/A,#N/A,FALSE,"4.PER PL";#N/A,#N/A,FALSE,"5.INVESTMENT";#N/A,#N/A,FALSE,"6.공문";#N/A,#N/A,FALSE,"7.netinvest"}</definedName>
    <definedName name="영업외수익" localSheetId="18" hidden="1">{#N/A,#N/A,FALSE,"1.CRITERIA";#N/A,#N/A,FALSE,"2.IS";#N/A,#N/A,FALSE,"3.BS";#N/A,#N/A,FALSE,"4.PER PL";#N/A,#N/A,FALSE,"5.INVESTMENT";#N/A,#N/A,FALSE,"6.공문";#N/A,#N/A,FALSE,"7.netinvest"}</definedName>
    <definedName name="영업외수익" localSheetId="24"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3" hidden="1">{#N/A,#N/A,FALSE,"97년 투자계획 세부내역 "}</definedName>
    <definedName name="영업인건배부" localSheetId="18" hidden="1">{#N/A,#N/A,FALSE,"97년 투자계획 세부내역 "}</definedName>
    <definedName name="영업인건배부" localSheetId="24" hidden="1">{#N/A,#N/A,FALSE,"97년 투자계획 세부내역 "}</definedName>
    <definedName name="영업인건배부" hidden="1">{#N/A,#N/A,FALSE,"97년 투자계획 세부내역 "}</definedName>
    <definedName name="영업인건비배부" localSheetId="23" hidden="1">{#N/A,#N/A,FALSE,"97년 투자계획 세부내역 "}</definedName>
    <definedName name="영업인건비배부" localSheetId="18" hidden="1">{#N/A,#N/A,FALSE,"97년 투자계획 세부내역 "}</definedName>
    <definedName name="영업인건비배부" localSheetId="24" hidden="1">{#N/A,#N/A,FALSE,"97년 투자계획 세부내역 "}</definedName>
    <definedName name="영업인건비배부" hidden="1">{#N/A,#N/A,FALSE,"97년 투자계획 세부내역 "}</definedName>
    <definedName name="영업현금" localSheetId="23" hidden="1">{#N/A,#N/A,FALSE,"지침";#N/A,#N/A,FALSE,"환경분석";#N/A,#N/A,FALSE,"Sheet16"}</definedName>
    <definedName name="영업현금" localSheetId="18" hidden="1">{#N/A,#N/A,FALSE,"지침";#N/A,#N/A,FALSE,"환경분석";#N/A,#N/A,FALSE,"Sheet16"}</definedName>
    <definedName name="영업현금" localSheetId="24" hidden="1">{#N/A,#N/A,FALSE,"지침";#N/A,#N/A,FALSE,"환경분석";#N/A,#N/A,FALSE,"Sheet16"}</definedName>
    <definedName name="영업현금" hidden="1">{#N/A,#N/A,FALSE,"지침";#N/A,#N/A,FALSE,"환경분석";#N/A,#N/A,FALSE,"Sheet16"}</definedName>
    <definedName name="예금" localSheetId="23" hidden="1">{#N/A,#N/A,FALSE,"1.CRITERIA";#N/A,#N/A,FALSE,"2.IS";#N/A,#N/A,FALSE,"3.BS";#N/A,#N/A,FALSE,"4.PER PL";#N/A,#N/A,FALSE,"5.INVESTMENT";#N/A,#N/A,FALSE,"6.공문";#N/A,#N/A,FALSE,"7.netinvest"}</definedName>
    <definedName name="예금" localSheetId="18" hidden="1">{#N/A,#N/A,FALSE,"1.CRITERIA";#N/A,#N/A,FALSE,"2.IS";#N/A,#N/A,FALSE,"3.BS";#N/A,#N/A,FALSE,"4.PER PL";#N/A,#N/A,FALSE,"5.INVESTMENT";#N/A,#N/A,FALSE,"6.공문";#N/A,#N/A,FALSE,"7.netinvest"}</definedName>
    <definedName name="예금" localSheetId="24"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3" hidden="1">{#N/A,#N/A,FALSE,"이력서&amp;자기소개서"}</definedName>
    <definedName name="예산" localSheetId="18" hidden="1">{#N/A,#N/A,FALSE,"이력서&amp;자기소개서"}</definedName>
    <definedName name="예산" localSheetId="24" hidden="1">{#N/A,#N/A,FALSE,"이력서&amp;자기소개서"}</definedName>
    <definedName name="예산" hidden="1">{#N/A,#N/A,FALSE,"이력서&amp;자기소개서"}</definedName>
    <definedName name="예산내역" localSheetId="23" hidden="1">{"'용역비'!$A$4:$C$8"}</definedName>
    <definedName name="예산내역" localSheetId="18" hidden="1">{"'용역비'!$A$4:$C$8"}</definedName>
    <definedName name="예산내역" localSheetId="24" hidden="1">{"'용역비'!$A$4:$C$8"}</definedName>
    <definedName name="예산내역" hidden="1">{"'용역비'!$A$4:$C$8"}</definedName>
    <definedName name="예산서"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3" hidden="1">{#N/A,#N/A,FALSE,"97년 투자계획 세부내역 "}</definedName>
    <definedName name="예상" localSheetId="18" hidden="1">{#N/A,#N/A,FALSE,"97년 투자계획 세부내역 "}</definedName>
    <definedName name="예상" localSheetId="24" hidden="1">{#N/A,#N/A,FALSE,"97년 투자계획 세부내역 "}</definedName>
    <definedName name="예상" hidden="1">{#N/A,#N/A,FALSE,"97년 투자계획 세부내역 "}</definedName>
    <definedName name="예상도급내역" localSheetId="23" hidden="1">{#N/A,#N/A,FALSE,"CCTV"}</definedName>
    <definedName name="예상도급내역" localSheetId="18" hidden="1">{#N/A,#N/A,FALSE,"CCTV"}</definedName>
    <definedName name="예상도급내역" localSheetId="24" hidden="1">{#N/A,#N/A,FALSE,"CCTV"}</definedName>
    <definedName name="예상도급내역" hidden="1">{#N/A,#N/A,FALSE,"CCTV"}</definedName>
    <definedName name="예상마감" localSheetId="23" hidden="1">{"'9월'!$F$38"}</definedName>
    <definedName name="예상마감" localSheetId="18" hidden="1">{"'9월'!$F$38"}</definedName>
    <definedName name="예상마감" localSheetId="24" hidden="1">{"'9월'!$F$38"}</definedName>
    <definedName name="예상마감" hidden="1">{"'9월'!$F$38"}</definedName>
    <definedName name="예신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3" hidden="1">{#N/A,#N/A,FALSE,"1.CRITERIA";#N/A,#N/A,FALSE,"2.IS";#N/A,#N/A,FALSE,"3.BS";#N/A,#N/A,FALSE,"4.PER PL";#N/A,#N/A,FALSE,"5.INVESTMENT";#N/A,#N/A,FALSE,"6.공문";#N/A,#N/A,FALSE,"7.netinvest"}</definedName>
    <definedName name="오" localSheetId="18" hidden="1">{#N/A,#N/A,FALSE,"1.CRITERIA";#N/A,#N/A,FALSE,"2.IS";#N/A,#N/A,FALSE,"3.BS";#N/A,#N/A,FALSE,"4.PER PL";#N/A,#N/A,FALSE,"5.INVESTMENT";#N/A,#N/A,FALSE,"6.공문";#N/A,#N/A,FALSE,"7.netinvest"}</definedName>
    <definedName name="오" localSheetId="24"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3" hidden="1">{#N/A,#N/A,FALSE,"Sheet6"}</definedName>
    <definedName name="오금동" localSheetId="18" hidden="1">{#N/A,#N/A,FALSE,"Sheet6"}</definedName>
    <definedName name="오금동" localSheetId="24" hidden="1">{#N/A,#N/A,FALSE,"Sheet6"}</definedName>
    <definedName name="오금동" hidden="1">{#N/A,#N/A,FALSE,"Sheet6"}</definedName>
    <definedName name="오서방" localSheetId="23" hidden="1">{#N/A,#N/A,FALSE,"97년 투자계획 세부내역 "}</definedName>
    <definedName name="오서방" localSheetId="18" hidden="1">{#N/A,#N/A,FALSE,"97년 투자계획 세부내역 "}</definedName>
    <definedName name="오서방" localSheetId="24" hidden="1">{#N/A,#N/A,FALSE,"97년 투자계획 세부내역 "}</definedName>
    <definedName name="오서방" hidden="1">{#N/A,#N/A,FALSE,"97년 투자계획 세부내역 "}</definedName>
    <definedName name="오성협" localSheetId="23" hidden="1">{#N/A,#N/A,TRUE,"Y생산";#N/A,#N/A,TRUE,"Y판매";#N/A,#N/A,TRUE,"Y총물량";#N/A,#N/A,TRUE,"Y능력";#N/A,#N/A,TRUE,"YKD"}</definedName>
    <definedName name="오성협" localSheetId="18" hidden="1">{#N/A,#N/A,TRUE,"Y생산";#N/A,#N/A,TRUE,"Y판매";#N/A,#N/A,TRUE,"Y총물량";#N/A,#N/A,TRUE,"Y능력";#N/A,#N/A,TRUE,"YKD"}</definedName>
    <definedName name="오성협" localSheetId="24" hidden="1">{#N/A,#N/A,TRUE,"Y생산";#N/A,#N/A,TRUE,"Y판매";#N/A,#N/A,TRUE,"Y총물량";#N/A,#N/A,TRUE,"Y능력";#N/A,#N/A,TRUE,"YKD"}</definedName>
    <definedName name="오성협" hidden="1">{#N/A,#N/A,TRUE,"Y생산";#N/A,#N/A,TRUE,"Y판매";#N/A,#N/A,TRUE,"Y총물량";#N/A,#N/A,TRUE,"Y능력";#N/A,#N/A,TRUE,"YKD"}</definedName>
    <definedName name="오세범" localSheetId="23" hidden="1">{#N/A,#N/A,FALSE,"97년 투자계획 세부내역 "}</definedName>
    <definedName name="오세범" localSheetId="18" hidden="1">{#N/A,#N/A,FALSE,"97년 투자계획 세부내역 "}</definedName>
    <definedName name="오세범" localSheetId="24" hidden="1">{#N/A,#N/A,FALSE,"97년 투자계획 세부내역 "}</definedName>
    <definedName name="오세범" hidden="1">{#N/A,#N/A,FALSE,"97년 투자계획 세부내역 "}</definedName>
    <definedName name="오세범1" localSheetId="23" hidden="1">{#N/A,#N/A,FALSE,"97년 투자계획 세부내역 "}</definedName>
    <definedName name="오세범1" localSheetId="18" hidden="1">{#N/A,#N/A,FALSE,"97년 투자계획 세부내역 "}</definedName>
    <definedName name="오세범1" localSheetId="24" hidden="1">{#N/A,#N/A,FALSE,"97년 투자계획 세부내역 "}</definedName>
    <definedName name="오세범1" hidden="1">{#N/A,#N/A,FALSE,"97년 투자계획 세부내역 "}</definedName>
    <definedName name="오세범2" localSheetId="23" hidden="1">{#N/A,#N/A,FALSE,"97년 투자계획 세부내역 "}</definedName>
    <definedName name="오세범2" localSheetId="18" hidden="1">{#N/A,#N/A,FALSE,"97년 투자계획 세부내역 "}</definedName>
    <definedName name="오세범2" localSheetId="24" hidden="1">{#N/A,#N/A,FALSE,"97년 투자계획 세부내역 "}</definedName>
    <definedName name="오세범2" hidden="1">{#N/A,#N/A,FALSE,"97년 투자계획 세부내역 "}</definedName>
    <definedName name="오세범3" localSheetId="23" hidden="1">{#N/A,#N/A,FALSE,"97년 투자계획 세부내역 "}</definedName>
    <definedName name="오세범3" localSheetId="18" hidden="1">{#N/A,#N/A,FALSE,"97년 투자계획 세부내역 "}</definedName>
    <definedName name="오세범3" localSheetId="24" hidden="1">{#N/A,#N/A,FALSE,"97년 투자계획 세부내역 "}</definedName>
    <definedName name="오세범3" hidden="1">{#N/A,#N/A,FALSE,"97년 투자계획 세부내역 "}</definedName>
    <definedName name="오소처리장" localSheetId="23" hidden="1">{#N/A,#N/A,FALSE,"97년 투자계획 세부내역 "}</definedName>
    <definedName name="오소처리장" localSheetId="18" hidden="1">{#N/A,#N/A,FALSE,"97년 투자계획 세부내역 "}</definedName>
    <definedName name="오소처리장" localSheetId="24" hidden="1">{#N/A,#N/A,FALSE,"97년 투자계획 세부내역 "}</definedName>
    <definedName name="오소처리장" hidden="1">{#N/A,#N/A,FALSE,"97년 투자계획 세부내역 "}</definedName>
    <definedName name="오수토공" localSheetId="23" hidden="1">{#N/A,#N/A,FALSE,"기안지";#N/A,#N/A,FALSE,"통신지"}</definedName>
    <definedName name="오수토공" localSheetId="18" hidden="1">{#N/A,#N/A,FALSE,"기안지";#N/A,#N/A,FALSE,"통신지"}</definedName>
    <definedName name="오수토공" localSheetId="24" hidden="1">{#N/A,#N/A,FALSE,"기안지";#N/A,#N/A,FALSE,"통신지"}</definedName>
    <definedName name="오수토공" hidden="1">{#N/A,#N/A,FALSE,"기안지";#N/A,#N/A,FALSE,"통신지"}</definedName>
    <definedName name="오피스임대료" localSheetId="23" hidden="1">{#N/A,#N/A,TRUE,"대 차 대 조 표"}</definedName>
    <definedName name="오피스임대료" localSheetId="18" hidden="1">{#N/A,#N/A,TRUE,"대 차 대 조 표"}</definedName>
    <definedName name="오피스임대료" localSheetId="24" hidden="1">{#N/A,#N/A,TRUE,"대 차 대 조 표"}</definedName>
    <definedName name="오피스임대료" hidden="1">{#N/A,#N/A,TRUE,"대 차 대 조 표"}</definedName>
    <definedName name="옥외대비" localSheetId="23" hidden="1">{#N/A,#N/A,FALSE,"이태원철근"}</definedName>
    <definedName name="옥외대비" localSheetId="18" hidden="1">{#N/A,#N/A,FALSE,"이태원철근"}</definedName>
    <definedName name="옥외대비" localSheetId="24" hidden="1">{#N/A,#N/A,FALSE,"이태원철근"}</definedName>
    <definedName name="옥외대비" hidden="1">{#N/A,#N/A,FALSE,"이태원철근"}</definedName>
    <definedName name="옳ㅇ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3" hidden="1">{#N/A,#N/A,FALSE,"1.CRITERIA";#N/A,#N/A,FALSE,"2.IS";#N/A,#N/A,FALSE,"3.BS";#N/A,#N/A,FALSE,"4.PER PL";#N/A,#N/A,FALSE,"5.INVESTMENT";#N/A,#N/A,FALSE,"6.공문";#N/A,#N/A,FALSE,"7.netinvest"}</definedName>
    <definedName name="외예금" localSheetId="18" hidden="1">{#N/A,#N/A,FALSE,"1.CRITERIA";#N/A,#N/A,FALSE,"2.IS";#N/A,#N/A,FALSE,"3.BS";#N/A,#N/A,FALSE,"4.PER PL";#N/A,#N/A,FALSE,"5.INVESTMENT";#N/A,#N/A,FALSE,"6.공문";#N/A,#N/A,FALSE,"7.netinvest"}</definedName>
    <definedName name="외예금" localSheetId="24"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3" hidden="1">{#N/A,#N/A,FALSE,"1.CRITERIA";#N/A,#N/A,FALSE,"2.IS";#N/A,#N/A,FALSE,"3.BS";#N/A,#N/A,FALSE,"4.PER PL";#N/A,#N/A,FALSE,"5.INVESTMENT";#N/A,#N/A,FALSE,"6.공문";#N/A,#N/A,FALSE,"7.netinvest"}</definedName>
    <definedName name="요" localSheetId="18"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3" hidden="1">{"'7'!$B$15:$D$32"}</definedName>
    <definedName name="요약1" localSheetId="18" hidden="1">{"'7'!$B$15:$D$32"}</definedName>
    <definedName name="요약1" localSheetId="24" hidden="1">{"'7'!$B$15:$D$32"}</definedName>
    <definedName name="요약1" hidden="1">{"'7'!$B$15:$D$32"}</definedName>
    <definedName name="용역비" localSheetId="23" hidden="1">{"'7'!$B$15:$D$32"}</definedName>
    <definedName name="용역비" localSheetId="18" hidden="1">{"'7'!$B$15:$D$32"}</definedName>
    <definedName name="용역비" localSheetId="24" hidden="1">{"'7'!$B$15:$D$32"}</definedName>
    <definedName name="용역비" hidden="1">{"'7'!$B$15:$D$32"}</definedName>
    <definedName name="운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3" hidden="1">{"'7'!$B$15:$D$32"}</definedName>
    <definedName name="운영개선" localSheetId="18" hidden="1">{"'7'!$B$15:$D$32"}</definedName>
    <definedName name="운영개선" localSheetId="24" hidden="1">{"'7'!$B$15:$D$32"}</definedName>
    <definedName name="운영개선" hidden="1">{"'7'!$B$15:$D$32"}</definedName>
    <definedName name="운영팀2" localSheetId="23" hidden="1">{#N/A,#N/A,TRUE,"Y생산";#N/A,#N/A,TRUE,"Y판매";#N/A,#N/A,TRUE,"Y총물량";#N/A,#N/A,TRUE,"Y능력";#N/A,#N/A,TRUE,"YKD"}</definedName>
    <definedName name="운영팀2" localSheetId="18" hidden="1">{#N/A,#N/A,TRUE,"Y생산";#N/A,#N/A,TRUE,"Y판매";#N/A,#N/A,TRUE,"Y총물량";#N/A,#N/A,TRUE,"Y능력";#N/A,#N/A,TRUE,"YKD"}</definedName>
    <definedName name="운영팀2" localSheetId="24" hidden="1">{#N/A,#N/A,TRUE,"Y생산";#N/A,#N/A,TRUE,"Y판매";#N/A,#N/A,TRUE,"Y총물량";#N/A,#N/A,TRUE,"Y능력";#N/A,#N/A,TRUE,"YKD"}</definedName>
    <definedName name="운영팀2" hidden="1">{#N/A,#N/A,TRUE,"Y생산";#N/A,#N/A,TRUE,"Y판매";#N/A,#N/A,TRUE,"Y총물량";#N/A,#N/A,TRUE,"Y능력";#N/A,#N/A,TRUE,"YKD"}</definedName>
    <definedName name="운영팀2_1" localSheetId="23" hidden="1">{#N/A,#N/A,TRUE,"Y생산";#N/A,#N/A,TRUE,"Y판매";#N/A,#N/A,TRUE,"Y총물량";#N/A,#N/A,TRUE,"Y능력";#N/A,#N/A,TRUE,"YKD"}</definedName>
    <definedName name="운영팀2_1" localSheetId="18" hidden="1">{#N/A,#N/A,TRUE,"Y생산";#N/A,#N/A,TRUE,"Y판매";#N/A,#N/A,TRUE,"Y총물량";#N/A,#N/A,TRUE,"Y능력";#N/A,#N/A,TRUE,"YKD"}</definedName>
    <definedName name="운영팀2_1" localSheetId="24" hidden="1">{#N/A,#N/A,TRUE,"Y생산";#N/A,#N/A,TRUE,"Y판매";#N/A,#N/A,TRUE,"Y총물량";#N/A,#N/A,TRUE,"Y능력";#N/A,#N/A,TRUE,"YKD"}</definedName>
    <definedName name="운영팀2_1" hidden="1">{#N/A,#N/A,TRUE,"Y생산";#N/A,#N/A,TRUE,"Y판매";#N/A,#N/A,TRUE,"Y총물량";#N/A,#N/A,TRUE,"Y능력";#N/A,#N/A,TRUE,"YKD"}</definedName>
    <definedName name="울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3" hidden="1">{#N/A,#N/A,FALSE,"1.CRITERIA";#N/A,#N/A,FALSE,"2.IS";#N/A,#N/A,FALSE,"3.BS";#N/A,#N/A,FALSE,"4.PER PL";#N/A,#N/A,FALSE,"5.INVESTMENT";#N/A,#N/A,FALSE,"6.공문";#N/A,#N/A,FALSE,"7.netinvest"}</definedName>
    <definedName name="원가분석" localSheetId="18" hidden="1">{#N/A,#N/A,FALSE,"1.CRITERIA";#N/A,#N/A,FALSE,"2.IS";#N/A,#N/A,FALSE,"3.BS";#N/A,#N/A,FALSE,"4.PER PL";#N/A,#N/A,FALSE,"5.INVESTMENT";#N/A,#N/A,FALSE,"6.공문";#N/A,#N/A,FALSE,"7.netinvest"}</definedName>
    <definedName name="원가분석" localSheetId="24"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3" hidden="1">{#N/A,#N/A,FALSE,"단축1";#N/A,#N/A,FALSE,"단축2";#N/A,#N/A,FALSE,"단축3";#N/A,#N/A,FALSE,"장축";#N/A,#N/A,FALSE,"4WD"}</definedName>
    <definedName name="원본1" localSheetId="18" hidden="1">{#N/A,#N/A,FALSE,"단축1";#N/A,#N/A,FALSE,"단축2";#N/A,#N/A,FALSE,"단축3";#N/A,#N/A,FALSE,"장축";#N/A,#N/A,FALSE,"4WD"}</definedName>
    <definedName name="원본1" localSheetId="24" hidden="1">{#N/A,#N/A,FALSE,"단축1";#N/A,#N/A,FALSE,"단축2";#N/A,#N/A,FALSE,"단축3";#N/A,#N/A,FALSE,"장축";#N/A,#N/A,FALSE,"4WD"}</definedName>
    <definedName name="원본1" hidden="1">{#N/A,#N/A,FALSE,"단축1";#N/A,#N/A,FALSE,"단축2";#N/A,#N/A,FALSE,"단축3";#N/A,#N/A,FALSE,"장축";#N/A,#N/A,FALSE,"4WD"}</definedName>
    <definedName name="원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3" hidden="1">{#N/A,#N/A,FALSE,"1.CRITERIA";#N/A,#N/A,FALSE,"2.IS";#N/A,#N/A,FALSE,"3.BS";#N/A,#N/A,FALSE,"4.PER PL";#N/A,#N/A,FALSE,"5.INVESTMENT";#N/A,#N/A,FALSE,"6.공문";#N/A,#N/A,FALSE,"7.netinvest"}</definedName>
    <definedName name="월" localSheetId="18" hidden="1">{#N/A,#N/A,FALSE,"1.CRITERIA";#N/A,#N/A,FALSE,"2.IS";#N/A,#N/A,FALSE,"3.BS";#N/A,#N/A,FALSE,"4.PER PL";#N/A,#N/A,FALSE,"5.INVESTMENT";#N/A,#N/A,FALSE,"6.공문";#N/A,#N/A,FALSE,"7.netinvest"}</definedName>
    <definedName name="월" localSheetId="24"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3" hidden="1">{#N/A,#N/A,FALSE,"1.CRITERIA";#N/A,#N/A,FALSE,"2.IS";#N/A,#N/A,FALSE,"3.BS";#N/A,#N/A,FALSE,"4.PER PL";#N/A,#N/A,FALSE,"5.INVESTMENT";#N/A,#N/A,FALSE,"6.공문";#N/A,#N/A,FALSE,"7.netinvest"}</definedName>
    <definedName name="월말" localSheetId="18"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3" hidden="1">{#N/A,#N/A,FALSE,"1.CRITERIA";#N/A,#N/A,FALSE,"2.IS";#N/A,#N/A,FALSE,"3.BS";#N/A,#N/A,FALSE,"4.PER PL";#N/A,#N/A,FALSE,"5.INVESTMENT";#N/A,#N/A,FALSE,"6.공문";#N/A,#N/A,FALSE,"7.netinvest"}</definedName>
    <definedName name="월별" localSheetId="18"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3" hidden="1">{#N/A,#N/A,FALSE,"97년 투자계획 세부내역 "}</definedName>
    <definedName name="월별매출3" localSheetId="18" hidden="1">{#N/A,#N/A,FALSE,"97년 투자계획 세부내역 "}</definedName>
    <definedName name="월별매출3" localSheetId="24" hidden="1">{#N/A,#N/A,FALSE,"97년 투자계획 세부내역 "}</definedName>
    <definedName name="월별매출3" hidden="1">{#N/A,#N/A,FALSE,"97년 투자계획 세부내역 "}</definedName>
    <definedName name="월별영업비용" localSheetId="23" hidden="1">{#N/A,#N/A,FALSE,"1.CRITERIA";#N/A,#N/A,FALSE,"2.IS";#N/A,#N/A,FALSE,"3.BS";#N/A,#N/A,FALSE,"4.PER PL";#N/A,#N/A,FALSE,"5.INVESTMENT";#N/A,#N/A,FALSE,"6.공문";#N/A,#N/A,FALSE,"7.netinvest"}</definedName>
    <definedName name="월별영업비용" localSheetId="18" hidden="1">{#N/A,#N/A,FALSE,"1.CRITERIA";#N/A,#N/A,FALSE,"2.IS";#N/A,#N/A,FALSE,"3.BS";#N/A,#N/A,FALSE,"4.PER PL";#N/A,#N/A,FALSE,"5.INVESTMENT";#N/A,#N/A,FALSE,"6.공문";#N/A,#N/A,FALSE,"7.netinvest"}</definedName>
    <definedName name="월별영업비용" localSheetId="24"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3" hidden="1">{#N/A,#N/A,TRUE,"대 차 대 조 표"}</definedName>
    <definedName name="월업무실적" localSheetId="18" hidden="1">{#N/A,#N/A,TRUE,"대 차 대 조 표"}</definedName>
    <definedName name="월업무실적" localSheetId="24" hidden="1">{#N/A,#N/A,TRUE,"대 차 대 조 표"}</definedName>
    <definedName name="월업무실적" hidden="1">{#N/A,#N/A,TRUE,"대 차 대 조 표"}</definedName>
    <definedName name="위생" localSheetId="23" hidden="1">{"'7'!$B$15:$D$32"}</definedName>
    <definedName name="위생" localSheetId="18" hidden="1">{"'7'!$B$15:$D$32"}</definedName>
    <definedName name="위생" localSheetId="24" hidden="1">{"'7'!$B$15:$D$32"}</definedName>
    <definedName name="위생" hidden="1">{"'7'!$B$15:$D$32"}</definedName>
    <definedName name="유" localSheetId="23" hidden="1">{#N/A,#N/A,FALSE,"97년 투자계획 세부내역 "}</definedName>
    <definedName name="유" localSheetId="18" hidden="1">{#N/A,#N/A,FALSE,"97년 투자계획 세부내역 "}</definedName>
    <definedName name="유" localSheetId="24" hidden="1">{#N/A,#N/A,FALSE,"97년 투자계획 세부내역 "}</definedName>
    <definedName name="유" hidden="1">{#N/A,#N/A,FALSE,"97년 투자계획 세부내역 "}</definedName>
    <definedName name="유동" localSheetId="23" hidden="1">{#N/A,#N/A,FALSE,"BS";#N/A,#N/A,FALSE,"PL";#N/A,#N/A,FALSE,"처분";#N/A,#N/A,FALSE,"현금";#N/A,#N/A,FALSE,"매출";#N/A,#N/A,FALSE,"원가";#N/A,#N/A,FALSE,"경영"}</definedName>
    <definedName name="유동" localSheetId="18" hidden="1">{#N/A,#N/A,FALSE,"BS";#N/A,#N/A,FALSE,"PL";#N/A,#N/A,FALSE,"처분";#N/A,#N/A,FALSE,"현금";#N/A,#N/A,FALSE,"매출";#N/A,#N/A,FALSE,"원가";#N/A,#N/A,FALSE,"경영"}</definedName>
    <definedName name="유동" localSheetId="24"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3" hidden="1">{#N/A,#N/A,FALSE,"1.CRITERIA";#N/A,#N/A,FALSE,"2.IS";#N/A,#N/A,FALSE,"3.BS";#N/A,#N/A,FALSE,"4.PER PL";#N/A,#N/A,FALSE,"5.INVESTMENT";#N/A,#N/A,FALSE,"6.공문";#N/A,#N/A,FALSE,"7.netinvest"}</definedName>
    <definedName name="유이" localSheetId="18" hidden="1">{#N/A,#N/A,FALSE,"1.CRITERIA";#N/A,#N/A,FALSE,"2.IS";#N/A,#N/A,FALSE,"3.BS";#N/A,#N/A,FALSE,"4.PER PL";#N/A,#N/A,FALSE,"5.INVESTMENT";#N/A,#N/A,FALSE,"6.공문";#N/A,#N/A,FALSE,"7.netinvest"}</definedName>
    <definedName name="유이" localSheetId="24"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3" hidden="1">{#N/A,#N/A,FALSE,"97년 투자계획 세부내역 "}</definedName>
    <definedName name="유지니" localSheetId="18" hidden="1">{#N/A,#N/A,FALSE,"97년 투자계획 세부내역 "}</definedName>
    <definedName name="유지니" localSheetId="24" hidden="1">{#N/A,#N/A,FALSE,"97년 투자계획 세부내역 "}</definedName>
    <definedName name="유지니" hidden="1">{#N/A,#N/A,FALSE,"97년 투자계획 세부내역 "}</definedName>
    <definedName name="유지니네" localSheetId="23" hidden="1">{#N/A,#N/A,FALSE,"97년 투자계획 세부내역 "}</definedName>
    <definedName name="유지니네" localSheetId="18" hidden="1">{#N/A,#N/A,FALSE,"97년 투자계획 세부내역 "}</definedName>
    <definedName name="유지니네" localSheetId="24" hidden="1">{#N/A,#N/A,FALSE,"97년 투자계획 세부내역 "}</definedName>
    <definedName name="유지니네" hidden="1">{#N/A,#N/A,FALSE,"97년 투자계획 세부내역 "}</definedName>
    <definedName name="유지니다" localSheetId="23" hidden="1">{#N/A,#N/A,FALSE,"97년 투자계획 세부내역 "}</definedName>
    <definedName name="유지니다" localSheetId="18" hidden="1">{#N/A,#N/A,FALSE,"97년 투자계획 세부내역 "}</definedName>
    <definedName name="유지니다" localSheetId="24" hidden="1">{#N/A,#N/A,FALSE,"97년 투자계획 세부내역 "}</definedName>
    <definedName name="유지니다" hidden="1">{#N/A,#N/A,FALSE,"97년 투자계획 세부내역 "}</definedName>
    <definedName name="유진" localSheetId="23" hidden="1">{#N/A,#N/A,FALSE,"이력서&amp;자기소개서"}</definedName>
    <definedName name="유진" localSheetId="18" hidden="1">{#N/A,#N/A,FALSE,"이력서&amp;자기소개서"}</definedName>
    <definedName name="유진" localSheetId="24" hidden="1">{#N/A,#N/A,FALSE,"이력서&amp;자기소개서"}</definedName>
    <definedName name="유진" hidden="1">{#N/A,#N/A,FALSE,"이력서&amp;자기소개서"}</definedName>
    <definedName name="유타워" localSheetId="23" hidden="1">{#N/A,#N/A,FALSE,"이력서&amp;자기소개서"}</definedName>
    <definedName name="유타워" localSheetId="18" hidden="1">{#N/A,#N/A,FALSE,"이력서&amp;자기소개서"}</definedName>
    <definedName name="유타워" localSheetId="24" hidden="1">{#N/A,#N/A,FALSE,"이력서&amp;자기소개서"}</definedName>
    <definedName name="유타워" hidden="1">{#N/A,#N/A,FALSE,"이력서&amp;자기소개서"}</definedName>
    <definedName name="육각블럭" localSheetId="23" hidden="1">{#N/A,#N/A,FALSE,"포장단가"}</definedName>
    <definedName name="육각블럭" localSheetId="18" hidden="1">{#N/A,#N/A,FALSE,"포장단가"}</definedName>
    <definedName name="육각블럭" localSheetId="24" hidden="1">{#N/A,#N/A,FALSE,"포장단가"}</definedName>
    <definedName name="육각블럭" hidden="1">{#N/A,#N/A,FALSE,"포장단가"}</definedName>
    <definedName name="육삼시티" localSheetId="23" hidden="1">{#N/A,#N/A,FALSE,"97년 투자계획 세부내역 "}</definedName>
    <definedName name="육삼시티" localSheetId="18" hidden="1">{#N/A,#N/A,FALSE,"97년 투자계획 세부내역 "}</definedName>
    <definedName name="육삼시티" localSheetId="24" hidden="1">{#N/A,#N/A,FALSE,"97년 투자계획 세부내역 "}</definedName>
    <definedName name="육삼시티" hidden="1">{#N/A,#N/A,FALSE,"97년 투자계획 세부내역 "}</definedName>
    <definedName name="육아휴직처리절자1" localSheetId="23" hidden="1">{#N/A,#N/A,FALSE,"이력서&amp;자기소개서"}</definedName>
    <definedName name="육아휴직처리절자1" localSheetId="18" hidden="1">{#N/A,#N/A,FALSE,"이력서&amp;자기소개서"}</definedName>
    <definedName name="육아휴직처리절자1" localSheetId="24" hidden="1">{#N/A,#N/A,FALSE,"이력서&amp;자기소개서"}</definedName>
    <definedName name="육아휴직처리절자1" hidden="1">{#N/A,#N/A,FALSE,"이력서&amp;자기소개서"}</definedName>
    <definedName name="율리1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3" hidden="1">{#N/A,#N/A,FALSE,"１";#N/A,#N/A,FALSE,"２";#N/A,#N/A,FALSE,"３";#N/A,#N/A,FALSE,"４"}</definedName>
    <definedName name="音羽ビル" localSheetId="18" hidden="1">{#N/A,#N/A,FALSE,"１";#N/A,#N/A,FALSE,"２";#N/A,#N/A,FALSE,"３";#N/A,#N/A,FALSE,"４"}</definedName>
    <definedName name="音羽ビル" localSheetId="24" hidden="1">{#N/A,#N/A,FALSE,"１";#N/A,#N/A,FALSE,"２";#N/A,#N/A,FALSE,"３";#N/A,#N/A,FALSE,"４"}</definedName>
    <definedName name="音羽ビル" hidden="1">{#N/A,#N/A,FALSE,"１";#N/A,#N/A,FALSE,"２";#N/A,#N/A,FALSE,"３";#N/A,#N/A,FALSE,"４"}</definedName>
    <definedName name="응용" localSheetId="23" hidden="1">{"'용역비'!$A$4:$C$8"}</definedName>
    <definedName name="응용" localSheetId="18" hidden="1">{"'용역비'!$A$4:$C$8"}</definedName>
    <definedName name="응용" localSheetId="24" hidden="1">{"'용역비'!$A$4:$C$8"}</definedName>
    <definedName name="응용" hidden="1">{"'용역비'!$A$4:$C$8"}</definedName>
    <definedName name="이가" localSheetId="23" hidden="1">{"'Firr(선)'!$AS$1:$AY$62","'Firr(사)'!$AS$1:$AY$62","'Firr(회)'!$AS$1:$AY$62","'Firr(선)'!$L$1:$V$62","'Firr(사)'!$L$1:$V$62","'Firr(회)'!$L$1:$V$62"}</definedName>
    <definedName name="이가" localSheetId="18" hidden="1">{"'Firr(선)'!$AS$1:$AY$62","'Firr(사)'!$AS$1:$AY$62","'Firr(회)'!$AS$1:$AY$62","'Firr(선)'!$L$1:$V$62","'Firr(사)'!$L$1:$V$62","'Firr(회)'!$L$1:$V$62"}</definedName>
    <definedName name="이가" localSheetId="24" hidden="1">{"'Firr(선)'!$AS$1:$AY$62","'Firr(사)'!$AS$1:$AY$62","'Firr(회)'!$AS$1:$AY$62","'Firr(선)'!$L$1:$V$62","'Firr(사)'!$L$1:$V$62","'Firr(회)'!$L$1:$V$62"}</definedName>
    <definedName name="이가" hidden="1">{"'Firr(선)'!$AS$1:$AY$62","'Firr(사)'!$AS$1:$AY$62","'Firr(회)'!$AS$1:$AY$62","'Firr(선)'!$L$1:$V$62","'Firr(사)'!$L$1:$V$62","'Firr(회)'!$L$1:$V$62"}</definedName>
    <definedName name="이근우" localSheetId="23" hidden="1">{#N/A,#N/A,FALSE,"BS";#N/A,#N/A,FALSE,"PL";#N/A,#N/A,FALSE,"처분";#N/A,#N/A,FALSE,"현금";#N/A,#N/A,FALSE,"매출";#N/A,#N/A,FALSE,"원가";#N/A,#N/A,FALSE,"경영"}</definedName>
    <definedName name="이근우" localSheetId="18" hidden="1">{#N/A,#N/A,FALSE,"BS";#N/A,#N/A,FALSE,"PL";#N/A,#N/A,FALSE,"처분";#N/A,#N/A,FALSE,"현금";#N/A,#N/A,FALSE,"매출";#N/A,#N/A,FALSE,"원가";#N/A,#N/A,FALSE,"경영"}</definedName>
    <definedName name="이근우" localSheetId="24"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3" hidden="1">{"Actual",#N/A,FALSE,"(価格)";"Market",#N/A,FALSE,"(価格)";"Plan",#N/A,FALSE,"(価格)"}</definedName>
    <definedName name="伊藤忠コムネット" localSheetId="18" hidden="1">{"Actual",#N/A,FALSE,"(価格)";"Market",#N/A,FALSE,"(価格)";"Plan",#N/A,FALSE,"(価格)"}</definedName>
    <definedName name="伊藤忠コムネット" localSheetId="24" hidden="1">{"Actual",#N/A,FALSE,"(価格)";"Market",#N/A,FALSE,"(価格)";"Plan",#N/A,FALSE,"(価格)"}</definedName>
    <definedName name="伊藤忠コムネット" hidden="1">{"Actual",#N/A,FALSE,"(価格)";"Market",#N/A,FALSE,"(価格)";"Plan",#N/A,FALSE,"(価格)"}</definedName>
    <definedName name="이란" localSheetId="23" hidden="1">{#N/A,#N/A,FALSE,"단축1";#N/A,#N/A,FALSE,"단축2";#N/A,#N/A,FALSE,"단축3";#N/A,#N/A,FALSE,"장축";#N/A,#N/A,FALSE,"4WD"}</definedName>
    <definedName name="이란" localSheetId="18" hidden="1">{#N/A,#N/A,FALSE,"단축1";#N/A,#N/A,FALSE,"단축2";#N/A,#N/A,FALSE,"단축3";#N/A,#N/A,FALSE,"장축";#N/A,#N/A,FALSE,"4WD"}</definedName>
    <definedName name="이란" localSheetId="24" hidden="1">{#N/A,#N/A,FALSE,"단축1";#N/A,#N/A,FALSE,"단축2";#N/A,#N/A,FALSE,"단축3";#N/A,#N/A,FALSE,"장축";#N/A,#N/A,FALSE,"4WD"}</definedName>
    <definedName name="이란" hidden="1">{#N/A,#N/A,FALSE,"단축1";#N/A,#N/A,FALSE,"단축2";#N/A,#N/A,FALSE,"단축3";#N/A,#N/A,FALSE,"장축";#N/A,#N/A,FALSE,"4WD"}</definedName>
    <definedName name="이력" localSheetId="23" hidden="1">{#N/A,#N/A,FALSE,"이력서&amp;자기소개서"}</definedName>
    <definedName name="이력" localSheetId="18" hidden="1">{#N/A,#N/A,FALSE,"이력서&amp;자기소개서"}</definedName>
    <definedName name="이력" localSheetId="24" hidden="1">{#N/A,#N/A,FALSE,"이력서&amp;자기소개서"}</definedName>
    <definedName name="이력" hidden="1">{#N/A,#N/A,FALSE,"이력서&amp;자기소개서"}</definedName>
    <definedName name="이름" localSheetId="23" hidden="1">{#N/A,#N/A,TRUE,"대 차 대 조 표"}</definedName>
    <definedName name="이름" localSheetId="18" hidden="1">{#N/A,#N/A,TRUE,"대 차 대 조 표"}</definedName>
    <definedName name="이름" localSheetId="24" hidden="1">{#N/A,#N/A,TRUE,"대 차 대 조 표"}</definedName>
    <definedName name="이름" hidden="1">{#N/A,#N/A,TRUE,"대 차 대 조 표"}</definedName>
    <definedName name="이쁘니"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3" hidden="1">{#N/A,#N/A,FALSE,"지침";#N/A,#N/A,FALSE,"환경분석";#N/A,#N/A,FALSE,"Sheet16"}</definedName>
    <definedName name="이슈" localSheetId="18" hidden="1">{#N/A,#N/A,FALSE,"지침";#N/A,#N/A,FALSE,"환경분석";#N/A,#N/A,FALSE,"Sheet16"}</definedName>
    <definedName name="이슈" localSheetId="24" hidden="1">{#N/A,#N/A,FALSE,"지침";#N/A,#N/A,FALSE,"환경분석";#N/A,#N/A,FALSE,"Sheet16"}</definedName>
    <definedName name="이슈" hidden="1">{#N/A,#N/A,FALSE,"지침";#N/A,#N/A,FALSE,"환경분석";#N/A,#N/A,FALSE,"Sheet16"}</definedName>
    <definedName name="이안" localSheetId="23" hidden="1">{#N/A,#N/A,FALSE,"포장단가"}</definedName>
    <definedName name="이안" localSheetId="18" hidden="1">{#N/A,#N/A,FALSE,"포장단가"}</definedName>
    <definedName name="이안" localSheetId="24" hidden="1">{#N/A,#N/A,FALSE,"포장단가"}</definedName>
    <definedName name="이안" hidden="1">{#N/A,#N/A,FALSE,"포장단가"}</definedName>
    <definedName name="이용정" localSheetId="23" hidden="1">{#N/A,#N/A,FALSE,"이력서&amp;자기소개서"}</definedName>
    <definedName name="이용정" localSheetId="18" hidden="1">{#N/A,#N/A,FALSE,"이력서&amp;자기소개서"}</definedName>
    <definedName name="이용정" localSheetId="24" hidden="1">{#N/A,#N/A,FALSE,"이력서&amp;자기소개서"}</definedName>
    <definedName name="이용정" hidden="1">{#N/A,#N/A,FALSE,"이력서&amp;자기소개서"}</definedName>
    <definedName name="이읏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3" hidden="1">{#N/A,#N/A,TRUE,"Y생산";#N/A,#N/A,TRUE,"Y판매";#N/A,#N/A,TRUE,"Y총물량";#N/A,#N/A,TRUE,"Y능력";#N/A,#N/A,TRUE,"YKD"}</definedName>
    <definedName name="이이" localSheetId="18" hidden="1">{#N/A,#N/A,TRUE,"Y생산";#N/A,#N/A,TRUE,"Y판매";#N/A,#N/A,TRUE,"Y총물량";#N/A,#N/A,TRUE,"Y능력";#N/A,#N/A,TRUE,"YKD"}</definedName>
    <definedName name="이이" localSheetId="24" hidden="1">{#N/A,#N/A,TRUE,"Y생산";#N/A,#N/A,TRUE,"Y판매";#N/A,#N/A,TRUE,"Y총물량";#N/A,#N/A,TRUE,"Y능력";#N/A,#N/A,TRUE,"YKD"}</definedName>
    <definedName name="이이" hidden="1">{#N/A,#N/A,TRUE,"Y생산";#N/A,#N/A,TRUE,"Y판매";#N/A,#N/A,TRUE,"Y총물량";#N/A,#N/A,TRUE,"Y능력";#N/A,#N/A,TRUE,"YKD"}</definedName>
    <definedName name="이이_1" localSheetId="23" hidden="1">{#N/A,#N/A,TRUE,"Y생산";#N/A,#N/A,TRUE,"Y판매";#N/A,#N/A,TRUE,"Y총물량";#N/A,#N/A,TRUE,"Y능력";#N/A,#N/A,TRUE,"YKD"}</definedName>
    <definedName name="이이_1" localSheetId="18" hidden="1">{#N/A,#N/A,TRUE,"Y생산";#N/A,#N/A,TRUE,"Y판매";#N/A,#N/A,TRUE,"Y총물량";#N/A,#N/A,TRUE,"Y능력";#N/A,#N/A,TRUE,"YKD"}</definedName>
    <definedName name="이이_1" localSheetId="24" hidden="1">{#N/A,#N/A,TRUE,"Y생산";#N/A,#N/A,TRUE,"Y판매";#N/A,#N/A,TRUE,"Y총물량";#N/A,#N/A,TRUE,"Y능력";#N/A,#N/A,TRUE,"YKD"}</definedName>
    <definedName name="이이_1" hidden="1">{#N/A,#N/A,TRUE,"Y생산";#N/A,#N/A,TRUE,"Y판매";#N/A,#N/A,TRUE,"Y총물량";#N/A,#N/A,TRUE,"Y능력";#N/A,#N/A,TRUE,"YKD"}</definedName>
    <definedName name="이정" localSheetId="23" hidden="1">{#N/A,#N/A,FALSE,"2~8번"}</definedName>
    <definedName name="이정" localSheetId="18" hidden="1">{#N/A,#N/A,FALSE,"2~8번"}</definedName>
    <definedName name="이정" localSheetId="24" hidden="1">{#N/A,#N/A,FALSE,"2~8번"}</definedName>
    <definedName name="이정" hidden="1">{#N/A,#N/A,FALSE,"2~8번"}</definedName>
    <definedName name="이천순복음"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3" hidden="1">{#N/A,#N/A,FALSE,"97년 투자계획 세부내역 "}</definedName>
    <definedName name="이호버" localSheetId="18" hidden="1">{#N/A,#N/A,FALSE,"97년 투자계획 세부내역 "}</definedName>
    <definedName name="이호버" localSheetId="24" hidden="1">{#N/A,#N/A,FALSE,"97년 투자계획 세부내역 "}</definedName>
    <definedName name="이호버" hidden="1">{#N/A,#N/A,FALSE,"97년 투자계획 세부내역 "}</definedName>
    <definedName name="인건비1" localSheetId="23" hidden="1">{"'2분기예산별'!$B$2:$O$38"}</definedName>
    <definedName name="인건비1" localSheetId="18" hidden="1">{"'2분기예산별'!$B$2:$O$38"}</definedName>
    <definedName name="인건비1" localSheetId="24" hidden="1">{"'2분기예산별'!$B$2:$O$38"}</definedName>
    <definedName name="인건비1" hidden="1">{"'2분기예산별'!$B$2:$O$38"}</definedName>
    <definedName name="인ㅁㅇㅇ" localSheetId="23" hidden="1">{"'7'!$B$15:$D$32"}</definedName>
    <definedName name="인ㅁㅇㅇ" localSheetId="18" hidden="1">{"'7'!$B$15:$D$32"}</definedName>
    <definedName name="인ㅁㅇㅇ" localSheetId="24" hidden="1">{"'7'!$B$15:$D$32"}</definedName>
    <definedName name="인ㅁㅇㅇ" hidden="1">{"'7'!$B$15:$D$32"}</definedName>
    <definedName name="인상분상세" localSheetId="23" hidden="1">{"'7'!$B$15:$D$32"}</definedName>
    <definedName name="인상분상세" localSheetId="18" hidden="1">{"'7'!$B$15:$D$32"}</definedName>
    <definedName name="인상분상세" localSheetId="24" hidden="1">{"'7'!$B$15:$D$32"}</definedName>
    <definedName name="인상분상세" hidden="1">{"'7'!$B$15:$D$32"}</definedName>
    <definedName name="인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3" hidden="1">{"'7'!$B$15:$D$32"}</definedName>
    <definedName name="인테리어관련품의" localSheetId="18" hidden="1">{"'7'!$B$15:$D$32"}</definedName>
    <definedName name="인테리어관련품의" localSheetId="24" hidden="1">{"'7'!$B$15:$D$32"}</definedName>
    <definedName name="인테리어관련품의" hidden="1">{"'7'!$B$15:$D$32"}</definedName>
    <definedName name="인테리어팀" localSheetId="23" hidden="1">{#N/A,#N/A,TRUE,"Y생산";#N/A,#N/A,TRUE,"Y판매";#N/A,#N/A,TRUE,"Y총물량";#N/A,#N/A,TRUE,"Y능력";#N/A,#N/A,TRUE,"YKD"}</definedName>
    <definedName name="인테리어팀" localSheetId="18" hidden="1">{#N/A,#N/A,TRUE,"Y생산";#N/A,#N/A,TRUE,"Y판매";#N/A,#N/A,TRUE,"Y총물량";#N/A,#N/A,TRUE,"Y능력";#N/A,#N/A,TRUE,"YKD"}</definedName>
    <definedName name="인테리어팀" localSheetId="24" hidden="1">{#N/A,#N/A,TRUE,"Y생산";#N/A,#N/A,TRUE,"Y판매";#N/A,#N/A,TRUE,"Y총물량";#N/A,#N/A,TRUE,"Y능력";#N/A,#N/A,TRUE,"YKD"}</definedName>
    <definedName name="인테리어팀" hidden="1">{#N/A,#N/A,TRUE,"Y생산";#N/A,#N/A,TRUE,"Y판매";#N/A,#N/A,TRUE,"Y총물량";#N/A,#N/A,TRUE,"Y능력";#N/A,#N/A,TRUE,"YKD"}</definedName>
    <definedName name="인테리어팀_1" localSheetId="23" hidden="1">{#N/A,#N/A,TRUE,"Y생산";#N/A,#N/A,TRUE,"Y판매";#N/A,#N/A,TRUE,"Y총물량";#N/A,#N/A,TRUE,"Y능력";#N/A,#N/A,TRUE,"YKD"}</definedName>
    <definedName name="인테리어팀_1" localSheetId="18" hidden="1">{#N/A,#N/A,TRUE,"Y생산";#N/A,#N/A,TRUE,"Y판매";#N/A,#N/A,TRUE,"Y총물량";#N/A,#N/A,TRUE,"Y능력";#N/A,#N/A,TRUE,"YKD"}</definedName>
    <definedName name="인테리어팀_1" localSheetId="24" hidden="1">{#N/A,#N/A,TRUE,"Y생산";#N/A,#N/A,TRUE,"Y판매";#N/A,#N/A,TRUE,"Y총물량";#N/A,#N/A,TRUE,"Y능력";#N/A,#N/A,TRUE,"YKD"}</definedName>
    <definedName name="인테리어팀_1" hidden="1">{#N/A,#N/A,TRUE,"Y생산";#N/A,#N/A,TRUE,"Y판매";#N/A,#N/A,TRUE,"Y총물량";#N/A,#N/A,TRUE,"Y능력";#N/A,#N/A,TRUE,"YKD"}</definedName>
    <definedName name="인테리어품의" localSheetId="23" hidden="1">{"'7'!$B$15:$D$32"}</definedName>
    <definedName name="인테리어품의" localSheetId="18" hidden="1">{"'7'!$B$15:$D$32"}</definedName>
    <definedName name="인테리어품의" localSheetId="24" hidden="1">{"'7'!$B$15:$D$32"}</definedName>
    <definedName name="인테리어품의" hidden="1">{"'7'!$B$15:$D$32"}</definedName>
    <definedName name="一括" localSheetId="23" hidden="1">{"DCF-北海道",#N/A,TRUE,"北海道";"DCF-東北",#N/A,TRUE,"東北";"DCF-東海",#N/A,TRUE,"東海";"DCF-北陸",#N/A,TRUE,"北陸";"DCF-関西",#N/A,TRUE,"関西";"DCF-中国",#N/A,TRUE,"中国";"DCF-四国",#N/A,TRUE,"四国";"DCF-九州",#N/A,TRUE,"九州";"DCF-連結",#N/A,TRUE,"連結"}</definedName>
    <definedName name="一括" localSheetId="18" hidden="1">{"DCF-北海道",#N/A,TRUE,"北海道";"DCF-東北",#N/A,TRUE,"東北";"DCF-東海",#N/A,TRUE,"東海";"DCF-北陸",#N/A,TRUE,"北陸";"DCF-関西",#N/A,TRUE,"関西";"DCF-中国",#N/A,TRUE,"中国";"DCF-四国",#N/A,TRUE,"四国";"DCF-九州",#N/A,TRUE,"九州";"DCF-連結",#N/A,TRUE,"連結"}</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3" hidden="1">{#N/A,#N/A,FALSE,"현장 NCR 분석";#N/A,#N/A,FALSE,"현장품질감사";#N/A,#N/A,FALSE,"현장품질감사"}</definedName>
    <definedName name="일선종건" localSheetId="18" hidden="1">{#N/A,#N/A,FALSE,"현장 NCR 분석";#N/A,#N/A,FALSE,"현장품질감사";#N/A,#N/A,FALSE,"현장품질감사"}</definedName>
    <definedName name="일선종건" localSheetId="24" hidden="1">{#N/A,#N/A,FALSE,"현장 NCR 분석";#N/A,#N/A,FALSE,"현장품질감사";#N/A,#N/A,FALSE,"현장품질감사"}</definedName>
    <definedName name="일선종건" hidden="1">{#N/A,#N/A,FALSE,"현장 NCR 분석";#N/A,#N/A,FALSE,"현장품질감사";#N/A,#N/A,FALSE,"현장품질감사"}</definedName>
    <definedName name="일자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3" hidden="1">{"'공사부문'!$A$6:$A$32"}</definedName>
    <definedName name="임ㄴ" localSheetId="18" hidden="1">{"'공사부문'!$A$6:$A$32"}</definedName>
    <definedName name="임ㄴ" localSheetId="24" hidden="1">{"'공사부문'!$A$6:$A$32"}</definedName>
    <definedName name="임ㄴ" hidden="1">{"'공사부문'!$A$6:$A$32"}</definedName>
    <definedName name="임시" localSheetId="23" hidden="1">{#N/A,#N/A,FALSE,"현장 NCR 분석";#N/A,#N/A,FALSE,"현장품질감사";#N/A,#N/A,FALSE,"현장품질감사"}</definedName>
    <definedName name="임시" localSheetId="18" hidden="1">{#N/A,#N/A,FALSE,"현장 NCR 분석";#N/A,#N/A,FALSE,"현장품질감사";#N/A,#N/A,FALSE,"현장품질감사"}</definedName>
    <definedName name="임시" localSheetId="24" hidden="1">{#N/A,#N/A,FALSE,"현장 NCR 분석";#N/A,#N/A,FALSE,"현장품질감사";#N/A,#N/A,FALSE,"현장품질감사"}</definedName>
    <definedName name="임시" hidden="1">{#N/A,#N/A,FALSE,"현장 NCR 분석";#N/A,#N/A,FALSE,"현장품질감사";#N/A,#N/A,FALSE,"현장품질감사"}</definedName>
    <definedName name="임차풀" localSheetId="23" hidden="1">{#N/A,#N/A,FALSE,"동부"}</definedName>
    <definedName name="임차풀" localSheetId="18" hidden="1">{#N/A,#N/A,FALSE,"동부"}</definedName>
    <definedName name="임차풀" localSheetId="24" hidden="1">{#N/A,#N/A,FALSE,"동부"}</definedName>
    <definedName name="임차풀" hidden="1">{#N/A,#N/A,FALSE,"동부"}</definedName>
    <definedName name="入金明細" localSheetId="23" hidden="1">{"pond1",#N/A,FALSE,"Focus";"pond2",#N/A,FALSE,"Focus"}</definedName>
    <definedName name="入金明細" localSheetId="18" hidden="1">{"pond1",#N/A,FALSE,"Focus";"pond2",#N/A,FALSE,"Focus"}</definedName>
    <definedName name="入金明細" localSheetId="24" hidden="1">{"pond1",#N/A,FALSE,"Focus";"pond2",#N/A,FALSE,"Focus"}</definedName>
    <definedName name="入金明細" hidden="1">{"pond1",#N/A,FALSE,"Focus";"pond2",#N/A,FALSE,"Focus"}</definedName>
    <definedName name="入力済" localSheetId="23" hidden="1">{"MonthlyRentRoll",#N/A,FALSE,"RentRoll"}</definedName>
    <definedName name="入力済" localSheetId="18" hidden="1">{"MonthlyRentRoll",#N/A,FALSE,"RentRoll"}</definedName>
    <definedName name="入力済" localSheetId="24" hidden="1">{"MonthlyRentRoll",#N/A,FALSE,"RentRoll"}</definedName>
    <definedName name="入力済" hidden="1">{"MonthlyRentRoll",#N/A,FALSE,"RentRoll"}</definedName>
    <definedName name="入力済_1" localSheetId="23" hidden="1">{"MonthlyRentRoll",#N/A,FALSE,"RentRoll"}</definedName>
    <definedName name="入力済_1" localSheetId="18" hidden="1">{"MonthlyRentRoll",#N/A,FALSE,"RentRoll"}</definedName>
    <definedName name="入力済_1" localSheetId="24" hidden="1">{"MonthlyRentRoll",#N/A,FALSE,"RentRoll"}</definedName>
    <definedName name="入力済_1" hidden="1">{"MonthlyRentRoll",#N/A,FALSE,"RentRoll"}</definedName>
    <definedName name="입면도1"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3" hidden="1">{#N/A,#N/A,FALSE,"BS";#N/A,#N/A,FALSE,"PL";#N/A,#N/A,FALSE,"처분";#N/A,#N/A,FALSE,"현금";#N/A,#N/A,FALSE,"매출";#N/A,#N/A,FALSE,"원가";#N/A,#N/A,FALSE,"경영"}</definedName>
    <definedName name="ㅈ" localSheetId="18" hidden="1">{#N/A,#N/A,FALSE,"BS";#N/A,#N/A,FALSE,"PL";#N/A,#N/A,FALSE,"처분";#N/A,#N/A,FALSE,"현금";#N/A,#N/A,FALSE,"매출";#N/A,#N/A,FALSE,"원가";#N/A,#N/A,FALSE,"경영"}</definedName>
    <definedName name="ㅈ" localSheetId="24"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3" hidden="1">{#N/A,#N/A,FALSE,"업체선정";#N/A,#N/A,FALSE,"업체선정sheet";#N/A,#N/A,FALSE,"업체실태";#N/A,#N/A,FALSE,"업체실태(1)";#N/A,#N/A,FALSE,"종업원현황(2)";#N/A,#N/A,FALSE,"생산품목(3)";#N/A,#N/A,FALSE,"장비보유현황";#N/A,#N/A,FALSE,"차량및약도";#N/A,#N/A,FALSE,"금형LIST"}</definedName>
    <definedName name="ㅈ3" localSheetId="18" hidden="1">{#N/A,#N/A,FALSE,"업체선정";#N/A,#N/A,FALSE,"업체선정sheet";#N/A,#N/A,FALSE,"업체실태";#N/A,#N/A,FALSE,"업체실태(1)";#N/A,#N/A,FALSE,"종업원현황(2)";#N/A,#N/A,FALSE,"생산품목(3)";#N/A,#N/A,FALSE,"장비보유현황";#N/A,#N/A,FALSE,"차량및약도";#N/A,#N/A,FALSE,"금형LIST"}</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3" hidden="1">{"'용역비'!$A$4:$C$8"}</definedName>
    <definedName name="ㅈ56ㅕ" localSheetId="18" hidden="1">{"'용역비'!$A$4:$C$8"}</definedName>
    <definedName name="ㅈ56ㅕ" localSheetId="24" hidden="1">{"'용역비'!$A$4:$C$8"}</definedName>
    <definedName name="ㅈ56ㅕ" hidden="1">{"'용역비'!$A$4:$C$8"}</definedName>
    <definedName name="ㅈㄳ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3" hidden="1">{"'용역비'!$A$4:$C$8"}</definedName>
    <definedName name="ㅈㄷㄱㄷㄱㄷ" localSheetId="18" hidden="1">{"'용역비'!$A$4:$C$8"}</definedName>
    <definedName name="ㅈㄷㄱㄷㄱㄷ" localSheetId="24" hidden="1">{"'용역비'!$A$4:$C$8"}</definedName>
    <definedName name="ㅈㄷㄱㄷㄱㄷ" hidden="1">{"'용역비'!$A$4:$C$8"}</definedName>
    <definedName name="ㅈㄷㄱ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3" hidden="1">{"'PROFORMA'!$A$1:$H$120"}</definedName>
    <definedName name="ㅈㄷㄷ" localSheetId="18" hidden="1">{"'PROFORMA'!$A$1:$H$120"}</definedName>
    <definedName name="ㅈㄷㄷ" localSheetId="24" hidden="1">{"'PROFORMA'!$A$1:$H$120"}</definedName>
    <definedName name="ㅈㄷㄷ" hidden="1">{"'PROFORMA'!$A$1:$H$120"}</definedName>
    <definedName name="ㅈㄷㅈㄷ" localSheetId="23" hidden="1">{"'통신지'!$A$1:$J$41"}</definedName>
    <definedName name="ㅈㄷㅈㄷ" localSheetId="18" hidden="1">{"'통신지'!$A$1:$J$41"}</definedName>
    <definedName name="ㅈㄷㅈㄷ" localSheetId="24" hidden="1">{"'통신지'!$A$1:$J$41"}</definedName>
    <definedName name="ㅈㄷㅈㄷ" hidden="1">{"'통신지'!$A$1:$J$41"}</definedName>
    <definedName name="ㅈㅁㅁ" localSheetId="23" hidden="1">{#N/A,#N/A,FALSE,"동부"}</definedName>
    <definedName name="ㅈㅁㅁ" localSheetId="18" hidden="1">{#N/A,#N/A,FALSE,"동부"}</definedName>
    <definedName name="ㅈㅁㅁ" localSheetId="24" hidden="1">{#N/A,#N/A,FALSE,"동부"}</definedName>
    <definedName name="ㅈㅁㅁ" hidden="1">{#N/A,#N/A,FALSE,"동부"}</definedName>
    <definedName name="ㅈㅂㄱㅂㅈㄷㄱ" localSheetId="23" hidden="1">{#N/A,#N/A,FALSE,"CAM-G7";#N/A,#N/A,FALSE,"SPL";#N/A,#N/A,FALSE,"butt-in G7";#N/A,#N/A,FALSE,"dia-in G7";#N/A,#N/A,FALSE,"추가-STA G7"}</definedName>
    <definedName name="ㅈㅂㄱㅂㅈㄷㄱ" localSheetId="18" hidden="1">{#N/A,#N/A,FALSE,"CAM-G7";#N/A,#N/A,FALSE,"SPL";#N/A,#N/A,FALSE,"butt-in G7";#N/A,#N/A,FALSE,"dia-in G7";#N/A,#N/A,FALSE,"추가-STA G7"}</definedName>
    <definedName name="ㅈㅂㄱㅂㅈㄷㄱ" localSheetId="24" hidden="1">{#N/A,#N/A,FALSE,"CAM-G7";#N/A,#N/A,FALSE,"SPL";#N/A,#N/A,FALSE,"butt-in G7";#N/A,#N/A,FALSE,"dia-in G7";#N/A,#N/A,FALSE,"추가-STA G7"}</definedName>
    <definedName name="ㅈㅂㄱㅂㅈㄷㄱ" hidden="1">{#N/A,#N/A,FALSE,"CAM-G7";#N/A,#N/A,FALSE,"SPL";#N/A,#N/A,FALSE,"butt-in G7";#N/A,#N/A,FALSE,"dia-in G7";#N/A,#N/A,FALSE,"추가-STA G7"}</definedName>
    <definedName name="ㅈㅇ" localSheetId="23" hidden="1">{"'용역비'!$A$4:$C$8"}</definedName>
    <definedName name="ㅈㅇ" localSheetId="18" hidden="1">{"'용역비'!$A$4:$C$8"}</definedName>
    <definedName name="ㅈㅇ" localSheetId="24" hidden="1">{"'용역비'!$A$4:$C$8"}</definedName>
    <definedName name="ㅈㅇ" hidden="1">{"'용역비'!$A$4:$C$8"}</definedName>
    <definedName name="ㅈㅈㅈㅈ" localSheetId="23" hidden="1">{#N/A,#N/A,FALSE,"Aging Summary";#N/A,#N/A,FALSE,"Ratio Analysis";#N/A,#N/A,FALSE,"Test 120 Day Accts";#N/A,#N/A,FALSE,"Tickmarks"}</definedName>
    <definedName name="ㅈㅈㅈㅈ" localSheetId="18" hidden="1">{#N/A,#N/A,FALSE,"Aging Summary";#N/A,#N/A,FALSE,"Ratio Analysis";#N/A,#N/A,FALSE,"Test 120 Day Accts";#N/A,#N/A,FALSE,"Tickmarks"}</definedName>
    <definedName name="ㅈㅈㅈㅈ" localSheetId="24"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3" hidden="1">{"'용역비'!$A$4:$C$8"}</definedName>
    <definedName name="ㅈㅈㅈㅈㅈㅈ" localSheetId="18" hidden="1">{"'용역비'!$A$4:$C$8"}</definedName>
    <definedName name="ㅈㅈㅈㅈㅈㅈ" localSheetId="24" hidden="1">{"'용역비'!$A$4:$C$8"}</definedName>
    <definedName name="ㅈㅈㅈㅈㅈㅈ" hidden="1">{"'용역비'!$A$4:$C$8"}</definedName>
    <definedName name="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3" hidden="1">{#N/A,#N/A,FALSE,"97년 투자계획 세부내역 "}</definedName>
    <definedName name="자본건축총괄" localSheetId="18" hidden="1">{#N/A,#N/A,FALSE,"97년 투자계획 세부내역 "}</definedName>
    <definedName name="자본건축총괄" localSheetId="24" hidden="1">{#N/A,#N/A,FALSE,"97년 투자계획 세부내역 "}</definedName>
    <definedName name="자본건축총괄" hidden="1">{#N/A,#N/A,FALSE,"97년 투자계획 세부내역 "}</definedName>
    <definedName name="자본금" localSheetId="23" hidden="1">{#N/A,#N/A,FALSE,"Aging Summary";#N/A,#N/A,FALSE,"Ratio Analysis";#N/A,#N/A,FALSE,"Test 120 Day Accts";#N/A,#N/A,FALSE,"Tickmarks"}</definedName>
    <definedName name="자본금" localSheetId="18" hidden="1">{#N/A,#N/A,FALSE,"Aging Summary";#N/A,#N/A,FALSE,"Ratio Analysis";#N/A,#N/A,FALSE,"Test 120 Day Accts";#N/A,#N/A,FALSE,"Tickmarks"}</definedName>
    <definedName name="자본금" localSheetId="24"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3" hidden="1">{"'용역비'!$A$4:$C$8"}</definedName>
    <definedName name="자재비" localSheetId="18" hidden="1">{"'용역비'!$A$4:$C$8"}</definedName>
    <definedName name="자재비" localSheetId="24" hidden="1">{"'용역비'!$A$4:$C$8"}</definedName>
    <definedName name="자재비" hidden="1">{"'용역비'!$A$4:$C$8"}</definedName>
    <definedName name="자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3" hidden="1">{#N/A,#N/A,FALSE,"BS";#N/A,#N/A,FALSE,"PL";#N/A,#N/A,FALSE,"처분";#N/A,#N/A,FALSE,"현금";#N/A,#N/A,FALSE,"매출";#N/A,#N/A,FALSE,"원가";#N/A,#N/A,FALSE,"경영"}</definedName>
    <definedName name="작성조서" localSheetId="18" hidden="1">{#N/A,#N/A,FALSE,"BS";#N/A,#N/A,FALSE,"PL";#N/A,#N/A,FALSE,"처분";#N/A,#N/A,FALSE,"현금";#N/A,#N/A,FALSE,"매출";#N/A,#N/A,FALSE,"원가";#N/A,#N/A,FALSE,"경영"}</definedName>
    <definedName name="작성조서" localSheetId="24"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3" hidden="1">{"summary",#N/A,TRUE,"Focus";"interestexpense",#N/A,TRUE,"Focus";"interestincome",#N/A,TRUE,"Focus";"dividend",#N/A,TRUE,"Focus";"feeincome",#N/A,TRUE,"Focus";"gain",#N/A,TRUE,"Focus"}</definedName>
    <definedName name="作業中" localSheetId="18" hidden="1">{"summary",#N/A,TRUE,"Focus";"interestexpense",#N/A,TRUE,"Focus";"interestincome",#N/A,TRUE,"Focus";"dividend",#N/A,TRUE,"Focus";"feeincome",#N/A,TRUE,"Focus";"gain",#N/A,TRUE,"Focus"}</definedName>
    <definedName name="作業中" localSheetId="24"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3" hidden="1">{#N/A,#N/A,FALSE,"1.CRITERIA";#N/A,#N/A,FALSE,"2.IS";#N/A,#N/A,FALSE,"3.BS";#N/A,#N/A,FALSE,"4.PER PL";#N/A,#N/A,FALSE,"5.INVESTMENT";#N/A,#N/A,FALSE,"6.공문";#N/A,#N/A,FALSE,"7.netinvest"}</definedName>
    <definedName name="잡손실" localSheetId="18" hidden="1">{#N/A,#N/A,FALSE,"1.CRITERIA";#N/A,#N/A,FALSE,"2.IS";#N/A,#N/A,FALSE,"3.BS";#N/A,#N/A,FALSE,"4.PER PL";#N/A,#N/A,FALSE,"5.INVESTMENT";#N/A,#N/A,FALSE,"6.공문";#N/A,#N/A,FALSE,"7.netinvest"}</definedName>
    <definedName name="잡손실" localSheetId="24"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3" hidden="1">{#N/A,#N/A,FALSE,"1.CRITERIA";#N/A,#N/A,FALSE,"2.IS";#N/A,#N/A,FALSE,"3.BS";#N/A,#N/A,FALSE,"4.PER PL";#N/A,#N/A,FALSE,"5.INVESTMENT";#N/A,#N/A,FALSE,"6.공문";#N/A,#N/A,FALSE,"7.netinvest"}</definedName>
    <definedName name="잡이익" localSheetId="18"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3" hidden="1">{#N/A,#N/A,FALSE,"CAM-G7";#N/A,#N/A,FALSE,"SPL";#N/A,#N/A,FALSE,"butt-in G7";#N/A,#N/A,FALSE,"dia-in G7";#N/A,#N/A,FALSE,"추가-STA G7"}</definedName>
    <definedName name="장4" localSheetId="18" hidden="1">{#N/A,#N/A,FALSE,"CAM-G7";#N/A,#N/A,FALSE,"SPL";#N/A,#N/A,FALSE,"butt-in G7";#N/A,#N/A,FALSE,"dia-in G7";#N/A,#N/A,FALSE,"추가-STA G7"}</definedName>
    <definedName name="장4" localSheetId="24" hidden="1">{#N/A,#N/A,FALSE,"CAM-G7";#N/A,#N/A,FALSE,"SPL";#N/A,#N/A,FALSE,"butt-in G7";#N/A,#N/A,FALSE,"dia-in G7";#N/A,#N/A,FALSE,"추가-STA G7"}</definedName>
    <definedName name="장4" hidden="1">{#N/A,#N/A,FALSE,"CAM-G7";#N/A,#N/A,FALSE,"SPL";#N/A,#N/A,FALSE,"butt-in G7";#N/A,#N/A,FALSE,"dia-in G7";#N/A,#N/A,FALSE,"추가-STA G7"}</definedName>
    <definedName name="장기" localSheetId="23" hidden="1">{#N/A,#N/A,TRUE,"Y생산";#N/A,#N/A,TRUE,"Y판매";#N/A,#N/A,TRUE,"Y총물량";#N/A,#N/A,TRUE,"Y능력";#N/A,#N/A,TRUE,"YKD"}</definedName>
    <definedName name="장기" localSheetId="18" hidden="1">{#N/A,#N/A,TRUE,"Y생산";#N/A,#N/A,TRUE,"Y판매";#N/A,#N/A,TRUE,"Y총물량";#N/A,#N/A,TRUE,"Y능력";#N/A,#N/A,TRUE,"YKD"}</definedName>
    <definedName name="장기" localSheetId="24" hidden="1">{#N/A,#N/A,TRUE,"Y생산";#N/A,#N/A,TRUE,"Y판매";#N/A,#N/A,TRUE,"Y총물량";#N/A,#N/A,TRUE,"Y능력";#N/A,#N/A,TRUE,"YKD"}</definedName>
    <definedName name="장기" hidden="1">{#N/A,#N/A,TRUE,"Y생산";#N/A,#N/A,TRUE,"Y판매";#N/A,#N/A,TRUE,"Y총물량";#N/A,#N/A,TRUE,"Y능력";#N/A,#N/A,TRUE,"YKD"}</definedName>
    <definedName name="장기_1" localSheetId="23" hidden="1">{#N/A,#N/A,TRUE,"Y생산";#N/A,#N/A,TRUE,"Y판매";#N/A,#N/A,TRUE,"Y총물량";#N/A,#N/A,TRUE,"Y능력";#N/A,#N/A,TRUE,"YKD"}</definedName>
    <definedName name="장기_1" localSheetId="18" hidden="1">{#N/A,#N/A,TRUE,"Y생산";#N/A,#N/A,TRUE,"Y판매";#N/A,#N/A,TRUE,"Y총물량";#N/A,#N/A,TRUE,"Y능력";#N/A,#N/A,TRUE,"YKD"}</definedName>
    <definedName name="장기_1" localSheetId="24" hidden="1">{#N/A,#N/A,TRUE,"Y생산";#N/A,#N/A,TRUE,"Y판매";#N/A,#N/A,TRUE,"Y총물량";#N/A,#N/A,TRUE,"Y능력";#N/A,#N/A,TRUE,"YKD"}</definedName>
    <definedName name="장기_1" hidden="1">{#N/A,#N/A,TRUE,"Y생산";#N/A,#N/A,TRUE,"Y판매";#N/A,#N/A,TRUE,"Y총물량";#N/A,#N/A,TRUE,"Y능력";#N/A,#N/A,TRUE,"YKD"}</definedName>
    <definedName name="장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3" hidden="1">{"'용역비'!$A$4:$C$8"}</definedName>
    <definedName name="장집" localSheetId="18" hidden="1">{"'용역비'!$A$4:$C$8"}</definedName>
    <definedName name="장집" localSheetId="24" hidden="1">{"'용역비'!$A$4:$C$8"}</definedName>
    <definedName name="장집" hidden="1">{"'용역비'!$A$4:$C$8"}</definedName>
    <definedName name="再" localSheetId="23" hidden="1">{"summary",#N/A,TRUE,"Focus";"interestexpense",#N/A,TRUE,"Focus";"interestincome",#N/A,TRUE,"Focus";"dividend",#N/A,TRUE,"Focus";"feeincome",#N/A,TRUE,"Focus";"gain",#N/A,TRUE,"Focus"}</definedName>
    <definedName name="再" localSheetId="18" hidden="1">{"summary",#N/A,TRUE,"Focus";"interestexpense",#N/A,TRUE,"Focus";"interestincome",#N/A,TRUE,"Focus";"dividend",#N/A,TRUE,"Focus";"feeincome",#N/A,TRUE,"Focus";"gain",#N/A,TRUE,"Focus"}</definedName>
    <definedName name="再" localSheetId="24"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3" hidden="1">{#N/A,#N/A,TRUE,"Y생산";#N/A,#N/A,TRUE,"Y판매";#N/A,#N/A,TRUE,"Y총물량";#N/A,#N/A,TRUE,"Y능력";#N/A,#N/A,TRUE,"YKD"}</definedName>
    <definedName name="재고관리" localSheetId="18" hidden="1">{#N/A,#N/A,TRUE,"Y생산";#N/A,#N/A,TRUE,"Y판매";#N/A,#N/A,TRUE,"Y총물량";#N/A,#N/A,TRUE,"Y능력";#N/A,#N/A,TRUE,"YKD"}</definedName>
    <definedName name="재고관리" localSheetId="24" hidden="1">{#N/A,#N/A,TRUE,"Y생산";#N/A,#N/A,TRUE,"Y판매";#N/A,#N/A,TRUE,"Y총물량";#N/A,#N/A,TRUE,"Y능력";#N/A,#N/A,TRUE,"YKD"}</definedName>
    <definedName name="재고관리" hidden="1">{#N/A,#N/A,TRUE,"Y생산";#N/A,#N/A,TRUE,"Y판매";#N/A,#N/A,TRUE,"Y총물량";#N/A,#N/A,TRUE,"Y능력";#N/A,#N/A,TRUE,"YKD"}</definedName>
    <definedName name="재댜ㅓㄹㅈ디마" localSheetId="23" hidden="1">{#N/A,#N/A,TRUE,"대 차 대 조 표"}</definedName>
    <definedName name="재댜ㅓㄹㅈ디마" localSheetId="18" hidden="1">{#N/A,#N/A,TRUE,"대 차 대 조 표"}</definedName>
    <definedName name="재댜ㅓㄹㅈ디마" localSheetId="24" hidden="1">{#N/A,#N/A,TRUE,"대 차 대 조 표"}</definedName>
    <definedName name="재댜ㅓㄹㅈ디마" hidden="1">{#N/A,#N/A,TRUE,"대 차 대 조 표"}</definedName>
    <definedName name="재료비" localSheetId="23" hidden="1">{#N/A,#N/A,TRUE,"일정"}</definedName>
    <definedName name="재료비" localSheetId="18" hidden="1">{#N/A,#N/A,TRUE,"일정"}</definedName>
    <definedName name="재료비" localSheetId="24" hidden="1">{#N/A,#N/A,TRUE,"일정"}</definedName>
    <definedName name="재료비" hidden="1">{#N/A,#N/A,TRUE,"일정"}</definedName>
    <definedName name="재무제표"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3" hidden="1">{"'미착금액'!$A$4:$G$14"}</definedName>
    <definedName name="재재재" localSheetId="18" hidden="1">{"'미착금액'!$A$4:$G$14"}</definedName>
    <definedName name="재재재" localSheetId="24" hidden="1">{"'미착금액'!$A$4:$G$14"}</definedName>
    <definedName name="재재재" hidden="1">{"'미착금액'!$A$4:$G$14"}</definedName>
    <definedName name="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3" hidden="1">{#N/A,#N/A,FALSE,"견적갑지";#N/A,#N/A,FALSE,"총괄표";#N/A,#N/A,FALSE,"철골공사";#N/A,#N/A,FALSE,"토목공사";#N/A,#N/A,FALSE,"판넬전기공사"}</definedName>
    <definedName name="저온" localSheetId="18" hidden="1">{#N/A,#N/A,FALSE,"견적갑지";#N/A,#N/A,FALSE,"총괄표";#N/A,#N/A,FALSE,"철골공사";#N/A,#N/A,FALSE,"토목공사";#N/A,#N/A,FALSE,"판넬전기공사"}</definedName>
    <definedName name="저온" localSheetId="24"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3" hidden="1">{#N/A,#N/A,FALSE,"견적갑지";#N/A,#N/A,FALSE,"총괄표";#N/A,#N/A,FALSE,"철골공사";#N/A,#N/A,FALSE,"토목공사";#N/A,#N/A,FALSE,"판넬전기공사"}</definedName>
    <definedName name="저온1" localSheetId="18"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3" hidden="1">{#N/A,#N/A,FALSE,"견적갑지";#N/A,#N/A,FALSE,"총괄표";#N/A,#N/A,FALSE,"철골공사";#N/A,#N/A,FALSE,"토목공사";#N/A,#N/A,FALSE,"판넬전기공사"}</definedName>
    <definedName name="저온냉동" localSheetId="18"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3" hidden="1">{#N/A,#N/A,FALSE,"견적갑지";#N/A,#N/A,FALSE,"총괄표";#N/A,#N/A,FALSE,"철골공사";#N/A,#N/A,FALSE,"토목공사";#N/A,#N/A,FALSE,"판넬전기공사"}</definedName>
    <definedName name="저온설비" localSheetId="18"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3" hidden="1">{#N/A,#N/A,FALSE,"견적갑지";#N/A,#N/A,FALSE,"총괄표";#N/A,#N/A,FALSE,"철골공사";#N/A,#N/A,FALSE,"토목공사";#N/A,#N/A,FALSE,"판넬전기공사"}</definedName>
    <definedName name="저온저장고" localSheetId="18"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3" hidden="1">{#N/A,#N/A,FALSE,"견적갑지";#N/A,#N/A,FALSE,"총괄표";#N/A,#N/A,FALSE,"철골공사";#N/A,#N/A,FALSE,"토목공사";#N/A,#N/A,FALSE,"판넬전기공사"}</definedName>
    <definedName name="저온집계" localSheetId="18"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3"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8"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3" hidden="1">{#N/A,#N/A,FALSE,"97년 투자계획 세부내역 "}</definedName>
    <definedName name="전" localSheetId="18" hidden="1">{#N/A,#N/A,FALSE,"97년 투자계획 세부내역 "}</definedName>
    <definedName name="전" localSheetId="24" hidden="1">{#N/A,#N/A,FALSE,"97년 투자계획 세부내역 "}</definedName>
    <definedName name="전" hidden="1">{#N/A,#N/A,FALSE,"97년 투자계획 세부내역 "}</definedName>
    <definedName name="전기" localSheetId="23" hidden="1">{#N/A,#N/A,FALSE,"97년 투자계획 세부내역 "}</definedName>
    <definedName name="전기" localSheetId="18" hidden="1">{#N/A,#N/A,FALSE,"97년 투자계획 세부내역 "}</definedName>
    <definedName name="전기" localSheetId="24" hidden="1">{#N/A,#N/A,FALSE,"97년 투자계획 세부내역 "}</definedName>
    <definedName name="전기" hidden="1">{#N/A,#N/A,FALSE,"97년 투자계획 세부내역 "}</definedName>
    <definedName name="전기1" localSheetId="23" hidden="1">{#N/A,#N/A,FALSE,"견적갑지";#N/A,#N/A,FALSE,"총괄표";#N/A,#N/A,FALSE,"철골공사";#N/A,#N/A,FALSE,"토목공사";#N/A,#N/A,FALSE,"판넬전기공사"}</definedName>
    <definedName name="전기1" localSheetId="18" hidden="1">{#N/A,#N/A,FALSE,"견적갑지";#N/A,#N/A,FALSE,"총괄표";#N/A,#N/A,FALSE,"철골공사";#N/A,#N/A,FALSE,"토목공사";#N/A,#N/A,FALSE,"판넬전기공사"}</definedName>
    <definedName name="전기1" localSheetId="24"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3" hidden="1">{#N/A,#N/A,FALSE,"견적갑지";#N/A,#N/A,FALSE,"총괄표";#N/A,#N/A,FALSE,"철골공사";#N/A,#N/A,FALSE,"토목공사";#N/A,#N/A,FALSE,"판넬전기공사"}</definedName>
    <definedName name="전기3" localSheetId="18"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3" hidden="1">{#N/A,#N/A,FALSE,"견적갑지";#N/A,#N/A,FALSE,"총괄표";#N/A,#N/A,FALSE,"철골공사";#N/A,#N/A,FALSE,"토목공사";#N/A,#N/A,FALSE,"판넬전기공사"}</definedName>
    <definedName name="전기4" localSheetId="18"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3" hidden="1">{#N/A,#N/A,FALSE,"CCTV"}</definedName>
    <definedName name="전기내역" localSheetId="18" hidden="1">{#N/A,#N/A,FALSE,"CCTV"}</definedName>
    <definedName name="전기내역" localSheetId="24" hidden="1">{#N/A,#N/A,FALSE,"CCTV"}</definedName>
    <definedName name="전기내역" hidden="1">{#N/A,#N/A,FALSE,"CCTV"}</definedName>
    <definedName name="전문" localSheetId="23" hidden="1">{"'7'!$B$15:$D$32"}</definedName>
    <definedName name="전문" localSheetId="18" hidden="1">{"'7'!$B$15:$D$32"}</definedName>
    <definedName name="전문" localSheetId="24" hidden="1">{"'7'!$B$15:$D$32"}</definedName>
    <definedName name="전문" hidden="1">{"'7'!$B$15:$D$32"}</definedName>
    <definedName name="전용원" localSheetId="23" hidden="1">{#N/A,#N/A,FALSE,"97년 투자계획 세부내역 "}</definedName>
    <definedName name="전용원" localSheetId="18" hidden="1">{#N/A,#N/A,FALSE,"97년 투자계획 세부내역 "}</definedName>
    <definedName name="전용원" localSheetId="24" hidden="1">{#N/A,#N/A,FALSE,"97년 투자계획 세부내역 "}</definedName>
    <definedName name="전용원" hidden="1">{#N/A,#N/A,FALSE,"97년 투자계획 세부내역 "}</definedName>
    <definedName name="전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3" hidden="1">{#N/A,#N/A,FALSE,"지침";#N/A,#N/A,FALSE,"환경분석";#N/A,#N/A,FALSE,"Sheet16"}</definedName>
    <definedName name="전자CF" localSheetId="18" hidden="1">{#N/A,#N/A,FALSE,"지침";#N/A,#N/A,FALSE,"환경분석";#N/A,#N/A,FALSE,"Sheet16"}</definedName>
    <definedName name="전자CF" localSheetId="24" hidden="1">{#N/A,#N/A,FALSE,"지침";#N/A,#N/A,FALSE,"환경분석";#N/A,#N/A,FALSE,"Sheet16"}</definedName>
    <definedName name="전자CF" hidden="1">{#N/A,#N/A,FALSE,"지침";#N/A,#N/A,FALSE,"환경분석";#N/A,#N/A,FALSE,"Sheet16"}</definedName>
    <definedName name="전체_검토_도급포함" localSheetId="23" hidden="1">{#N/A,#N/A,FALSE,"CCTV"}</definedName>
    <definedName name="전체_검토_도급포함" localSheetId="18" hidden="1">{#N/A,#N/A,FALSE,"CCTV"}</definedName>
    <definedName name="전체_검토_도급포함" localSheetId="24" hidden="1">{#N/A,#N/A,FALSE,"CCTV"}</definedName>
    <definedName name="전체_검토_도급포함" hidden="1">{#N/A,#N/A,FALSE,"CCTV"}</definedName>
    <definedName name="절감효과" localSheetId="23" hidden="1">{#N/A,#N/A,TRUE,"Y생산";#N/A,#N/A,TRUE,"Y판매";#N/A,#N/A,TRUE,"Y총물량";#N/A,#N/A,TRUE,"Y능력";#N/A,#N/A,TRUE,"YKD"}</definedName>
    <definedName name="절감효과" localSheetId="18" hidden="1">{#N/A,#N/A,TRUE,"Y생산";#N/A,#N/A,TRUE,"Y판매";#N/A,#N/A,TRUE,"Y총물량";#N/A,#N/A,TRUE,"Y능력";#N/A,#N/A,TRUE,"YKD"}</definedName>
    <definedName name="절감효과" localSheetId="24" hidden="1">{#N/A,#N/A,TRUE,"Y생산";#N/A,#N/A,TRUE,"Y판매";#N/A,#N/A,TRUE,"Y총물량";#N/A,#N/A,TRUE,"Y능력";#N/A,#N/A,TRUE,"YKD"}</definedName>
    <definedName name="절감효과" hidden="1">{#N/A,#N/A,TRUE,"Y생산";#N/A,#N/A,TRUE,"Y판매";#N/A,#N/A,TRUE,"Y총물량";#N/A,#N/A,TRUE,"Y능력";#N/A,#N/A,TRUE,"YKD"}</definedName>
    <definedName name="정" localSheetId="23" hidden="1">{#N/A,#N/A,FALSE,"채권채무";#N/A,#N/A,FALSE,"control sheet"}</definedName>
    <definedName name="정" localSheetId="18" hidden="1">{#N/A,#N/A,FALSE,"채권채무";#N/A,#N/A,FALSE,"control sheet"}</definedName>
    <definedName name="정" localSheetId="24" hidden="1">{#N/A,#N/A,FALSE,"채권채무";#N/A,#N/A,FALSE,"control sheet"}</definedName>
    <definedName name="정" hidden="1">{#N/A,#N/A,FALSE,"채권채무";#N/A,#N/A,FALSE,"control sheet"}</definedName>
    <definedName name="정리" localSheetId="23" hidden="1">{#N/A,#N/A,TRUE,"대 차 대 조 표"}</definedName>
    <definedName name="정리" localSheetId="18" hidden="1">{#N/A,#N/A,TRUE,"대 차 대 조 표"}</definedName>
    <definedName name="정리" localSheetId="24" hidden="1">{#N/A,#N/A,TRUE,"대 차 대 조 표"}</definedName>
    <definedName name="정리" hidden="1">{#N/A,#N/A,TRUE,"대 차 대 조 표"}</definedName>
    <definedName name="정리_1" localSheetId="23" hidden="1">{#N/A,#N/A,TRUE,"대 차 대 조 표"}</definedName>
    <definedName name="정리_1" localSheetId="18" hidden="1">{#N/A,#N/A,TRUE,"대 차 대 조 표"}</definedName>
    <definedName name="정리_1" localSheetId="24" hidden="1">{#N/A,#N/A,TRUE,"대 차 대 조 표"}</definedName>
    <definedName name="정리_1" hidden="1">{#N/A,#N/A,TRUE,"대 차 대 조 표"}</definedName>
    <definedName name="정보" localSheetId="23" hidden="1">{"'7'!$B$15:$D$32"}</definedName>
    <definedName name="정보" localSheetId="18" hidden="1">{"'7'!$B$15:$D$32"}</definedName>
    <definedName name="정보" localSheetId="24" hidden="1">{"'7'!$B$15:$D$32"}</definedName>
    <definedName name="정보" hidden="1">{"'7'!$B$15:$D$32"}</definedName>
    <definedName name="정봉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3" hidden="1">{"Actual",#N/A,FALSE,"(価格)";"Market",#N/A,FALSE,"(価格)";"Plan",#N/A,FALSE,"(価格)"}</definedName>
    <definedName name="訂正" localSheetId="18" hidden="1">{"Actual",#N/A,FALSE,"(価格)";"Market",#N/A,FALSE,"(価格)";"Plan",#N/A,FALSE,"(価格)"}</definedName>
    <definedName name="訂正" localSheetId="24" hidden="1">{"Actual",#N/A,FALSE,"(価格)";"Market",#N/A,FALSE,"(価格)";"Plan",#N/A,FALSE,"(価格)"}</definedName>
    <definedName name="訂正" hidden="1">{"Actual",#N/A,FALSE,"(価格)";"Market",#N/A,FALSE,"(価格)";"Plan",#N/A,FALSE,"(価格)"}</definedName>
    <definedName name="정종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3" hidden="1">{#N/A,#N/A,TRUE,"Y생산";#N/A,#N/A,TRUE,"Y판매";#N/A,#N/A,TRUE,"Y총물량";#N/A,#N/A,TRUE,"Y능력";#N/A,#N/A,TRUE,"YKD"}</definedName>
    <definedName name="정희원" localSheetId="18" hidden="1">{#N/A,#N/A,TRUE,"Y생산";#N/A,#N/A,TRUE,"Y판매";#N/A,#N/A,TRUE,"Y총물량";#N/A,#N/A,TRUE,"Y능력";#N/A,#N/A,TRUE,"YKD"}</definedName>
    <definedName name="정희원" localSheetId="24" hidden="1">{#N/A,#N/A,TRUE,"Y생산";#N/A,#N/A,TRUE,"Y판매";#N/A,#N/A,TRUE,"Y총물량";#N/A,#N/A,TRUE,"Y능력";#N/A,#N/A,TRUE,"YKD"}</definedName>
    <definedName name="정희원" hidden="1">{#N/A,#N/A,TRUE,"Y생산";#N/A,#N/A,TRUE,"Y판매";#N/A,#N/A,TRUE,"Y총물량";#N/A,#N/A,TRUE,"Y능력";#N/A,#N/A,TRUE,"YKD"}</definedName>
    <definedName name="제경비산출표" localSheetId="23" hidden="1">{"'용역비'!$A$4:$C$8"}</definedName>
    <definedName name="제경비산출표" localSheetId="18" hidden="1">{"'용역비'!$A$4:$C$8"}</definedName>
    <definedName name="제경비산출표" localSheetId="24" hidden="1">{"'용역비'!$A$4:$C$8"}</definedName>
    <definedName name="제경비산출표" hidden="1">{"'용역비'!$A$4:$C$8"}</definedName>
    <definedName name="제관공사" localSheetId="23" hidden="1">{#N/A,#N/A,FALSE,"CCTV"}</definedName>
    <definedName name="제관공사" localSheetId="18" hidden="1">{#N/A,#N/A,FALSE,"CCTV"}</definedName>
    <definedName name="제관공사" localSheetId="24" hidden="1">{#N/A,#N/A,FALSE,"CCTV"}</definedName>
    <definedName name="제관공사" hidden="1">{#N/A,#N/A,FALSE,"CCTV"}</definedName>
    <definedName name="제동시험동" localSheetId="23" hidden="1">{"'PROFORMA'!$A$1:$H$120"}</definedName>
    <definedName name="제동시험동" localSheetId="18" hidden="1">{"'PROFORMA'!$A$1:$H$120"}</definedName>
    <definedName name="제동시험동" localSheetId="24" hidden="1">{"'PROFORMA'!$A$1:$H$120"}</definedName>
    <definedName name="제동시험동" hidden="1">{"'PROFORMA'!$A$1:$H$120"}</definedName>
    <definedName name="제수추가" localSheetId="23" hidden="1">{"'용역비'!$A$4:$C$8"}</definedName>
    <definedName name="제수추가" localSheetId="18" hidden="1">{"'용역비'!$A$4:$C$8"}</definedName>
    <definedName name="제수추가" localSheetId="24" hidden="1">{"'용역비'!$A$4:$C$8"}</definedName>
    <definedName name="제수추가" hidden="1">{"'용역비'!$A$4:$C$8"}</definedName>
    <definedName name="제안요약" localSheetId="23" hidden="1">{"'7'!$B$15:$D$32"}</definedName>
    <definedName name="제안요약" localSheetId="18" hidden="1">{"'7'!$B$15:$D$32"}</definedName>
    <definedName name="제안요약" localSheetId="24" hidden="1">{"'7'!$B$15:$D$32"}</definedName>
    <definedName name="제안요약" hidden="1">{"'7'!$B$15:$D$32"}</definedName>
    <definedName name="제작설치대비표" localSheetId="23" hidden="1">{#N/A,#N/A,FALSE,"CAM-G7";#N/A,#N/A,FALSE,"SPL";#N/A,#N/A,FALSE,"butt-in G7";#N/A,#N/A,FALSE,"dia-in G7";#N/A,#N/A,FALSE,"추가-STA G7"}</definedName>
    <definedName name="제작설치대비표" localSheetId="18" hidden="1">{#N/A,#N/A,FALSE,"CAM-G7";#N/A,#N/A,FALSE,"SPL";#N/A,#N/A,FALSE,"butt-in G7";#N/A,#N/A,FALSE,"dia-in G7";#N/A,#N/A,FALSE,"추가-STA G7"}</definedName>
    <definedName name="제작설치대비표" localSheetId="24" hidden="1">{#N/A,#N/A,FALSE,"CAM-G7";#N/A,#N/A,FALSE,"SPL";#N/A,#N/A,FALSE,"butt-in G7";#N/A,#N/A,FALSE,"dia-in G7";#N/A,#N/A,FALSE,"추가-STA G7"}</definedName>
    <definedName name="제작설치대비표" hidden="1">{#N/A,#N/A,FALSE,"CAM-G7";#N/A,#N/A,FALSE,"SPL";#N/A,#N/A,FALSE,"butt-in G7";#N/A,#N/A,FALSE,"dia-in G7";#N/A,#N/A,FALSE,"추가-STA G7"}</definedName>
    <definedName name="제조" localSheetId="23" hidden="1">{#N/A,#N/A,FALSE,"1.CRITERIA";#N/A,#N/A,FALSE,"2.IS";#N/A,#N/A,FALSE,"3.BS";#N/A,#N/A,FALSE,"4.PER PL";#N/A,#N/A,FALSE,"5.INVESTMENT";#N/A,#N/A,FALSE,"6.공문";#N/A,#N/A,FALSE,"7.netinvest"}</definedName>
    <definedName name="제조" localSheetId="18" hidden="1">{#N/A,#N/A,FALSE,"1.CRITERIA";#N/A,#N/A,FALSE,"2.IS";#N/A,#N/A,FALSE,"3.BS";#N/A,#N/A,FALSE,"4.PER PL";#N/A,#N/A,FALSE,"5.INVESTMENT";#N/A,#N/A,FALSE,"6.공문";#N/A,#N/A,FALSE,"7.netinvest"}</definedName>
    <definedName name="제조" localSheetId="24"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3" hidden="1">{"'PROFORMA'!$A$1:$H$120"}</definedName>
    <definedName name="제출내역2" localSheetId="18" hidden="1">{"'PROFORMA'!$A$1:$H$120"}</definedName>
    <definedName name="제출내역2" localSheetId="24" hidden="1">{"'PROFORMA'!$A$1:$H$120"}</definedName>
    <definedName name="제출내역2" hidden="1">{"'PROFORMA'!$A$1:$H$120"}</definedName>
    <definedName name="조" localSheetId="23" hidden="1">{#N/A,#N/A,FALSE,"1.CRITERIA";#N/A,#N/A,FALSE,"2.IS";#N/A,#N/A,FALSE,"3.BS";#N/A,#N/A,FALSE,"4.PER PL";#N/A,#N/A,FALSE,"5.INVESTMENT";#N/A,#N/A,FALSE,"6.공문";#N/A,#N/A,FALSE,"7.netinvest"}</definedName>
    <definedName name="조" localSheetId="18" hidden="1">{#N/A,#N/A,FALSE,"1.CRITERIA";#N/A,#N/A,FALSE,"2.IS";#N/A,#N/A,FALSE,"3.BS";#N/A,#N/A,FALSE,"4.PER PL";#N/A,#N/A,FALSE,"5.INVESTMENT";#N/A,#N/A,FALSE,"6.공문";#N/A,#N/A,FALSE,"7.netinvest"}</definedName>
    <definedName name="조" localSheetId="24"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3" hidden="1">{#N/A,#N/A,FALSE,"이력서&amp;자기소개서"}</definedName>
    <definedName name="조경" localSheetId="18" hidden="1">{#N/A,#N/A,FALSE,"이력서&amp;자기소개서"}</definedName>
    <definedName name="조경" localSheetId="24" hidden="1">{#N/A,#N/A,FALSE,"이력서&amp;자기소개서"}</definedName>
    <definedName name="조경" hidden="1">{#N/A,#N/A,FALSE,"이력서&amp;자기소개서"}</definedName>
    <definedName name="조효" localSheetId="23" hidden="1">{"'Firr(선)'!$AS$1:$AY$62","'Firr(사)'!$AS$1:$AY$62","'Firr(회)'!$AS$1:$AY$62","'Firr(선)'!$L$1:$V$62","'Firr(사)'!$L$1:$V$62","'Firr(회)'!$L$1:$V$62"}</definedName>
    <definedName name="조효" localSheetId="18" hidden="1">{"'Firr(선)'!$AS$1:$AY$62","'Firr(사)'!$AS$1:$AY$62","'Firr(회)'!$AS$1:$AY$62","'Firr(선)'!$L$1:$V$62","'Firr(사)'!$L$1:$V$62","'Firr(회)'!$L$1:$V$62"}</definedName>
    <definedName name="조효" localSheetId="24" hidden="1">{"'Firr(선)'!$AS$1:$AY$62","'Firr(사)'!$AS$1:$AY$62","'Firr(회)'!$AS$1:$AY$62","'Firr(선)'!$L$1:$V$62","'Firr(사)'!$L$1:$V$62","'Firr(회)'!$L$1:$V$62"}</definedName>
    <definedName name="조효" hidden="1">{"'Firr(선)'!$AS$1:$AY$62","'Firr(사)'!$AS$1:$AY$62","'Firr(회)'!$AS$1:$AY$62","'Firr(선)'!$L$1:$V$62","'Firr(사)'!$L$1:$V$62","'Firr(회)'!$L$1:$V$62"}</definedName>
    <definedName name="조효석" localSheetId="23" hidden="1">{"'Firr(선)'!$AS$1:$AY$62","'Firr(사)'!$AS$1:$AY$62","'Firr(회)'!$AS$1:$AY$62","'Firr(선)'!$L$1:$V$62","'Firr(사)'!$L$1:$V$62","'Firr(회)'!$L$1:$V$62"}</definedName>
    <definedName name="조효석" localSheetId="18" hidden="1">{"'Firr(선)'!$AS$1:$AY$62","'Firr(사)'!$AS$1:$AY$62","'Firr(회)'!$AS$1:$AY$62","'Firr(선)'!$L$1:$V$62","'Firr(사)'!$L$1:$V$62","'Firr(회)'!$L$1:$V$62"}</definedName>
    <definedName name="조효석" localSheetId="24" hidden="1">{"'Firr(선)'!$AS$1:$AY$62","'Firr(사)'!$AS$1:$AY$62","'Firr(회)'!$AS$1:$AY$62","'Firr(선)'!$L$1:$V$62","'Firr(사)'!$L$1:$V$62","'Firr(회)'!$L$1:$V$62"}</definedName>
    <definedName name="조효석" hidden="1">{"'Firr(선)'!$AS$1:$AY$62","'Firr(사)'!$AS$1:$AY$62","'Firr(회)'!$AS$1:$AY$62","'Firr(선)'!$L$1:$V$62","'Firr(사)'!$L$1:$V$62","'Firr(회)'!$L$1:$V$62"}</definedName>
    <definedName name="종합어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3" hidden="1">{#N/A,#N/A,FALSE,"지침";#N/A,#N/A,FALSE,"환경분석";#N/A,#N/A,FALSE,"Sheet16"}</definedName>
    <definedName name="주" localSheetId="18" hidden="1">{#N/A,#N/A,FALSE,"지침";#N/A,#N/A,FALSE,"환경분석";#N/A,#N/A,FALSE,"Sheet16"}</definedName>
    <definedName name="주" localSheetId="24" hidden="1">{#N/A,#N/A,FALSE,"지침";#N/A,#N/A,FALSE,"환경분석";#N/A,#N/A,FALSE,"Sheet16"}</definedName>
    <definedName name="주" hidden="1">{#N/A,#N/A,FALSE,"지침";#N/A,#N/A,FALSE,"환경분석";#N/A,#N/A,FALSE,"Sheet16"}</definedName>
    <definedName name="주임급최종합격자" localSheetId="23" hidden="1">{"'7'!$B$15:$D$32"}</definedName>
    <definedName name="주임급최종합격자" localSheetId="18" hidden="1">{"'7'!$B$15:$D$32"}</definedName>
    <definedName name="주임급최종합격자" localSheetId="24" hidden="1">{"'7'!$B$15:$D$32"}</definedName>
    <definedName name="주임급최종합격자" hidden="1">{"'7'!$B$15:$D$32"}</definedName>
    <definedName name="주임급합격자" localSheetId="23" hidden="1">{"'7'!$B$15:$D$32"}</definedName>
    <definedName name="주임급합격자" localSheetId="18" hidden="1">{"'7'!$B$15:$D$32"}</definedName>
    <definedName name="주임급합격자" localSheetId="24" hidden="1">{"'7'!$B$15:$D$32"}</definedName>
    <definedName name="주임급합격자" hidden="1">{"'7'!$B$15:$D$32"}</definedName>
    <definedName name="주임이상책정안" localSheetId="23" hidden="1">{"'7'!$B$15:$D$32"}</definedName>
    <definedName name="주임이상책정안" localSheetId="18" hidden="1">{"'7'!$B$15:$D$32"}</definedName>
    <definedName name="주임이상책정안" localSheetId="24" hidden="1">{"'7'!$B$15:$D$32"}</definedName>
    <definedName name="주임이상책정안" hidden="1">{"'7'!$B$15:$D$32"}</definedName>
    <definedName name="주정" localSheetId="23" hidden="1">{#N/A,#N/A,TRUE,"Y생산";#N/A,#N/A,TRUE,"Y판매";#N/A,#N/A,TRUE,"Y총물량";#N/A,#N/A,TRUE,"Y능력";#N/A,#N/A,TRUE,"YKD"}</definedName>
    <definedName name="주정" localSheetId="18" hidden="1">{#N/A,#N/A,TRUE,"Y생산";#N/A,#N/A,TRUE,"Y판매";#N/A,#N/A,TRUE,"Y총물량";#N/A,#N/A,TRUE,"Y능력";#N/A,#N/A,TRUE,"YKD"}</definedName>
    <definedName name="주정" localSheetId="24" hidden="1">{#N/A,#N/A,TRUE,"Y생산";#N/A,#N/A,TRUE,"Y판매";#N/A,#N/A,TRUE,"Y총물량";#N/A,#N/A,TRUE,"Y능력";#N/A,#N/A,TRUE,"YKD"}</definedName>
    <definedName name="주정" hidden="1">{#N/A,#N/A,TRUE,"Y생산";#N/A,#N/A,TRUE,"Y판매";#N/A,#N/A,TRUE,"Y총물량";#N/A,#N/A,TRUE,"Y능력";#N/A,#N/A,TRUE,"YKD"}</definedName>
    <definedName name="주정관" localSheetId="23" hidden="1">{#N/A,#N/A,TRUE,"일정"}</definedName>
    <definedName name="주정관" localSheetId="18" hidden="1">{#N/A,#N/A,TRUE,"일정"}</definedName>
    <definedName name="주정관" localSheetId="24" hidden="1">{#N/A,#N/A,TRUE,"일정"}</definedName>
    <definedName name="주정관" hidden="1">{#N/A,#N/A,TRUE,"일정"}</definedName>
    <definedName name="주차현황" localSheetId="23" hidden="1">{#N/A,#N/A,FALSE,"이력서&amp;자기소개서"}</definedName>
    <definedName name="주차현황" localSheetId="18" hidden="1">{#N/A,#N/A,FALSE,"이력서&amp;자기소개서"}</definedName>
    <definedName name="주차현황" localSheetId="24" hidden="1">{#N/A,#N/A,FALSE,"이력서&amp;자기소개서"}</definedName>
    <definedName name="주차현황" hidden="1">{#N/A,#N/A,FALSE,"이력서&amp;자기소개서"}</definedName>
    <definedName name="중간예납"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3" hidden="1">{#N/A,#N/A,FALSE,"BS";#N/A,#N/A,FALSE,"PL";#N/A,#N/A,FALSE,"처분";#N/A,#N/A,FALSE,"현금";#N/A,#N/A,FALSE,"매출";#N/A,#N/A,FALSE,"원가";#N/A,#N/A,FALSE,"경영"}</definedName>
    <definedName name="중간요약" localSheetId="18" hidden="1">{#N/A,#N/A,FALSE,"BS";#N/A,#N/A,FALSE,"PL";#N/A,#N/A,FALSE,"처분";#N/A,#N/A,FALSE,"현금";#N/A,#N/A,FALSE,"매출";#N/A,#N/A,FALSE,"원가";#N/A,#N/A,FALSE,"경영"}</definedName>
    <definedName name="중간요약" localSheetId="24"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3" hidden="1">{#N/A,#N/A,FALSE,"BS";#N/A,#N/A,FALSE,"PL";#N/A,#N/A,FALSE,"처분";#N/A,#N/A,FALSE,"현금";#N/A,#N/A,FALSE,"매출";#N/A,#N/A,FALSE,"원가";#N/A,#N/A,FALSE,"경영"}</definedName>
    <definedName name="중점검토" localSheetId="18" hidden="1">{#N/A,#N/A,FALSE,"BS";#N/A,#N/A,FALSE,"PL";#N/A,#N/A,FALSE,"처분";#N/A,#N/A,FALSE,"현금";#N/A,#N/A,FALSE,"매출";#N/A,#N/A,FALSE,"원가";#N/A,#N/A,FALSE,"경영"}</definedName>
    <definedName name="중점검토" localSheetId="24"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3" hidden="1">{"'今後解決すべき点'!$M$26","'今後解決すべき点'!$A$1:$M$55"}</definedName>
    <definedName name="中項目表紙" localSheetId="18" hidden="1">{"'今後解決すべき点'!$M$26","'今後解決すべき点'!$A$1:$M$55"}</definedName>
    <definedName name="中項目表紙" localSheetId="24" hidden="1">{"'今後解決すべき点'!$M$26","'今後解決すべき点'!$A$1:$M$55"}</definedName>
    <definedName name="中項目表紙" hidden="1">{"'今後解決すべき点'!$M$26","'今後解決すべき点'!$A$1:$M$55"}</definedName>
    <definedName name="증감분석96계획95실적" localSheetId="23" hidden="1">{#N/A,#N/A,FALSE,"97년 투자계획 세부내역 "}</definedName>
    <definedName name="증감분석96계획95실적" localSheetId="18" hidden="1">{#N/A,#N/A,FALSE,"97년 투자계획 세부내역 "}</definedName>
    <definedName name="증감분석96계획95실적" localSheetId="24" hidden="1">{#N/A,#N/A,FALSE,"97년 투자계획 세부내역 "}</definedName>
    <definedName name="증감분석96계획95실적" hidden="1">{#N/A,#N/A,FALSE,"97년 투자계획 세부내역 "}</definedName>
    <definedName name="지" localSheetId="23" hidden="1">{#N/A,#N/A,FALSE,"견적갑지";#N/A,#N/A,FALSE,"총괄표";#N/A,#N/A,FALSE,"철골공사";#N/A,#N/A,FALSE,"토목공사";#N/A,#N/A,FALSE,"판넬전기공사"}</definedName>
    <definedName name="지" localSheetId="18" hidden="1">{#N/A,#N/A,FALSE,"견적갑지";#N/A,#N/A,FALSE,"총괄표";#N/A,#N/A,FALSE,"철골공사";#N/A,#N/A,FALSE,"토목공사";#N/A,#N/A,FALSE,"판넬전기공사"}</definedName>
    <definedName name="지" localSheetId="24"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3" hidden="1">{#N/A,#N/A,FALSE,"견적갑지";#N/A,#N/A,FALSE,"총괄표";#N/A,#N/A,FALSE,"철골공사";#N/A,#N/A,FALSE,"토목공사";#N/A,#N/A,FALSE,"판넬전기공사"}</definedName>
    <definedName name="지급" localSheetId="18"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3" hidden="1">{#N/A,#N/A,TRUE,"대 차 대 조 표"}</definedName>
    <definedName name="지원동" localSheetId="18" hidden="1">{#N/A,#N/A,TRUE,"대 차 대 조 표"}</definedName>
    <definedName name="지원동" localSheetId="24" hidden="1">{#N/A,#N/A,TRUE,"대 차 대 조 표"}</definedName>
    <definedName name="지원동" hidden="1">{#N/A,#N/A,TRUE,"대 차 대 조 표"}</definedName>
    <definedName name="지원동_1" localSheetId="23" hidden="1">{#N/A,#N/A,TRUE,"대 차 대 조 표"}</definedName>
    <definedName name="지원동_1" localSheetId="18" hidden="1">{#N/A,#N/A,TRUE,"대 차 대 조 표"}</definedName>
    <definedName name="지원동_1" localSheetId="24" hidden="1">{#N/A,#N/A,TRUE,"대 차 대 조 표"}</definedName>
    <definedName name="지원동_1" hidden="1">{#N/A,#N/A,TRUE,"대 차 대 조 표"}</definedName>
    <definedName name="지지지" localSheetId="23" hidden="1">{"'미착금액'!$A$4:$G$14"}</definedName>
    <definedName name="지지지" localSheetId="18" hidden="1">{"'미착금액'!$A$4:$G$14"}</definedName>
    <definedName name="지지지" localSheetId="24" hidden="1">{"'미착금액'!$A$4:$G$14"}</definedName>
    <definedName name="지지지" hidden="1">{"'미착금액'!$A$4:$G$14"}</definedName>
    <definedName name="직급별초입비교"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3" hidden="1">{#N/A,#N/A,TRUE,"토적및재료집계";#N/A,#N/A,TRUE,"토적및재료집계";#N/A,#N/A,TRUE,"단위량"}</definedName>
    <definedName name="직매54P" localSheetId="18" hidden="1">{#N/A,#N/A,TRUE,"토적및재료집계";#N/A,#N/A,TRUE,"토적및재료집계";#N/A,#N/A,TRUE,"단위량"}</definedName>
    <definedName name="직매54P" localSheetId="24" hidden="1">{#N/A,#N/A,TRUE,"토적및재료집계";#N/A,#N/A,TRUE,"토적및재료집계";#N/A,#N/A,TRUE,"단위량"}</definedName>
    <definedName name="직매54P" hidden="1">{#N/A,#N/A,TRUE,"토적및재료집계";#N/A,#N/A,TRUE,"토적및재료집계";#N/A,#N/A,TRUE,"단위량"}</definedName>
    <definedName name="직재" localSheetId="23" hidden="1">{"'용역비'!$A$4:$C$8"}</definedName>
    <definedName name="직재" localSheetId="18" hidden="1">{"'용역비'!$A$4:$C$8"}</definedName>
    <definedName name="직재" localSheetId="24" hidden="1">{"'용역비'!$A$4:$C$8"}</definedName>
    <definedName name="직재" hidden="1">{"'용역비'!$A$4:$C$8"}</definedName>
    <definedName name="직접경비1" localSheetId="23" hidden="1">{"'용역비'!$A$4:$C$8"}</definedName>
    <definedName name="직접경비1" localSheetId="18" hidden="1">{"'용역비'!$A$4:$C$8"}</definedName>
    <definedName name="직접경비1" localSheetId="24" hidden="1">{"'용역비'!$A$4:$C$8"}</definedName>
    <definedName name="직접경비1" hidden="1">{"'용역비'!$A$4:$C$8"}</definedName>
    <definedName name="직접인건비A" localSheetId="23" hidden="1">{"'2분기예산별'!$B$2:$O$38"}</definedName>
    <definedName name="직접인건비A" localSheetId="18" hidden="1">{"'2분기예산별'!$B$2:$O$38"}</definedName>
    <definedName name="직접인건비A" localSheetId="24" hidden="1">{"'2분기예산별'!$B$2:$O$38"}</definedName>
    <definedName name="직접인건비A" hidden="1">{"'2분기예산별'!$B$2:$O$38"}</definedName>
    <definedName name="직접인건비세부내역A" localSheetId="23" hidden="1">{"'2분기예산별'!$B$2:$O$38"}</definedName>
    <definedName name="직접인건비세부내역A" localSheetId="18" hidden="1">{"'2분기예산별'!$B$2:$O$38"}</definedName>
    <definedName name="직접인건비세부내역A" localSheetId="24" hidden="1">{"'2분기예산별'!$B$2:$O$38"}</definedName>
    <definedName name="직접인건비세부내역A" hidden="1">{"'2분기예산별'!$B$2:$O$38"}</definedName>
    <definedName name="진" localSheetId="23" hidden="1">{#N/A,#N/A,FALSE,"동부"}</definedName>
    <definedName name="진" localSheetId="18" hidden="1">{#N/A,#N/A,FALSE,"동부"}</definedName>
    <definedName name="진" localSheetId="24" hidden="1">{#N/A,#N/A,FALSE,"동부"}</definedName>
    <definedName name="진" hidden="1">{#N/A,#N/A,FALSE,"동부"}</definedName>
    <definedName name="진짜원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3" hidden="1">{#N/A,#N/A,FALSE,"97년 투자계획 세부내역 "}</definedName>
    <definedName name="진행사항보고.xls" localSheetId="18" hidden="1">{#N/A,#N/A,FALSE,"97년 투자계획 세부내역 "}</definedName>
    <definedName name="진행사항보고.xls" localSheetId="24" hidden="1">{#N/A,#N/A,FALSE,"97년 투자계획 세부내역 "}</definedName>
    <definedName name="진행사항보고.xls" hidden="1">{#N/A,#N/A,FALSE,"97년 투자계획 세부내역 "}</definedName>
    <definedName name="ㅊ" localSheetId="23" hidden="1">{#N/A,#N/A,FALSE,"BS";#N/A,#N/A,FALSE,"PL";#N/A,#N/A,FALSE,"처분";#N/A,#N/A,FALSE,"현금";#N/A,#N/A,FALSE,"매출";#N/A,#N/A,FALSE,"원가";#N/A,#N/A,FALSE,"경영"}</definedName>
    <definedName name="ㅊ" localSheetId="18" hidden="1">{#N/A,#N/A,FALSE,"BS";#N/A,#N/A,FALSE,"PL";#N/A,#N/A,FALSE,"처분";#N/A,#N/A,FALSE,"현금";#N/A,#N/A,FALSE,"매출";#N/A,#N/A,FALSE,"원가";#N/A,#N/A,FALSE,"경영"}</definedName>
    <definedName name="ㅊ" localSheetId="24"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3" hidden="1">{#N/A,#N/A,TRUE,"대 차 대 조 표"}</definedName>
    <definedName name="ㅊㅇ" localSheetId="18" hidden="1">{#N/A,#N/A,TRUE,"대 차 대 조 표"}</definedName>
    <definedName name="ㅊㅇ" localSheetId="24" hidden="1">{#N/A,#N/A,TRUE,"대 차 대 조 표"}</definedName>
    <definedName name="ㅊㅇ" hidden="1">{#N/A,#N/A,TRUE,"대 차 대 조 표"}</definedName>
    <definedName name="ㅊㅊ"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3" hidden="1">{#N/A,#N/A,FALSE,"동부"}</definedName>
    <definedName name="ㅊㅋㅍ" localSheetId="18" hidden="1">{#N/A,#N/A,FALSE,"동부"}</definedName>
    <definedName name="ㅊㅋㅍ" localSheetId="24" hidden="1">{#N/A,#N/A,FALSE,"동부"}</definedName>
    <definedName name="ㅊㅋㅍ" hidden="1">{#N/A,#N/A,FALSE,"동부"}</definedName>
    <definedName name="ㅊㅌㅁㅍ" localSheetId="23" hidden="1">{#N/A,#N/A,FALSE,"동부"}</definedName>
    <definedName name="ㅊㅌㅁㅍ" localSheetId="18" hidden="1">{#N/A,#N/A,FALSE,"동부"}</definedName>
    <definedName name="ㅊㅌㅁㅍ" localSheetId="24" hidden="1">{#N/A,#N/A,FALSE,"동부"}</definedName>
    <definedName name="ㅊㅌㅁㅍ" hidden="1">{#N/A,#N/A,FALSE,"동부"}</definedName>
    <definedName name="ㅊㅌㅋㅍ" localSheetId="23" hidden="1">{#N/A,#N/A,FALSE,"동부"}</definedName>
    <definedName name="ㅊㅌㅋㅍ" localSheetId="18" hidden="1">{#N/A,#N/A,FALSE,"동부"}</definedName>
    <definedName name="ㅊㅌㅋㅍ" localSheetId="24" hidden="1">{#N/A,#N/A,FALSE,"동부"}</definedName>
    <definedName name="ㅊㅌㅋㅍ" hidden="1">{#N/A,#N/A,FALSE,"동부"}</definedName>
    <definedName name="ㅊㅍㄷㄹ" localSheetId="23" hidden="1">{#N/A,#N/A,TRUE,"대 차 대 조 표"}</definedName>
    <definedName name="ㅊㅍㄷㄹ" localSheetId="18" hidden="1">{#N/A,#N/A,TRUE,"대 차 대 조 표"}</definedName>
    <definedName name="ㅊㅍㄷㄹ" localSheetId="24" hidden="1">{#N/A,#N/A,TRUE,"대 차 대 조 표"}</definedName>
    <definedName name="ㅊㅍㄷㄹ" hidden="1">{#N/A,#N/A,TRUE,"대 차 대 조 표"}</definedName>
    <definedName name="차" localSheetId="23" hidden="1">{#N/A,#N/A,FALSE,"1.CRITERIA";#N/A,#N/A,FALSE,"2.IS";#N/A,#N/A,FALSE,"3.BS";#N/A,#N/A,FALSE,"4.PER PL";#N/A,#N/A,FALSE,"5.INVESTMENT";#N/A,#N/A,FALSE,"6.공문";#N/A,#N/A,FALSE,"7.netinvest"}</definedName>
    <definedName name="차" localSheetId="18" hidden="1">{#N/A,#N/A,FALSE,"1.CRITERIA";#N/A,#N/A,FALSE,"2.IS";#N/A,#N/A,FALSE,"3.BS";#N/A,#N/A,FALSE,"4.PER PL";#N/A,#N/A,FALSE,"5.INVESTMENT";#N/A,#N/A,FALSE,"6.공문";#N/A,#N/A,FALSE,"7.netinvest"}</definedName>
    <definedName name="차" localSheetId="24"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3" hidden="1">{#N/A,#N/A,FALSE,"UNIT";#N/A,#N/A,FALSE,"UNIT";#N/A,#N/A,FALSE,"계정"}</definedName>
    <definedName name="차량SVC" localSheetId="18" hidden="1">{#N/A,#N/A,FALSE,"UNIT";#N/A,#N/A,FALSE,"UNIT";#N/A,#N/A,FALSE,"계정"}</definedName>
    <definedName name="차량SVC" localSheetId="24" hidden="1">{#N/A,#N/A,FALSE,"UNIT";#N/A,#N/A,FALSE,"UNIT";#N/A,#N/A,FALSE,"계정"}</definedName>
    <definedName name="차량SVC" hidden="1">{#N/A,#N/A,FALSE,"UNIT";#N/A,#N/A,FALSE,"UNIT";#N/A,#N/A,FALSE,"계정"}</definedName>
    <definedName name="차량운반구" localSheetId="23" hidden="1">{"'손익현황'!$A$1:$J$29"}</definedName>
    <definedName name="차량운반구" localSheetId="18" hidden="1">{"'손익현황'!$A$1:$J$29"}</definedName>
    <definedName name="차량운반구" localSheetId="24" hidden="1">{"'손익현황'!$A$1:$J$29"}</definedName>
    <definedName name="차량운반구" hidden="1">{"'손익현황'!$A$1:$J$29"}</definedName>
    <definedName name="차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3" hidden="1">{"ｹﾝﾄ（M)",#N/A,FALSE,"収支・日割";"ｹﾝﾄ（RD)",#N/A,FALSE,"収支・日割";"ｹﾝﾄ（PMC)",#N/A,FALSE,"収支・日割"}</definedName>
    <definedName name="差入書" localSheetId="18" hidden="1">{"ｹﾝﾄ（M)",#N/A,FALSE,"収支・日割";"ｹﾝﾄ（RD)",#N/A,FALSE,"収支・日割";"ｹﾝﾄ（PMC)",#N/A,FALSE,"収支・日割"}</definedName>
    <definedName name="差入書" localSheetId="24"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3" hidden="1">{"'9월'!$F$38"}</definedName>
    <definedName name="차주" localSheetId="18" hidden="1">{"'9월'!$F$38"}</definedName>
    <definedName name="차주" localSheetId="24" hidden="1">{"'9월'!$F$38"}</definedName>
    <definedName name="차주" hidden="1">{"'9월'!$F$38"}</definedName>
    <definedName name="차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3" hidden="1">{#N/A,#N/A,FALSE,"채권채무";#N/A,#N/A,FALSE,"control sheet"}</definedName>
    <definedName name="채권재" localSheetId="18" hidden="1">{#N/A,#N/A,FALSE,"채권채무";#N/A,#N/A,FALSE,"control sheet"}</definedName>
    <definedName name="채권재" localSheetId="24" hidden="1">{#N/A,#N/A,FALSE,"채권채무";#N/A,#N/A,FALSE,"control sheet"}</definedName>
    <definedName name="채권재" hidden="1">{#N/A,#N/A,FALSE,"채권채무";#N/A,#N/A,FALSE,"control sheet"}</definedName>
    <definedName name="천사" localSheetId="23" hidden="1">{"'용역비'!$A$4:$C$8"}</definedName>
    <definedName name="천사" localSheetId="18" hidden="1">{"'용역비'!$A$4:$C$8"}</definedName>
    <definedName name="천사" localSheetId="24" hidden="1">{"'용역비'!$A$4:$C$8"}</definedName>
    <definedName name="천사" hidden="1">{"'용역비'!$A$4:$C$8"}</definedName>
    <definedName name="철2" localSheetId="23" hidden="1">{#N/A,#N/A,FALSE,"혼합골재"}</definedName>
    <definedName name="철2" localSheetId="18" hidden="1">{#N/A,#N/A,FALSE,"혼합골재"}</definedName>
    <definedName name="철2" localSheetId="24" hidden="1">{#N/A,#N/A,FALSE,"혼합골재"}</definedName>
    <definedName name="철2" hidden="1">{#N/A,#N/A,FALSE,"혼합골재"}</definedName>
    <definedName name="첨부" localSheetId="23" hidden="1">{#N/A,#N/A,TRUE,"Y생산";#N/A,#N/A,TRUE,"Y판매";#N/A,#N/A,TRUE,"Y총물량";#N/A,#N/A,TRUE,"Y능력";#N/A,#N/A,TRUE,"YKD"}</definedName>
    <definedName name="첨부" localSheetId="18" hidden="1">{#N/A,#N/A,TRUE,"Y생산";#N/A,#N/A,TRUE,"Y판매";#N/A,#N/A,TRUE,"Y총물량";#N/A,#N/A,TRUE,"Y능력";#N/A,#N/A,TRUE,"YKD"}</definedName>
    <definedName name="첨부" localSheetId="24" hidden="1">{#N/A,#N/A,TRUE,"Y생산";#N/A,#N/A,TRUE,"Y판매";#N/A,#N/A,TRUE,"Y총물량";#N/A,#N/A,TRUE,"Y능력";#N/A,#N/A,TRUE,"YKD"}</definedName>
    <definedName name="첨부" hidden="1">{#N/A,#N/A,TRUE,"Y생산";#N/A,#N/A,TRUE,"Y판매";#N/A,#N/A,TRUE,"Y총물량";#N/A,#N/A,TRUE,"Y능력";#N/A,#N/A,TRUE,"YKD"}</definedName>
    <definedName name="청와대" localSheetId="23" hidden="1">{#N/A,#N/A,FALSE,"이력서&amp;자기소개서"}</definedName>
    <definedName name="청와대" localSheetId="18" hidden="1">{#N/A,#N/A,FALSE,"이력서&amp;자기소개서"}</definedName>
    <definedName name="청와대" localSheetId="24" hidden="1">{#N/A,#N/A,FALSE,"이력서&amp;자기소개서"}</definedName>
    <definedName name="청와대" hidden="1">{#N/A,#N/A,FALSE,"이력서&amp;자기소개서"}</definedName>
    <definedName name="체육관" localSheetId="23" hidden="1">{#N/A,#N/A,TRUE,"대 차 대 조 표"}</definedName>
    <definedName name="체육관" localSheetId="18" hidden="1">{#N/A,#N/A,TRUE,"대 차 대 조 표"}</definedName>
    <definedName name="체육관" localSheetId="24" hidden="1">{#N/A,#N/A,TRUE,"대 차 대 조 표"}</definedName>
    <definedName name="체육관" hidden="1">{#N/A,#N/A,TRUE,"대 차 대 조 표"}</definedName>
    <definedName name="체육관_1" localSheetId="23" hidden="1">{#N/A,#N/A,TRUE,"대 차 대 조 표"}</definedName>
    <definedName name="체육관_1" localSheetId="18" hidden="1">{#N/A,#N/A,TRUE,"대 차 대 조 표"}</definedName>
    <definedName name="체육관_1" localSheetId="24" hidden="1">{#N/A,#N/A,TRUE,"대 차 대 조 표"}</definedName>
    <definedName name="체육관_1" hidden="1">{#N/A,#N/A,TRUE,"대 차 대 조 표"}</definedName>
    <definedName name="체크아웃시스템" localSheetId="23" hidden="1">{#N/A,#N/A,FALSE,"견적갑지";#N/A,#N/A,FALSE,"총괄표";#N/A,#N/A,FALSE,"철골공사";#N/A,#N/A,FALSE,"토목공사";#N/A,#N/A,FALSE,"판넬전기공사"}</definedName>
    <definedName name="체크아웃시스템" localSheetId="18" hidden="1">{#N/A,#N/A,FALSE,"견적갑지";#N/A,#N/A,FALSE,"총괄표";#N/A,#N/A,FALSE,"철골공사";#N/A,#N/A,FALSE,"토목공사";#N/A,#N/A,FALSE,"판넬전기공사"}</definedName>
    <definedName name="체크아웃시스템" localSheetId="24"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3" hidden="1">{#N/A,#N/A,FALSE,"이력서&amp;자기소개서"}</definedName>
    <definedName name="총" localSheetId="18" hidden="1">{#N/A,#N/A,FALSE,"이력서&amp;자기소개서"}</definedName>
    <definedName name="총" localSheetId="24" hidden="1">{#N/A,#N/A,FALSE,"이력서&amp;자기소개서"}</definedName>
    <definedName name="총" hidden="1">{#N/A,#N/A,FALSE,"이력서&amp;자기소개서"}</definedName>
    <definedName name="총공" localSheetId="23" hidden="1">{#N/A,#N/A,FALSE,"운반시간"}</definedName>
    <definedName name="총공" localSheetId="18" hidden="1">{#N/A,#N/A,FALSE,"운반시간"}</definedName>
    <definedName name="총공" localSheetId="24" hidden="1">{#N/A,#N/A,FALSE,"운반시간"}</definedName>
    <definedName name="총공" hidden="1">{#N/A,#N/A,FALSE,"운반시간"}</definedName>
    <definedName name="총괄" localSheetId="23" hidden="1">{#N/A,#N/A,TRUE,"1호 과표세액";#N/A,#N/A,TRUE,"6호 첨부(익)";#N/A,#N/A,TRUE,"6-3호 퇴충";#N/A,#N/A,TRUE,"PL";#N/A,#N/A,TRUE,"BS";#N/A,#N/A,TRUE,"RE";#N/A,#N/A,TRUE,"표지"}</definedName>
    <definedName name="총괄" localSheetId="18" hidden="1">{#N/A,#N/A,TRUE,"1호 과표세액";#N/A,#N/A,TRUE,"6호 첨부(익)";#N/A,#N/A,TRUE,"6-3호 퇴충";#N/A,#N/A,TRUE,"PL";#N/A,#N/A,TRUE,"BS";#N/A,#N/A,TRUE,"RE";#N/A,#N/A,TRUE,"표지"}</definedName>
    <definedName name="총괄" localSheetId="24"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3" hidden="1">{#N/A,#N/A,FALSE,"CAM-G7";#N/A,#N/A,FALSE,"SPL";#N/A,#N/A,FALSE,"butt-in G7";#N/A,#N/A,FALSE,"dia-in G7";#N/A,#N/A,FALSE,"추가-STA G7"}</definedName>
    <definedName name="총괄표2" localSheetId="18" hidden="1">{#N/A,#N/A,FALSE,"CAM-G7";#N/A,#N/A,FALSE,"SPL";#N/A,#N/A,FALSE,"butt-in G7";#N/A,#N/A,FALSE,"dia-in G7";#N/A,#N/A,FALSE,"추가-STA G7"}</definedName>
    <definedName name="총괄표2" localSheetId="24" hidden="1">{#N/A,#N/A,FALSE,"CAM-G7";#N/A,#N/A,FALSE,"SPL";#N/A,#N/A,FALSE,"butt-in G7";#N/A,#N/A,FALSE,"dia-in G7";#N/A,#N/A,FALSE,"추가-STA G7"}</definedName>
    <definedName name="총괄표2" hidden="1">{#N/A,#N/A,FALSE,"CAM-G7";#N/A,#N/A,FALSE,"SPL";#N/A,#N/A,FALSE,"butt-in G7";#N/A,#N/A,FALSE,"dia-in G7";#N/A,#N/A,FALSE,"추가-STA G7"}</definedName>
    <definedName name="총괄표3" localSheetId="23" hidden="1">{#N/A,#N/A,FALSE,"현장 NCR 분석";#N/A,#N/A,FALSE,"현장품질감사";#N/A,#N/A,FALSE,"현장품질감사"}</definedName>
    <definedName name="총괄표3" localSheetId="18" hidden="1">{#N/A,#N/A,FALSE,"현장 NCR 분석";#N/A,#N/A,FALSE,"현장품질감사";#N/A,#N/A,FALSE,"현장품질감사"}</definedName>
    <definedName name="총괄표3" localSheetId="24" hidden="1">{#N/A,#N/A,FALSE,"현장 NCR 분석";#N/A,#N/A,FALSE,"현장품질감사";#N/A,#N/A,FALSE,"현장품질감사"}</definedName>
    <definedName name="총괄표3" hidden="1">{#N/A,#N/A,FALSE,"현장 NCR 분석";#N/A,#N/A,FALSE,"현장품질감사";#N/A,#N/A,FALSE,"현장품질감사"}</definedName>
    <definedName name="총무3" localSheetId="23" hidden="1">{#N/A,#N/A,FALSE,"단축1";#N/A,#N/A,FALSE,"단축2";#N/A,#N/A,FALSE,"단축3";#N/A,#N/A,FALSE,"장축";#N/A,#N/A,FALSE,"4WD"}</definedName>
    <definedName name="총무3" localSheetId="18" hidden="1">{#N/A,#N/A,FALSE,"단축1";#N/A,#N/A,FALSE,"단축2";#N/A,#N/A,FALSE,"단축3";#N/A,#N/A,FALSE,"장축";#N/A,#N/A,FALSE,"4WD"}</definedName>
    <definedName name="총무3" localSheetId="24" hidden="1">{#N/A,#N/A,FALSE,"단축1";#N/A,#N/A,FALSE,"단축2";#N/A,#N/A,FALSE,"단축3";#N/A,#N/A,FALSE,"장축";#N/A,#N/A,FALSE,"4WD"}</definedName>
    <definedName name="총무3" hidden="1">{#N/A,#N/A,FALSE,"단축1";#N/A,#N/A,FALSE,"단축2";#N/A,#N/A,FALSE,"단축3";#N/A,#N/A,FALSE,"장축";#N/A,#N/A,FALSE,"4WD"}</definedName>
    <definedName name="촤" localSheetId="23" hidden="1">{#N/A,#N/A,FALSE,"1.CRITERIA";#N/A,#N/A,FALSE,"2.IS";#N/A,#N/A,FALSE,"3.BS";#N/A,#N/A,FALSE,"4.PER PL";#N/A,#N/A,FALSE,"5.INVESTMENT";#N/A,#N/A,FALSE,"6.공문";#N/A,#N/A,FALSE,"7.netinvest"}</definedName>
    <definedName name="촤" localSheetId="18" hidden="1">{#N/A,#N/A,FALSE,"1.CRITERIA";#N/A,#N/A,FALSE,"2.IS";#N/A,#N/A,FALSE,"3.BS";#N/A,#N/A,FALSE,"4.PER PL";#N/A,#N/A,FALSE,"5.INVESTMENT";#N/A,#N/A,FALSE,"6.공문";#N/A,#N/A,FALSE,"7.netinvest"}</definedName>
    <definedName name="촤" localSheetId="24"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3" hidden="1">{#N/A,#N/A,TRUE,"대 차 대 조 표"}</definedName>
    <definedName name="최종분" localSheetId="18" hidden="1">{#N/A,#N/A,TRUE,"대 차 대 조 표"}</definedName>
    <definedName name="최종분" localSheetId="24" hidden="1">{#N/A,#N/A,TRUE,"대 차 대 조 표"}</definedName>
    <definedName name="최종분" hidden="1">{#N/A,#N/A,TRUE,"대 차 대 조 표"}</definedName>
    <definedName name="최종분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3" hidden="1">{#N/A,#N/A,FALSE,"견적갑지";#N/A,#N/A,FALSE,"총괄표";#N/A,#N/A,FALSE,"철골공사";#N/A,#N/A,FALSE,"토목공사";#N/A,#N/A,FALSE,"판넬전기공사"}</definedName>
    <definedName name="추산산서2" localSheetId="18" hidden="1">{#N/A,#N/A,FALSE,"견적갑지";#N/A,#N/A,FALSE,"총괄표";#N/A,#N/A,FALSE,"철골공사";#N/A,#N/A,FALSE,"토목공사";#N/A,#N/A,FALSE,"판넬전기공사"}</definedName>
    <definedName name="추산산서2" localSheetId="24"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3" hidden="1">{#N/A,#N/A,FALSE,"견적갑지";#N/A,#N/A,FALSE,"총괄표";#N/A,#N/A,FALSE,"철골공사";#N/A,#N/A,FALSE,"토목공사";#N/A,#N/A,FALSE,"판넬전기공사"}</definedName>
    <definedName name="축수산장설비" localSheetId="18" hidden="1">{#N/A,#N/A,FALSE,"견적갑지";#N/A,#N/A,FALSE,"총괄표";#N/A,#N/A,FALSE,"철골공사";#N/A,#N/A,FALSE,"토목공사";#N/A,#N/A,FALSE,"판넬전기공사"}</definedName>
    <definedName name="축수산장설비" localSheetId="24"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3" hidden="1">{#N/A,#N/A,FALSE,"지침";#N/A,#N/A,FALSE,"환경분석";#N/A,#N/A,FALSE,"Sheet16"}</definedName>
    <definedName name="출판" localSheetId="18" hidden="1">{#N/A,#N/A,FALSE,"지침";#N/A,#N/A,FALSE,"환경분석";#N/A,#N/A,FALSE,"Sheet16"}</definedName>
    <definedName name="출판" localSheetId="24" hidden="1">{#N/A,#N/A,FALSE,"지침";#N/A,#N/A,FALSE,"환경분석";#N/A,#N/A,FALSE,"Sheet16"}</definedName>
    <definedName name="출판" hidden="1">{#N/A,#N/A,FALSE,"지침";#N/A,#N/A,FALSE,"환경분석";#N/A,#N/A,FALSE,"Sheet16"}</definedName>
    <definedName name="치" localSheetId="23" hidden="1">{#N/A,#N/A,FALSE,"97년 투자계획 세부내역 "}</definedName>
    <definedName name="치" localSheetId="18" hidden="1">{#N/A,#N/A,FALSE,"97년 투자계획 세부내역 "}</definedName>
    <definedName name="치" localSheetId="24" hidden="1">{#N/A,#N/A,FALSE,"97년 투자계획 세부내역 "}</definedName>
    <definedName name="치" hidden="1">{#N/A,#N/A,FALSE,"97년 투자계획 세부내역 "}</definedName>
    <definedName name="ㅋ" localSheetId="23" hidden="1">{#N/A,#N/A,FALSE,"BS";#N/A,#N/A,FALSE,"PL";#N/A,#N/A,FALSE,"처분";#N/A,#N/A,FALSE,"현금";#N/A,#N/A,FALSE,"매출";#N/A,#N/A,FALSE,"원가";#N/A,#N/A,FALSE,"경영"}</definedName>
    <definedName name="ㅋ" localSheetId="18" hidden="1">{#N/A,#N/A,FALSE,"BS";#N/A,#N/A,FALSE,"PL";#N/A,#N/A,FALSE,"처분";#N/A,#N/A,FALSE,"현금";#N/A,#N/A,FALSE,"매출";#N/A,#N/A,FALSE,"원가";#N/A,#N/A,FALSE,"경영"}</definedName>
    <definedName name="ㅋ" localSheetId="24"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3" hidden="1">{#N/A,#N/A,TRUE,"대 차 대 조 표"}</definedName>
    <definedName name="ㅋㅋㅋㅋ" localSheetId="18" hidden="1">{#N/A,#N/A,TRUE,"대 차 대 조 표"}</definedName>
    <definedName name="ㅋㅋㅋㅋ" localSheetId="24" hidden="1">{#N/A,#N/A,TRUE,"대 차 대 조 표"}</definedName>
    <definedName name="ㅋㅋㅋㅋ" hidden="1">{#N/A,#N/A,TRUE,"대 차 대 조 표"}</definedName>
    <definedName name="ㅋㅋㅋㅋ_1" localSheetId="23" hidden="1">{#N/A,#N/A,TRUE,"대 차 대 조 표"}</definedName>
    <definedName name="ㅋㅋㅋㅋ_1" localSheetId="18" hidden="1">{#N/A,#N/A,TRUE,"대 차 대 조 표"}</definedName>
    <definedName name="ㅋㅋㅋㅋ_1" localSheetId="24" hidden="1">{#N/A,#N/A,TRUE,"대 차 대 조 표"}</definedName>
    <definedName name="ㅋㅋㅋㅋ_1" hidden="1">{#N/A,#N/A,TRUE,"대 차 대 조 표"}</definedName>
    <definedName name="ㅋㅌ" localSheetId="23" hidden="1">{"'용역비'!$A$4:$C$8"}</definedName>
    <definedName name="ㅋㅌ" localSheetId="18" hidden="1">{"'용역비'!$A$4:$C$8"}</definedName>
    <definedName name="ㅋㅌ" localSheetId="24" hidden="1">{"'용역비'!$A$4:$C$8"}</definedName>
    <definedName name="ㅋㅌ" hidden="1">{"'용역비'!$A$4:$C$8"}</definedName>
    <definedName name="카" localSheetId="23" hidden="1">{"'7'!$B$15:$D$32"}</definedName>
    <definedName name="카" localSheetId="18" hidden="1">{"'7'!$B$15:$D$32"}</definedName>
    <definedName name="카" localSheetId="24" hidden="1">{"'7'!$B$15:$D$32"}</definedName>
    <definedName name="카" hidden="1">{"'7'!$B$15:$D$32"}</definedName>
    <definedName name="카러" localSheetId="23" hidden="1">{#N/A,#N/A,FALSE,"1.CRITERIA";#N/A,#N/A,FALSE,"2.IS";#N/A,#N/A,FALSE,"3.BS";#N/A,#N/A,FALSE,"4.PER PL";#N/A,#N/A,FALSE,"5.INVESTMENT";#N/A,#N/A,FALSE,"6.공문";#N/A,#N/A,FALSE,"7.netinvest"}</definedName>
    <definedName name="카러" localSheetId="18" hidden="1">{#N/A,#N/A,FALSE,"1.CRITERIA";#N/A,#N/A,FALSE,"2.IS";#N/A,#N/A,FALSE,"3.BS";#N/A,#N/A,FALSE,"4.PER PL";#N/A,#N/A,FALSE,"5.INVESTMENT";#N/A,#N/A,FALSE,"6.공문";#N/A,#N/A,FALSE,"7.netinvest"}</definedName>
    <definedName name="카러" localSheetId="24"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3" hidden="1">{#N/A,#N/A,FALSE,"지침";#N/A,#N/A,FALSE,"환경분석";#N/A,#N/A,FALSE,"Sheet16"}</definedName>
    <definedName name="캐쉬" localSheetId="18" hidden="1">{#N/A,#N/A,FALSE,"지침";#N/A,#N/A,FALSE,"환경분석";#N/A,#N/A,FALSE,"Sheet16"}</definedName>
    <definedName name="캐쉬" localSheetId="24" hidden="1">{#N/A,#N/A,FALSE,"지침";#N/A,#N/A,FALSE,"환경분석";#N/A,#N/A,FALSE,"Sheet16"}</definedName>
    <definedName name="캐쉬" hidden="1">{#N/A,#N/A,FALSE,"지침";#N/A,#N/A,FALSE,"환경분석";#N/A,#N/A,FALSE,"Sheet16"}</definedName>
    <definedName name="캐쉬변경후" localSheetId="23" hidden="1">{#N/A,#N/A,TRUE,"사업자등록증 (2)"}</definedName>
    <definedName name="캐쉬변경후" localSheetId="18" hidden="1">{#N/A,#N/A,TRUE,"사업자등록증 (2)"}</definedName>
    <definedName name="캐쉬변경후" localSheetId="24" hidden="1">{#N/A,#N/A,TRUE,"사업자등록증 (2)"}</definedName>
    <definedName name="캐쉬변경후" hidden="1">{#N/A,#N/A,TRUE,"사업자등록증 (2)"}</definedName>
    <definedName name="커머" localSheetId="23" hidden="1">{#N/A,#N/A,FALSE,"1.CRITERIA";#N/A,#N/A,FALSE,"2.IS";#N/A,#N/A,FALSE,"3.BS";#N/A,#N/A,FALSE,"4.PER PL";#N/A,#N/A,FALSE,"5.INVESTMENT";#N/A,#N/A,FALSE,"6.공문";#N/A,#N/A,FALSE,"7.netinvest"}</definedName>
    <definedName name="커머" localSheetId="18" hidden="1">{#N/A,#N/A,FALSE,"1.CRITERIA";#N/A,#N/A,FALSE,"2.IS";#N/A,#N/A,FALSE,"3.BS";#N/A,#N/A,FALSE,"4.PER PL";#N/A,#N/A,FALSE,"5.INVESTMENT";#N/A,#N/A,FALSE,"6.공문";#N/A,#N/A,FALSE,"7.netinvest"}</definedName>
    <definedName name="커머" localSheetId="24"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3" hidden="1">{#N/A,#N/A,FALSE,"1.CRITERIA";#N/A,#N/A,FALSE,"2.IS";#N/A,#N/A,FALSE,"3.BS";#N/A,#N/A,FALSE,"4.PER PL";#N/A,#N/A,FALSE,"5.INVESTMENT";#N/A,#N/A,FALSE,"6.공문";#N/A,#N/A,FALSE,"7.netinvest"}</definedName>
    <definedName name="컼커" localSheetId="18"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3" hidden="1">{#N/A,#N/A,TRUE,"토적및재료집계";#N/A,#N/A,TRUE,"토적및재료집계";#N/A,#N/A,TRUE,"단위량"}</definedName>
    <definedName name="케이블간지" localSheetId="18" hidden="1">{#N/A,#N/A,TRUE,"토적및재료집계";#N/A,#N/A,TRUE,"토적및재료집계";#N/A,#N/A,TRUE,"단위량"}</definedName>
    <definedName name="케이블간지" localSheetId="24" hidden="1">{#N/A,#N/A,TRUE,"토적및재료집계";#N/A,#N/A,TRUE,"토적및재료집계";#N/A,#N/A,TRUE,"단위량"}</definedName>
    <definedName name="케이블간지" hidden="1">{#N/A,#N/A,TRUE,"토적및재료집계";#N/A,#N/A,TRUE,"토적및재료집계";#N/A,#N/A,TRUE,"단위량"}</definedName>
    <definedName name="코" localSheetId="23" hidden="1">{#N/A,#N/A,FALSE,"1.CRITERIA";#N/A,#N/A,FALSE,"2.IS";#N/A,#N/A,FALSE,"3.BS";#N/A,#N/A,FALSE,"4.PER PL";#N/A,#N/A,FALSE,"5.INVESTMENT";#N/A,#N/A,FALSE,"6.공문";#N/A,#N/A,FALSE,"7.netinvest"}</definedName>
    <definedName name="코" localSheetId="18" hidden="1">{#N/A,#N/A,FALSE,"1.CRITERIA";#N/A,#N/A,FALSE,"2.IS";#N/A,#N/A,FALSE,"3.BS";#N/A,#N/A,FALSE,"4.PER PL";#N/A,#N/A,FALSE,"5.INVESTMENT";#N/A,#N/A,FALSE,"6.공문";#N/A,#N/A,FALSE,"7.netinvest"}</definedName>
    <definedName name="코" localSheetId="24"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3" hidden="1">{#N/A,#N/A,FALSE,"이력서&amp;자기소개서"}</definedName>
    <definedName name="코크랩총괄예산" localSheetId="18" hidden="1">{#N/A,#N/A,FALSE,"이력서&amp;자기소개서"}</definedName>
    <definedName name="코크랩총괄예산" localSheetId="24" hidden="1">{#N/A,#N/A,FALSE,"이력서&amp;자기소개서"}</definedName>
    <definedName name="코크랩총괄예산" hidden="1">{#N/A,#N/A,FALSE,"이력서&amp;자기소개서"}</definedName>
    <definedName name="키" localSheetId="23" hidden="1">{#N/A,#N/A,FALSE,"1.CRITERIA";#N/A,#N/A,FALSE,"2.IS";#N/A,#N/A,FALSE,"3.BS";#N/A,#N/A,FALSE,"4.PER PL";#N/A,#N/A,FALSE,"5.INVESTMENT";#N/A,#N/A,FALSE,"6.공문";#N/A,#N/A,FALSE,"7.netinvest"}</definedName>
    <definedName name="키" localSheetId="18" hidden="1">{#N/A,#N/A,FALSE,"1.CRITERIA";#N/A,#N/A,FALSE,"2.IS";#N/A,#N/A,FALSE,"3.BS";#N/A,#N/A,FALSE,"4.PER PL";#N/A,#N/A,FALSE,"5.INVESTMENT";#N/A,#N/A,FALSE,"6.공문";#N/A,#N/A,FALSE,"7.netinvest"}</definedName>
    <definedName name="키" localSheetId="24"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3" hidden="1">{"'용역비'!$A$4:$C$8"}</definedName>
    <definedName name="ㅌ" localSheetId="18" hidden="1">{"'용역비'!$A$4:$C$8"}</definedName>
    <definedName name="ㅌ" localSheetId="24" hidden="1">{"'용역비'!$A$4:$C$8"}</definedName>
    <definedName name="ㅌ" hidden="1">{"'용역비'!$A$4:$C$8"}</definedName>
    <definedName name="ㅌㅇ" localSheetId="23" hidden="1">{#N/A,#N/A,FALSE,"업체선정";#N/A,#N/A,FALSE,"업체선정sheet";#N/A,#N/A,FALSE,"업체실태";#N/A,#N/A,FALSE,"업체실태(1)";#N/A,#N/A,FALSE,"종업원현황(2)";#N/A,#N/A,FALSE,"생산품목(3)";#N/A,#N/A,FALSE,"장비보유현황";#N/A,#N/A,FALSE,"차량및약도";#N/A,#N/A,FALSE,"금형LIST"}</definedName>
    <definedName name="ㅌㅇ" localSheetId="18" hidden="1">{#N/A,#N/A,FALSE,"업체선정";#N/A,#N/A,FALSE,"업체선정sheet";#N/A,#N/A,FALSE,"업체실태";#N/A,#N/A,FALSE,"업체실태(1)";#N/A,#N/A,FALSE,"종업원현황(2)";#N/A,#N/A,FALSE,"생산품목(3)";#N/A,#N/A,FALSE,"장비보유현황";#N/A,#N/A,FALSE,"차량및약도";#N/A,#N/A,FALSE,"금형LIST"}</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3" hidden="1">{#N/A,#N/A,FALSE,"96 3월물량표";#N/A,#N/A,FALSE,"96 4월물량표";#N/A,#N/A,FALSE,"96 5월물량표"}</definedName>
    <definedName name="ㅌㅇㅍㅊㅍㅎ" localSheetId="18" hidden="1">{#N/A,#N/A,FALSE,"96 3월물량표";#N/A,#N/A,FALSE,"96 4월물량표";#N/A,#N/A,FALSE,"96 5월물량표"}</definedName>
    <definedName name="ㅌㅇㅍㅊㅍㅎ" localSheetId="24" hidden="1">{#N/A,#N/A,FALSE,"96 3월물량표";#N/A,#N/A,FALSE,"96 4월물량표";#N/A,#N/A,FALSE,"96 5월물량표"}</definedName>
    <definedName name="ㅌㅇㅍㅊㅍㅎ" hidden="1">{#N/A,#N/A,FALSE,"96 3월물량표";#N/A,#N/A,FALSE,"96 4월물량표";#N/A,#N/A,FALSE,"96 5월물량표"}</definedName>
    <definedName name="ㅌㅊ" localSheetId="23" hidden="1">{#N/A,#N/A,TRUE,"Y생산";#N/A,#N/A,TRUE,"Y판매";#N/A,#N/A,TRUE,"Y총물량";#N/A,#N/A,TRUE,"Y능력";#N/A,#N/A,TRUE,"YKD"}</definedName>
    <definedName name="ㅌㅊ" localSheetId="18" hidden="1">{#N/A,#N/A,TRUE,"Y생산";#N/A,#N/A,TRUE,"Y판매";#N/A,#N/A,TRUE,"Y총물량";#N/A,#N/A,TRUE,"Y능력";#N/A,#N/A,TRUE,"YKD"}</definedName>
    <definedName name="ㅌㅊ" localSheetId="24" hidden="1">{#N/A,#N/A,TRUE,"Y생산";#N/A,#N/A,TRUE,"Y판매";#N/A,#N/A,TRUE,"Y총물량";#N/A,#N/A,TRUE,"Y능력";#N/A,#N/A,TRUE,"YKD"}</definedName>
    <definedName name="ㅌㅊ" hidden="1">{#N/A,#N/A,TRUE,"Y생산";#N/A,#N/A,TRUE,"Y판매";#N/A,#N/A,TRUE,"Y총물량";#N/A,#N/A,TRUE,"Y능력";#N/A,#N/A,TRUE,"YKD"}</definedName>
    <definedName name="ㅌㅊㅋㅌ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3" hidden="1">{#N/A,#N/A,TRUE,"일정"}</definedName>
    <definedName name="ㅌㅌ" localSheetId="18" hidden="1">{#N/A,#N/A,TRUE,"일정"}</definedName>
    <definedName name="ㅌㅌ" localSheetId="24" hidden="1">{#N/A,#N/A,TRUE,"일정"}</definedName>
    <definedName name="ㅌㅌ" hidden="1">{#N/A,#N/A,TRUE,"일정"}</definedName>
    <definedName name="타" localSheetId="23" hidden="1">{#N/A,#N/A,FALSE,"견적갑지";#N/A,#N/A,FALSE,"총괄표";#N/A,#N/A,FALSE,"철골공사";#N/A,#N/A,FALSE,"토목공사";#N/A,#N/A,FALSE,"판넬전기공사"}</definedName>
    <definedName name="타" localSheetId="18" hidden="1">{#N/A,#N/A,FALSE,"견적갑지";#N/A,#N/A,FALSE,"총괄표";#N/A,#N/A,FALSE,"철골공사";#N/A,#N/A,FALSE,"토목공사";#N/A,#N/A,FALSE,"판넬전기공사"}</definedName>
    <definedName name="타" localSheetId="24"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3" hidden="1">{#N/A,#N/A,TRUE,"Y생산";#N/A,#N/A,TRUE,"Y판매";#N/A,#N/A,TRUE,"Y총물량";#N/A,#N/A,TRUE,"Y능력";#N/A,#N/A,TRUE,"YKD"}</definedName>
    <definedName name="테넌트" localSheetId="18" hidden="1">{#N/A,#N/A,TRUE,"Y생산";#N/A,#N/A,TRUE,"Y판매";#N/A,#N/A,TRUE,"Y총물량";#N/A,#N/A,TRUE,"Y능력";#N/A,#N/A,TRUE,"YKD"}</definedName>
    <definedName name="테넌트" localSheetId="24" hidden="1">{#N/A,#N/A,TRUE,"Y생산";#N/A,#N/A,TRUE,"Y판매";#N/A,#N/A,TRUE,"Y총물량";#N/A,#N/A,TRUE,"Y능력";#N/A,#N/A,TRUE,"YKD"}</definedName>
    <definedName name="테넌트" hidden="1">{#N/A,#N/A,TRUE,"Y생산";#N/A,#N/A,TRUE,"Y판매";#N/A,#N/A,TRUE,"Y총물량";#N/A,#N/A,TRUE,"Y능력";#N/A,#N/A,TRUE,"YKD"}</definedName>
    <definedName name="테넌트_1" localSheetId="23" hidden="1">{#N/A,#N/A,TRUE,"Y생산";#N/A,#N/A,TRUE,"Y판매";#N/A,#N/A,TRUE,"Y총물량";#N/A,#N/A,TRUE,"Y능력";#N/A,#N/A,TRUE,"YKD"}</definedName>
    <definedName name="테넌트_1" localSheetId="18" hidden="1">{#N/A,#N/A,TRUE,"Y생산";#N/A,#N/A,TRUE,"Y판매";#N/A,#N/A,TRUE,"Y총물량";#N/A,#N/A,TRUE,"Y능력";#N/A,#N/A,TRUE,"YKD"}</definedName>
    <definedName name="테넌트_1" localSheetId="24" hidden="1">{#N/A,#N/A,TRUE,"Y생산";#N/A,#N/A,TRUE,"Y판매";#N/A,#N/A,TRUE,"Y총물량";#N/A,#N/A,TRUE,"Y능력";#N/A,#N/A,TRUE,"YKD"}</definedName>
    <definedName name="테넌트_1" hidden="1">{#N/A,#N/A,TRUE,"Y생산";#N/A,#N/A,TRUE,"Y판매";#N/A,#N/A,TRUE,"Y총물량";#N/A,#N/A,TRUE,"Y능력";#N/A,#N/A,TRUE,"YKD"}</definedName>
    <definedName name="테넌트팀" localSheetId="23" hidden="1">{#N/A,#N/A,TRUE,"Y생산";#N/A,#N/A,TRUE,"Y판매";#N/A,#N/A,TRUE,"Y총물량";#N/A,#N/A,TRUE,"Y능력";#N/A,#N/A,TRUE,"YKD"}</definedName>
    <definedName name="테넌트팀" localSheetId="18" hidden="1">{#N/A,#N/A,TRUE,"Y생산";#N/A,#N/A,TRUE,"Y판매";#N/A,#N/A,TRUE,"Y총물량";#N/A,#N/A,TRUE,"Y능력";#N/A,#N/A,TRUE,"YKD"}</definedName>
    <definedName name="테넌트팀" localSheetId="24" hidden="1">{#N/A,#N/A,TRUE,"Y생산";#N/A,#N/A,TRUE,"Y판매";#N/A,#N/A,TRUE,"Y총물량";#N/A,#N/A,TRUE,"Y능력";#N/A,#N/A,TRUE,"YKD"}</definedName>
    <definedName name="테넌트팀" hidden="1">{#N/A,#N/A,TRUE,"Y생산";#N/A,#N/A,TRUE,"Y판매";#N/A,#N/A,TRUE,"Y총물량";#N/A,#N/A,TRUE,"Y능력";#N/A,#N/A,TRUE,"YKD"}</definedName>
    <definedName name="테넌트팀_1" localSheetId="23" hidden="1">{#N/A,#N/A,TRUE,"Y생산";#N/A,#N/A,TRUE,"Y판매";#N/A,#N/A,TRUE,"Y총물량";#N/A,#N/A,TRUE,"Y능력";#N/A,#N/A,TRUE,"YKD"}</definedName>
    <definedName name="테넌트팀_1" localSheetId="18" hidden="1">{#N/A,#N/A,TRUE,"Y생산";#N/A,#N/A,TRUE,"Y판매";#N/A,#N/A,TRUE,"Y총물량";#N/A,#N/A,TRUE,"Y능력";#N/A,#N/A,TRUE,"YKD"}</definedName>
    <definedName name="테넌트팀_1" localSheetId="24" hidden="1">{#N/A,#N/A,TRUE,"Y생산";#N/A,#N/A,TRUE,"Y판매";#N/A,#N/A,TRUE,"Y총물량";#N/A,#N/A,TRUE,"Y능력";#N/A,#N/A,TRUE,"YKD"}</definedName>
    <definedName name="테넌트팀_1" hidden="1">{#N/A,#N/A,TRUE,"Y생산";#N/A,#N/A,TRUE,"Y판매";#N/A,#N/A,TRUE,"Y총물량";#N/A,#N/A,TRUE,"Y능력";#N/A,#N/A,TRUE,"YKD"}</definedName>
    <definedName name="테르" localSheetId="23" hidden="1">{#N/A,#N/A,FALSE,"동부"}</definedName>
    <definedName name="테르" localSheetId="18" hidden="1">{#N/A,#N/A,FALSE,"동부"}</definedName>
    <definedName name="테르" localSheetId="24" hidden="1">{#N/A,#N/A,FALSE,"동부"}</definedName>
    <definedName name="테르" hidden="1">{#N/A,#N/A,FALSE,"동부"}</definedName>
    <definedName name="템플리트모듈1" localSheetId="23">BlankMacro1</definedName>
    <definedName name="템플리트모듈1" localSheetId="18">BlankMacro1</definedName>
    <definedName name="템플리트모듈1" localSheetId="24">BlankMacro1</definedName>
    <definedName name="템플리트모듈1" localSheetId="1">BlankMacro1</definedName>
    <definedName name="템플리트모듈1">BlankMacro1</definedName>
    <definedName name="템플리트모듈2" localSheetId="23">BlankMacro1</definedName>
    <definedName name="템플리트모듈2" localSheetId="18">BlankMacro1</definedName>
    <definedName name="템플리트모듈2" localSheetId="24">BlankMacro1</definedName>
    <definedName name="템플리트모듈2" localSheetId="1">BlankMacro1</definedName>
    <definedName name="템플리트모듈2">BlankMacro1</definedName>
    <definedName name="템플리트모듈3" localSheetId="23">BlankMacro1</definedName>
    <definedName name="템플리트모듈3" localSheetId="18">BlankMacro1</definedName>
    <definedName name="템플리트모듈3" localSheetId="24">BlankMacro1</definedName>
    <definedName name="템플리트모듈3" localSheetId="1">BlankMacro1</definedName>
    <definedName name="템플리트모듈3">BlankMacro1</definedName>
    <definedName name="템플리트모듈4" localSheetId="23">BlankMacro1</definedName>
    <definedName name="템플리트모듈4" localSheetId="18">BlankMacro1</definedName>
    <definedName name="템플리트모듈4" localSheetId="24">BlankMacro1</definedName>
    <definedName name="템플리트모듈4" localSheetId="1">BlankMacro1</definedName>
    <definedName name="템플리트모듈4">BlankMacro1</definedName>
    <definedName name="템플리트모듈5" localSheetId="23">BlankMacro1</definedName>
    <definedName name="템플리트모듈5" localSheetId="18">BlankMacro1</definedName>
    <definedName name="템플리트모듈5" localSheetId="24">BlankMacro1</definedName>
    <definedName name="템플리트모듈5" localSheetId="1">BlankMacro1</definedName>
    <definedName name="템플리트모듈5">BlankMacro1</definedName>
    <definedName name="템플리트모듈6" localSheetId="23">BlankMacro1</definedName>
    <definedName name="템플리트모듈6" localSheetId="18">BlankMacro1</definedName>
    <definedName name="템플리트모듈6" localSheetId="24">BlankMacro1</definedName>
    <definedName name="템플리트모듈6" localSheetId="1">BlankMacro1</definedName>
    <definedName name="템플리트모듈6">BlankMacro1</definedName>
    <definedName name="토공2" localSheetId="23" hidden="1">{#N/A,#N/A,FALSE,"2~8번"}</definedName>
    <definedName name="토공2" localSheetId="18" hidden="1">{#N/A,#N/A,FALSE,"2~8번"}</definedName>
    <definedName name="토공2" localSheetId="24" hidden="1">{#N/A,#N/A,FALSE,"2~8번"}</definedName>
    <definedName name="토공2" hidden="1">{#N/A,#N/A,FALSE,"2~8번"}</definedName>
    <definedName name="토공전체" localSheetId="23" hidden="1">{#N/A,#N/A,FALSE,"운반시간"}</definedName>
    <definedName name="토공전체" localSheetId="18" hidden="1">{#N/A,#N/A,FALSE,"운반시간"}</definedName>
    <definedName name="토공전체" localSheetId="24" hidden="1">{#N/A,#N/A,FALSE,"운반시간"}</definedName>
    <definedName name="토공전체" hidden="1">{#N/A,#N/A,FALSE,"운반시간"}</definedName>
    <definedName name="토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3" hidden="1">{#N/A,#N/A,FALSE,"이태원철근"}</definedName>
    <definedName name="토목공사" localSheetId="18" hidden="1">{#N/A,#N/A,FALSE,"이태원철근"}</definedName>
    <definedName name="토목공사" localSheetId="24" hidden="1">{#N/A,#N/A,FALSE,"이태원철근"}</definedName>
    <definedName name="토목공사" hidden="1">{#N/A,#N/A,FALSE,"이태원철근"}</definedName>
    <definedName name="토목공사계약3" localSheetId="23" hidden="1">{#N/A,#N/A,FALSE,"CCTV"}</definedName>
    <definedName name="토목공사계약3" localSheetId="18" hidden="1">{#N/A,#N/A,FALSE,"CCTV"}</definedName>
    <definedName name="토목공사계약3" localSheetId="24" hidden="1">{#N/A,#N/A,FALSE,"CCTV"}</definedName>
    <definedName name="토목공사계약3" hidden="1">{#N/A,#N/A,FALSE,"CCTV"}</definedName>
    <definedName name="토목설계" localSheetId="23" hidden="1">{#N/A,#N/A,FALSE,"골재소요량";#N/A,#N/A,FALSE,"골재소요량"}</definedName>
    <definedName name="토목설계" localSheetId="18" hidden="1">{#N/A,#N/A,FALSE,"골재소요량";#N/A,#N/A,FALSE,"골재소요량"}</definedName>
    <definedName name="토목설계" localSheetId="24" hidden="1">{#N/A,#N/A,FALSE,"골재소요량";#N/A,#N/A,FALSE,"골재소요량"}</definedName>
    <definedName name="토목설계" hidden="1">{#N/A,#N/A,FALSE,"골재소요량";#N/A,#N/A,FALSE,"골재소요량"}</definedName>
    <definedName name="퇴충명세"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3" hidden="1">{#N/A,#N/A,FALSE,"97년 투자계획 세부내역 "}</definedName>
    <definedName name="투자" localSheetId="18" hidden="1">{#N/A,#N/A,FALSE,"97년 투자계획 세부내역 "}</definedName>
    <definedName name="투자" localSheetId="24" hidden="1">{#N/A,#N/A,FALSE,"97년 투자계획 세부내역 "}</definedName>
    <definedName name="투자" hidden="1">{#N/A,#N/A,FALSE,"97년 투자계획 세부내역 "}</definedName>
    <definedName name="투자3" localSheetId="23" hidden="1">{"'9월'!$F$38"}</definedName>
    <definedName name="투자3" localSheetId="18" hidden="1">{"'9월'!$F$38"}</definedName>
    <definedName name="투자3" localSheetId="24" hidden="1">{"'9월'!$F$38"}</definedName>
    <definedName name="투자3" hidden="1">{"'9월'!$F$38"}</definedName>
    <definedName name="投資推定" localSheetId="23" hidden="1">{#N/A,#N/A,FALSE,"財務PL";#N/A,#N/A,FALSE,"管理PL";#N/A,#N/A,FALSE,"経費明細";#N/A,#N/A,FALSE,"ﾃﾞｰﾀ整理表"}</definedName>
    <definedName name="投資推定" localSheetId="18" hidden="1">{#N/A,#N/A,FALSE,"財務PL";#N/A,#N/A,FALSE,"管理PL";#N/A,#N/A,FALSE,"経費明細";#N/A,#N/A,FALSE,"ﾃﾞｰﾀ整理表"}</definedName>
    <definedName name="投資推定" localSheetId="24" hidden="1">{#N/A,#N/A,FALSE,"財務PL";#N/A,#N/A,FALSE,"管理PL";#N/A,#N/A,FALSE,"経費明細";#N/A,#N/A,FALSE,"ﾃﾞｰﾀ整理表"}</definedName>
    <definedName name="投資推定" hidden="1">{#N/A,#N/A,FALSE,"財務PL";#N/A,#N/A,FALSE,"管理PL";#N/A,#N/A,FALSE,"経費明細";#N/A,#N/A,FALSE,"ﾃﾞｰﾀ整理表"}</definedName>
    <definedName name="튶ㄹ" localSheetId="23" hidden="1">{"Const Costs Dev",#N/A,FALSE,"Construction Cost Inputs";"Const Costs orig ccy",#N/A,FALSE,"Construction Cost Inputs";"Const Costs USD",#N/A,FALSE,"Construction Cost Inputs"}</definedName>
    <definedName name="튶ㄹ" localSheetId="18" hidden="1">{"Const Costs Dev",#N/A,FALSE,"Construction Cost Inputs";"Const Costs orig ccy",#N/A,FALSE,"Construction Cost Inputs";"Const Costs USD",#N/A,FALSE,"Construction Cost Inputs"}</definedName>
    <definedName name="튶ㄹ" localSheetId="24"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3" hidden="1">{#N/A,#N/A,FALSE,"1.CRITERIA";#N/A,#N/A,FALSE,"2.IS";#N/A,#N/A,FALSE,"3.BS";#N/A,#N/A,FALSE,"4.PER PL";#N/A,#N/A,FALSE,"5.INVESTMENT";#N/A,#N/A,FALSE,"6.공문";#N/A,#N/A,FALSE,"7.netinvest"}</definedName>
    <definedName name="특정" localSheetId="18" hidden="1">{#N/A,#N/A,FALSE,"1.CRITERIA";#N/A,#N/A,FALSE,"2.IS";#N/A,#N/A,FALSE,"3.BS";#N/A,#N/A,FALSE,"4.PER PL";#N/A,#N/A,FALSE,"5.INVESTMENT";#N/A,#N/A,FALSE,"6.공문";#N/A,#N/A,FALSE,"7.netinvest"}</definedName>
    <definedName name="특정" localSheetId="24"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3" hidden="1">{#N/A,#N/A,FALSE,"LoanAssumptions"}</definedName>
    <definedName name="티지" localSheetId="18" hidden="1">{#N/A,#N/A,FALSE,"LoanAssumptions"}</definedName>
    <definedName name="티지" localSheetId="24" hidden="1">{#N/A,#N/A,FALSE,"LoanAssumptions"}</definedName>
    <definedName name="티지" hidden="1">{#N/A,#N/A,FALSE,"LoanAssumptions"}</definedName>
    <definedName name="ㅍ" localSheetId="23" hidden="1">{#N/A,#N/A,FALSE,"Aging Summary";#N/A,#N/A,FALSE,"Ratio Analysis";#N/A,#N/A,FALSE,"Test 120 Day Accts";#N/A,#N/A,FALSE,"Tickmarks"}</definedName>
    <definedName name="ㅍ" localSheetId="18" hidden="1">{#N/A,#N/A,FALSE,"Aging Summary";#N/A,#N/A,FALSE,"Ratio Analysis";#N/A,#N/A,FALSE,"Test 120 Day Accts";#N/A,#N/A,FALSE,"Tickmarks"}</definedName>
    <definedName name="ㅍ" localSheetId="24" hidden="1">{#N/A,#N/A,FALSE,"Aging Summary";#N/A,#N/A,FALSE,"Ratio Analysis";#N/A,#N/A,FALSE,"Test 120 Day Accts";#N/A,#N/A,FALSE,"Tickmarks"}</definedName>
    <definedName name="ㅍ" hidden="1">{#N/A,#N/A,FALSE,"Aging Summary";#N/A,#N/A,FALSE,"Ratio Analysis";#N/A,#N/A,FALSE,"Test 120 Day Accts";#N/A,#N/A,FALSE,"Tickmarks"}</definedName>
    <definedName name="ㅍㄹ유" localSheetId="23" hidden="1">{"AJD",#N/A,TRUE,"Summary";"AJD",#N/A,TRUE,"CFCONC-outputs";"AJD",#N/A,TRUE,"P&amp;LCONC-outputs";"AJD",#N/A,TRUE,"BSCONC-outputs";"AJD",#N/A,TRUE,"FSCONC-outputs"}</definedName>
    <definedName name="ㅍㄹ유" localSheetId="18" hidden="1">{"AJD",#N/A,TRUE,"Summary";"AJD",#N/A,TRUE,"CFCONC-outputs";"AJD",#N/A,TRUE,"P&amp;LCONC-outputs";"AJD",#N/A,TRUE,"BSCONC-outputs";"AJD",#N/A,TRUE,"FSCONC-outputs"}</definedName>
    <definedName name="ㅍㄹ유" localSheetId="24"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3" hidden="1">{#N/A,#N/A,FALSE,"동부"}</definedName>
    <definedName name="ㅍㅇㅇㄴ" localSheetId="18" hidden="1">{#N/A,#N/A,FALSE,"동부"}</definedName>
    <definedName name="ㅍㅇㅇㄴ" localSheetId="24" hidden="1">{#N/A,#N/A,FALSE,"동부"}</definedName>
    <definedName name="ㅍㅇㅇㄴ" hidden="1">{#N/A,#N/A,FALSE,"동부"}</definedName>
    <definedName name="ㅍㅊㅌㄴㅋㅍ" localSheetId="23" hidden="1">{"Const Costs Dev",#N/A,FALSE,"Construction Cost Inputs";"Const Costs orig ccy",#N/A,FALSE,"Construction Cost Inputs";"Const Costs USD",#N/A,FALSE,"Construction Cost Inputs"}</definedName>
    <definedName name="ㅍㅊㅌㄴㅋㅍ" localSheetId="18" hidden="1">{"Const Costs Dev",#N/A,FALSE,"Construction Cost Inputs";"Const Costs orig ccy",#N/A,FALSE,"Construction Cost Inputs";"Const Costs USD",#N/A,FALSE,"Construction Cost Inputs"}</definedName>
    <definedName name="ㅍㅊㅌㄴㅋㅍ" localSheetId="24"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3" hidden="1">{"BuildIn 2 Funding Assump",#N/A,FALSE,"Building Inputs";"BuildIn Capex plus Extras",#N/A,FALSE,"Building Inputs"}</definedName>
    <definedName name="ㅍㅊㅌㅁㄴㅍ" localSheetId="18" hidden="1">{"BuildIn 2 Funding Assump",#N/A,FALSE,"Building Inputs";"BuildIn Capex plus Extras",#N/A,FALSE,"Building Inputs"}</definedName>
    <definedName name="ㅍㅊㅌㅁㄴㅍ" localSheetId="24"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3" hidden="1">{#N/A,#N/A,FALSE,"동부"}</definedName>
    <definedName name="ㅍㅊㅌㅁㄹㅇ" localSheetId="18" hidden="1">{#N/A,#N/A,FALSE,"동부"}</definedName>
    <definedName name="ㅍㅊㅌㅁㄹㅇ" localSheetId="24" hidden="1">{#N/A,#N/A,FALSE,"동부"}</definedName>
    <definedName name="ㅍㅊㅌㅁㄹㅇ" hidden="1">{#N/A,#N/A,FALSE,"동부"}</definedName>
    <definedName name="ㅍ츛" localSheetId="23" hidden="1">{#N/A,#N/A,FALSE,"동부"}</definedName>
    <definedName name="ㅍ츛" localSheetId="18" hidden="1">{#N/A,#N/A,FALSE,"동부"}</definedName>
    <definedName name="ㅍ츛" localSheetId="24" hidden="1">{#N/A,#N/A,FALSE,"동부"}</definedName>
    <definedName name="ㅍ츛" hidden="1">{#N/A,#N/A,FALSE,"동부"}</definedName>
    <definedName name="파" localSheetId="23" hidden="1">{#N/A,#N/A,FALSE,"1.CRITERIA";#N/A,#N/A,FALSE,"2.IS";#N/A,#N/A,FALSE,"3.BS";#N/A,#N/A,FALSE,"4.PER PL";#N/A,#N/A,FALSE,"5.INVESTMENT";#N/A,#N/A,FALSE,"6.공문";#N/A,#N/A,FALSE,"7.netinvest"}</definedName>
    <definedName name="파" localSheetId="18" hidden="1">{#N/A,#N/A,FALSE,"1.CRITERIA";#N/A,#N/A,FALSE,"2.IS";#N/A,#N/A,FALSE,"3.BS";#N/A,#N/A,FALSE,"4.PER PL";#N/A,#N/A,FALSE,"5.INVESTMENT";#N/A,#N/A,FALSE,"6.공문";#N/A,#N/A,FALSE,"7.netinvest"}</definedName>
    <definedName name="파" localSheetId="24"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3" hidden="1">{#N/A,#N/A,FALSE,"1.CRITERIA";#N/A,#N/A,FALSE,"2.IS";#N/A,#N/A,FALSE,"3.BS";#N/A,#N/A,FALSE,"4.PER PL";#N/A,#N/A,FALSE,"5.INVESTMENT";#N/A,#N/A,FALSE,"6.공문";#N/A,#N/A,FALSE,"7.netinvest"}</definedName>
    <definedName name="파아라" localSheetId="18"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3" hidden="1">{#N/A,#N/A,FALSE,"1.CRITERIA";#N/A,#N/A,FALSE,"2.IS";#N/A,#N/A,FALSE,"3.BS";#N/A,#N/A,FALSE,"4.PER PL";#N/A,#N/A,FALSE,"5.INVESTMENT";#N/A,#N/A,FALSE,"6.공문";#N/A,#N/A,FALSE,"7.netinvest"}</definedName>
    <definedName name="파하" localSheetId="18"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3" hidden="1">{#N/A,#N/A,FALSE,"1.CRITERIA";#N/A,#N/A,FALSE,"2.IS";#N/A,#N/A,FALSE,"3.BS";#N/A,#N/A,FALSE,"4.PER PL";#N/A,#N/A,FALSE,"5.INVESTMENT";#N/A,#N/A,FALSE,"6.공문";#N/A,#N/A,FALSE,"7.netinvest"}</definedName>
    <definedName name="퍄" localSheetId="18" hidden="1">{#N/A,#N/A,FALSE,"1.CRITERIA";#N/A,#N/A,FALSE,"2.IS";#N/A,#N/A,FALSE,"3.BS";#N/A,#N/A,FALSE,"4.PER PL";#N/A,#N/A,FALSE,"5.INVESTMENT";#N/A,#N/A,FALSE,"6.공문";#N/A,#N/A,FALSE,"7.netinvest"}</definedName>
    <definedName name="퍄" localSheetId="24"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3" hidden="1">{#N/A,#N/A,FALSE,"1.CRITERIA";#N/A,#N/A,FALSE,"2.IS";#N/A,#N/A,FALSE,"3.BS";#N/A,#N/A,FALSE,"4.PER PL";#N/A,#N/A,FALSE,"5.INVESTMENT";#N/A,#N/A,FALSE,"6.공문";#N/A,#N/A,FALSE,"7.netinvest"}</definedName>
    <definedName name="페" localSheetId="18"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3" hidden="1">{"'Firr(선)'!$AS$1:$AY$62","'Firr(사)'!$AS$1:$AY$62","'Firr(회)'!$AS$1:$AY$62","'Firr(선)'!$L$1:$V$62","'Firr(사)'!$L$1:$V$62","'Firr(회)'!$L$1:$V$62"}</definedName>
    <definedName name="페이지" localSheetId="18" hidden="1">{"'Firr(선)'!$AS$1:$AY$62","'Firr(사)'!$AS$1:$AY$62","'Firr(회)'!$AS$1:$AY$62","'Firr(선)'!$L$1:$V$62","'Firr(사)'!$L$1:$V$62","'Firr(회)'!$L$1:$V$62"}</definedName>
    <definedName name="페이지" localSheetId="24" hidden="1">{"'Firr(선)'!$AS$1:$AY$62","'Firr(사)'!$AS$1:$AY$62","'Firr(회)'!$AS$1:$AY$62","'Firr(선)'!$L$1:$V$62","'Firr(사)'!$L$1:$V$62","'Firr(회)'!$L$1:$V$62"}</definedName>
    <definedName name="페이지" hidden="1">{"'Firr(선)'!$AS$1:$AY$62","'Firr(사)'!$AS$1:$AY$62","'Firr(회)'!$AS$1:$AY$62","'Firr(선)'!$L$1:$V$62","'Firr(사)'!$L$1:$V$62","'Firr(회)'!$L$1:$V$62"}</definedName>
    <definedName name="펴" localSheetId="23" hidden="1">{#N/A,#N/A,FALSE,"1.CRITERIA";#N/A,#N/A,FALSE,"2.IS";#N/A,#N/A,FALSE,"3.BS";#N/A,#N/A,FALSE,"4.PER PL";#N/A,#N/A,FALSE,"5.INVESTMENT";#N/A,#N/A,FALSE,"6.공문";#N/A,#N/A,FALSE,"7.netinvest"}</definedName>
    <definedName name="펴" localSheetId="18" hidden="1">{#N/A,#N/A,FALSE,"1.CRITERIA";#N/A,#N/A,FALSE,"2.IS";#N/A,#N/A,FALSE,"3.BS";#N/A,#N/A,FALSE,"4.PER PL";#N/A,#N/A,FALSE,"5.INVESTMENT";#N/A,#N/A,FALSE,"6.공문";#N/A,#N/A,FALSE,"7.netinvest"}</definedName>
    <definedName name="펴" localSheetId="24"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3" hidden="1">{#N/A,#N/A,FALSE,"1.CRITERIA";#N/A,#N/A,FALSE,"2.IS";#N/A,#N/A,FALSE,"3.BS";#N/A,#N/A,FALSE,"4.PER PL";#N/A,#N/A,FALSE,"5.INVESTMENT";#N/A,#N/A,FALSE,"6.공문";#N/A,#N/A,FALSE,"7.netinvest"}</definedName>
    <definedName name="포" localSheetId="18" hidden="1">{#N/A,#N/A,FALSE,"1.CRITERIA";#N/A,#N/A,FALSE,"2.IS";#N/A,#N/A,FALSE,"3.BS";#N/A,#N/A,FALSE,"4.PER PL";#N/A,#N/A,FALSE,"5.INVESTMENT";#N/A,#N/A,FALSE,"6.공문";#N/A,#N/A,FALSE,"7.netinvest"}</definedName>
    <definedName name="포" localSheetId="24"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3" hidden="1">{#N/A,#N/A,FALSE,"범우구미";#N/A,#N/A,FALSE,"세한케미칼";#N/A,#N/A,FALSE,"세명화학";#N/A,#N/A,FALSE,"신영케미칼";#N/A,#N/A,FALSE,"일석상사"}</definedName>
    <definedName name="포공화학" localSheetId="18" hidden="1">{#N/A,#N/A,FALSE,"범우구미";#N/A,#N/A,FALSE,"세한케미칼";#N/A,#N/A,FALSE,"세명화학";#N/A,#N/A,FALSE,"신영케미칼";#N/A,#N/A,FALSE,"일석상사"}</definedName>
    <definedName name="포공화학" localSheetId="24"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3" hidden="1">{#N/A,#N/A,TRUE,"대 차 대 조 표"}</definedName>
    <definedName name="포바" localSheetId="18" hidden="1">{#N/A,#N/A,TRUE,"대 차 대 조 표"}</definedName>
    <definedName name="포바" localSheetId="24" hidden="1">{#N/A,#N/A,TRUE,"대 차 대 조 표"}</definedName>
    <definedName name="포바" hidden="1">{#N/A,#N/A,TRUE,"대 차 대 조 표"}</definedName>
    <definedName name="포스코" localSheetId="23" hidden="1">{#N/A,#N/A,TRUE,"대 차 대 조 표"}</definedName>
    <definedName name="포스코" localSheetId="18" hidden="1">{#N/A,#N/A,TRUE,"대 차 대 조 표"}</definedName>
    <definedName name="포스코" localSheetId="24" hidden="1">{#N/A,#N/A,TRUE,"대 차 대 조 표"}</definedName>
    <definedName name="포스코" hidden="1">{#N/A,#N/A,TRUE,"대 차 대 조 표"}</definedName>
    <definedName name="포스코_1" localSheetId="23" hidden="1">{#N/A,#N/A,TRUE,"대 차 대 조 표"}</definedName>
    <definedName name="포스코_1" localSheetId="18" hidden="1">{#N/A,#N/A,TRUE,"대 차 대 조 표"}</definedName>
    <definedName name="포스코_1" localSheetId="24" hidden="1">{#N/A,#N/A,TRUE,"대 차 대 조 표"}</definedName>
    <definedName name="포스코_1" hidden="1">{#N/A,#N/A,TRUE,"대 차 대 조 표"}</definedName>
    <definedName name="포장2월ocf" localSheetId="23" hidden="1">{#N/A,#N/A,FALSE,"지침";#N/A,#N/A,FALSE,"환경분석";#N/A,#N/A,FALSE,"Sheet16"}</definedName>
    <definedName name="포장2월ocf" localSheetId="18" hidden="1">{#N/A,#N/A,FALSE,"지침";#N/A,#N/A,FALSE,"환경분석";#N/A,#N/A,FALSE,"Sheet16"}</definedName>
    <definedName name="포장2월ocf" localSheetId="24" hidden="1">{#N/A,#N/A,FALSE,"지침";#N/A,#N/A,FALSE,"환경분석";#N/A,#N/A,FALSE,"Sheet16"}</definedName>
    <definedName name="포장2월ocf" hidden="1">{#N/A,#N/A,FALSE,"지침";#N/A,#N/A,FALSE,"환경분석";#N/A,#N/A,FALSE,"Sheet16"}</definedName>
    <definedName name="포장ocf" localSheetId="23" hidden="1">{#N/A,#N/A,FALSE,"지침";#N/A,#N/A,FALSE,"환경분석";#N/A,#N/A,FALSE,"Sheet16"}</definedName>
    <definedName name="포장ocf" localSheetId="18" hidden="1">{#N/A,#N/A,FALSE,"지침";#N/A,#N/A,FALSE,"환경분석";#N/A,#N/A,FALSE,"Sheet16"}</definedName>
    <definedName name="포장ocf" localSheetId="24" hidden="1">{#N/A,#N/A,FALSE,"지침";#N/A,#N/A,FALSE,"환경분석";#N/A,#N/A,FALSE,"Sheet16"}</definedName>
    <definedName name="포장ocf" hidden="1">{#N/A,#N/A,FALSE,"지침";#N/A,#N/A,FALSE,"환경분석";#N/A,#N/A,FALSE,"Sheet16"}</definedName>
    <definedName name="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3" hidden="1">{#N/A,#N/A,FALSE,"단축1";#N/A,#N/A,FALSE,"단축2";#N/A,#N/A,FALSE,"단축3";#N/A,#N/A,FALSE,"장축";#N/A,#N/A,FALSE,"4WD"}</definedName>
    <definedName name="표준화실적99" localSheetId="18" hidden="1">{#N/A,#N/A,FALSE,"단축1";#N/A,#N/A,FALSE,"단축2";#N/A,#N/A,FALSE,"단축3";#N/A,#N/A,FALSE,"장축";#N/A,#N/A,FALSE,"4WD"}</definedName>
    <definedName name="표준화실적99" localSheetId="24" hidden="1">{#N/A,#N/A,FALSE,"단축1";#N/A,#N/A,FALSE,"단축2";#N/A,#N/A,FALSE,"단축3";#N/A,#N/A,FALSE,"장축";#N/A,#N/A,FALSE,"4WD"}</definedName>
    <definedName name="표준화실적99" hidden="1">{#N/A,#N/A,FALSE,"단축1";#N/A,#N/A,FALSE,"단축2";#N/A,#N/A,FALSE,"단축3";#N/A,#N/A,FALSE,"장축";#N/A,#N/A,FALSE,"4WD"}</definedName>
    <definedName name="표지" localSheetId="23" hidden="1">{#N/A,#N/A,FALSE,"동부"}</definedName>
    <definedName name="표지" localSheetId="18" hidden="1">{#N/A,#N/A,FALSE,"동부"}</definedName>
    <definedName name="표지" localSheetId="24" hidden="1">{#N/A,#N/A,FALSE,"동부"}</definedName>
    <definedName name="표지" hidden="1">{#N/A,#N/A,FALSE,"동부"}</definedName>
    <definedName name="표지_1" localSheetId="23" hidden="1">{#N/A,#N/A,FALSE,"동부"}</definedName>
    <definedName name="표지_1" localSheetId="18" hidden="1">{#N/A,#N/A,FALSE,"동부"}</definedName>
    <definedName name="표지_1" localSheetId="24" hidden="1">{#N/A,#N/A,FALSE,"동부"}</definedName>
    <definedName name="표지_1" hidden="1">{#N/A,#N/A,FALSE,"동부"}</definedName>
    <definedName name="표지3" localSheetId="23" hidden="1">{"'PROFORMA'!$A$1:$H$120"}</definedName>
    <definedName name="표지3" localSheetId="18" hidden="1">{"'PROFORMA'!$A$1:$H$120"}</definedName>
    <definedName name="표지3" localSheetId="24" hidden="1">{"'PROFORMA'!$A$1:$H$120"}</definedName>
    <definedName name="표지3" hidden="1">{"'PROFORMA'!$A$1:$H$120"}</definedName>
    <definedName name="풀" localSheetId="23" hidden="1">{#N/A,#N/A,FALSE,"동부"}</definedName>
    <definedName name="풀" localSheetId="18" hidden="1">{#N/A,#N/A,FALSE,"동부"}</definedName>
    <definedName name="풀" localSheetId="24" hidden="1">{#N/A,#N/A,FALSE,"동부"}</definedName>
    <definedName name="풀" hidden="1">{#N/A,#N/A,FALSE,"동부"}</definedName>
    <definedName name="품의" localSheetId="23" hidden="1">{#N/A,#N/A,FALSE,"Sheet6"}</definedName>
    <definedName name="품의" localSheetId="18" hidden="1">{#N/A,#N/A,FALSE,"Sheet6"}</definedName>
    <definedName name="품의" localSheetId="24" hidden="1">{#N/A,#N/A,FALSE,"Sheet6"}</definedName>
    <definedName name="품의" hidden="1">{#N/A,#N/A,FALSE,"Sheet6"}</definedName>
    <definedName name="품의3" localSheetId="23" hidden="1">{"'7'!$B$15:$D$32"}</definedName>
    <definedName name="품의3" localSheetId="18" hidden="1">{"'7'!$B$15:$D$32"}</definedName>
    <definedName name="품의3" localSheetId="24" hidden="1">{"'7'!$B$15:$D$32"}</definedName>
    <definedName name="품의3" hidden="1">{"'7'!$B$15:$D$32"}</definedName>
    <definedName name="품의서" localSheetId="23" hidden="1">{"'7'!$B$15:$D$32"}</definedName>
    <definedName name="품의서" localSheetId="18" hidden="1">{"'7'!$B$15:$D$32"}</definedName>
    <definedName name="품의서" localSheetId="24" hidden="1">{"'7'!$B$15:$D$32"}</definedName>
    <definedName name="품의서" hidden="1">{"'7'!$B$15:$D$32"}</definedName>
    <definedName name="플" localSheetId="23" hidden="1">{#N/A,#N/A,FALSE,"동부"}</definedName>
    <definedName name="플" localSheetId="18" hidden="1">{#N/A,#N/A,FALSE,"동부"}</definedName>
    <definedName name="플" localSheetId="24" hidden="1">{#N/A,#N/A,FALSE,"동부"}</definedName>
    <definedName name="플" hidden="1">{#N/A,#N/A,FALSE,"동부"}</definedName>
    <definedName name="피" localSheetId="23" hidden="1">{#N/A,#N/A,FALSE,"견적갑지";#N/A,#N/A,FALSE,"총괄표";#N/A,#N/A,FALSE,"철골공사";#N/A,#N/A,FALSE,"토목공사";#N/A,#N/A,FALSE,"판넬전기공사"}</definedName>
    <definedName name="피" localSheetId="18" hidden="1">{#N/A,#N/A,FALSE,"견적갑지";#N/A,#N/A,FALSE,"총괄표";#N/A,#N/A,FALSE,"철골공사";#N/A,#N/A,FALSE,"토목공사";#N/A,#N/A,FALSE,"판넬전기공사"}</definedName>
    <definedName name="피" localSheetId="24"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3">BlankMacro1</definedName>
    <definedName name="ㅎ" localSheetId="18">BlankMacro1</definedName>
    <definedName name="ㅎ" localSheetId="24">BlankMacro1</definedName>
    <definedName name="ㅎ" localSheetId="1">BlankMacro1</definedName>
    <definedName name="ㅎ">BlankMacro1</definedName>
    <definedName name="ㅎㄱ" localSheetId="23" hidden="1">{"'용역비'!$A$4:$C$8"}</definedName>
    <definedName name="ㅎㄱ" localSheetId="18" hidden="1">{"'용역비'!$A$4:$C$8"}</definedName>
    <definedName name="ㅎㄱ" localSheetId="24" hidden="1">{"'용역비'!$A$4:$C$8"}</definedName>
    <definedName name="ㅎㄱ" hidden="1">{"'용역비'!$A$4:$C$8"}</definedName>
    <definedName name="ㅎㄱㅎ" localSheetId="23" hidden="1">{"'용역비'!$A$4:$C$8"}</definedName>
    <definedName name="ㅎㄱㅎ" localSheetId="18" hidden="1">{"'용역비'!$A$4:$C$8"}</definedName>
    <definedName name="ㅎㄱㅎ" localSheetId="24" hidden="1">{"'용역비'!$A$4:$C$8"}</definedName>
    <definedName name="ㅎㄱㅎ" hidden="1">{"'용역비'!$A$4:$C$8"}</definedName>
    <definedName name="ㅎㄱㅎㄱㅎㄱㅎ" localSheetId="23" hidden="1">{"'용역비'!$A$4:$C$8"}</definedName>
    <definedName name="ㅎㄱㅎㄱㅎㄱㅎ" localSheetId="18" hidden="1">{"'용역비'!$A$4:$C$8"}</definedName>
    <definedName name="ㅎㄱㅎㄱㅎㄱㅎ" localSheetId="24" hidden="1">{"'용역비'!$A$4:$C$8"}</definedName>
    <definedName name="ㅎㄱㅎㄱㅎㄱㅎ" hidden="1">{"'용역비'!$A$4:$C$8"}</definedName>
    <definedName name="ㅎㄴ" localSheetId="23" hidden="1">{#N/A,#N/A,FALSE,"동부"}</definedName>
    <definedName name="ㅎㄴ" localSheetId="18" hidden="1">{#N/A,#N/A,FALSE,"동부"}</definedName>
    <definedName name="ㅎㄴ" localSheetId="24" hidden="1">{#N/A,#N/A,FALSE,"동부"}</definedName>
    <definedName name="ㅎㄴ" hidden="1">{#N/A,#N/A,FALSE,"동부"}</definedName>
    <definedName name="ㅎㄴㅁㄹㅇ" localSheetId="23" hidden="1">{#N/A,#N/A,FALSE,"동부"}</definedName>
    <definedName name="ㅎㄴㅁㄹㅇ" localSheetId="18" hidden="1">{#N/A,#N/A,FALSE,"동부"}</definedName>
    <definedName name="ㅎㄴㅁㄹㅇ" localSheetId="24" hidden="1">{#N/A,#N/A,FALSE,"동부"}</definedName>
    <definedName name="ㅎㄴㅁㄹㅇ" hidden="1">{#N/A,#N/A,FALSE,"동부"}</definedName>
    <definedName name="ㅎㄴㅁㄹㅇㄴ" localSheetId="23" hidden="1">{"AJD",#N/A,TRUE,"Summary";"AJD",#N/A,TRUE,"CFCONC-outputs";"AJD",#N/A,TRUE,"P&amp;LCONC-outputs";"AJD",#N/A,TRUE,"BSCONC-outputs";"AJD",#N/A,TRUE,"FSCONC-outputs"}</definedName>
    <definedName name="ㅎㄴㅁㄹㅇㄴ" localSheetId="18" hidden="1">{"AJD",#N/A,TRUE,"Summary";"AJD",#N/A,TRUE,"CFCONC-outputs";"AJD",#N/A,TRUE,"P&amp;LCONC-outputs";"AJD",#N/A,TRUE,"BSCONC-outputs";"AJD",#N/A,TRUE,"FSCONC-outputs"}</definedName>
    <definedName name="ㅎㄴㅁㄹㅇㄴ" localSheetId="24"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3" hidden="1">{#N/A,#N/A,FALSE,"동부"}</definedName>
    <definedName name="ㅎㄶㄹㅇㄶ" localSheetId="18" hidden="1">{#N/A,#N/A,FALSE,"동부"}</definedName>
    <definedName name="ㅎㄶㄹㅇㄶ" localSheetId="24" hidden="1">{#N/A,#N/A,FALSE,"동부"}</definedName>
    <definedName name="ㅎㄶㄹㅇㄶ" hidden="1">{#N/A,#N/A,FALSE,"동부"}</definedName>
    <definedName name="ㅎㄹㄴ" localSheetId="23" hidden="1">{#N/A,#N/A,FALSE,"97년 투자계획 세부내역 "}</definedName>
    <definedName name="ㅎㄹㄴ" localSheetId="18" hidden="1">{#N/A,#N/A,FALSE,"97년 투자계획 세부내역 "}</definedName>
    <definedName name="ㅎㄹㄴ" localSheetId="24" hidden="1">{#N/A,#N/A,FALSE,"97년 투자계획 세부내역 "}</definedName>
    <definedName name="ㅎㄹㄴ" hidden="1">{#N/A,#N/A,FALSE,"97년 투자계획 세부내역 "}</definedName>
    <definedName name="ㅎㄹㅇㄴㄹ" localSheetId="23" hidden="1">{#N/A,#N/A,TRUE,"대 차 대 조 표"}</definedName>
    <definedName name="ㅎㄹㅇㄴㄹ" localSheetId="18" hidden="1">{#N/A,#N/A,TRUE,"대 차 대 조 표"}</definedName>
    <definedName name="ㅎㄹㅇㄴㄹ" localSheetId="24" hidden="1">{#N/A,#N/A,TRUE,"대 차 대 조 표"}</definedName>
    <definedName name="ㅎㄹㅇㄴㄹ" hidden="1">{#N/A,#N/A,TRUE,"대 차 대 조 표"}</definedName>
    <definedName name="ㅎㄹㅇㄴㅁㄹ" localSheetId="23" hidden="1">{#N/A,#N/A,FALSE,"동부"}</definedName>
    <definedName name="ㅎㄹㅇㄴㅁㄹ" localSheetId="18" hidden="1">{#N/A,#N/A,FALSE,"동부"}</definedName>
    <definedName name="ㅎㄹㅇㄴㅁㄹ" localSheetId="24" hidden="1">{#N/A,#N/A,FALSE,"동부"}</definedName>
    <definedName name="ㅎㄹㅇㄴㅁㄹ" hidden="1">{#N/A,#N/A,FALSE,"동부"}</definedName>
    <definedName name="ㅎㄹㅇㄴㅁㄹㅇ" localSheetId="23" hidden="1">{#N/A,#N/A,FALSE,"동부"}</definedName>
    <definedName name="ㅎㄹㅇㄴㅁㄹㅇ" localSheetId="18" hidden="1">{#N/A,#N/A,FALSE,"동부"}</definedName>
    <definedName name="ㅎㄹㅇㄴㅁㄹㅇ" localSheetId="24" hidden="1">{#N/A,#N/A,FALSE,"동부"}</definedName>
    <definedName name="ㅎㄹㅇㄴㅁㄹㅇ" hidden="1">{#N/A,#N/A,FALSE,"동부"}</definedName>
    <definedName name="ㅎㄹㅇ농" localSheetId="23" hidden="1">{"BuildIn 2 Funding Assump",#N/A,FALSE,"Building Inputs";"BuildIn Capex plus Extras",#N/A,FALSE,"Building Inputs"}</definedName>
    <definedName name="ㅎㄹㅇ농" localSheetId="18" hidden="1">{"BuildIn 2 Funding Assump",#N/A,FALSE,"Building Inputs";"BuildIn Capex plus Extras",#N/A,FALSE,"Building Inputs"}</definedName>
    <definedName name="ㅎㄹㅇ농" localSheetId="24"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3" hidden="1">{#N/A,#N/A,FALSE,"동부"}</definedName>
    <definedName name="ㅎㄹㅇㄶㄹ" localSheetId="18" hidden="1">{#N/A,#N/A,FALSE,"동부"}</definedName>
    <definedName name="ㅎㄹㅇㄶㄹ" localSheetId="24" hidden="1">{#N/A,#N/A,FALSE,"동부"}</definedName>
    <definedName name="ㅎㄹㅇㄶㄹ" hidden="1">{#N/A,#N/A,FALSE,"동부"}</definedName>
    <definedName name="ㅎㄹㅇㄶㄹㅇ" localSheetId="23" hidden="1">{#N/A,#N/A,FALSE,"동부"}</definedName>
    <definedName name="ㅎㄹㅇㄶㄹㅇ" localSheetId="18" hidden="1">{#N/A,#N/A,FALSE,"동부"}</definedName>
    <definedName name="ㅎㄹㅇㄶㄹㅇ" localSheetId="24" hidden="1">{#N/A,#N/A,FALSE,"동부"}</definedName>
    <definedName name="ㅎㄹㅇㄶㄹㅇ" hidden="1">{#N/A,#N/A,FALSE,"동부"}</definedName>
    <definedName name="ㅎㄹㅇㄶㄹㅇㅎ" localSheetId="23" hidden="1">{#N/A,#N/A,FALSE,"동부"}</definedName>
    <definedName name="ㅎㄹㅇㄶㄹㅇㅎ" localSheetId="18" hidden="1">{#N/A,#N/A,FALSE,"동부"}</definedName>
    <definedName name="ㅎㄹㅇㄶㄹㅇㅎ" localSheetId="24" hidden="1">{#N/A,#N/A,FALSE,"동부"}</definedName>
    <definedName name="ㅎㄹㅇㄶㄹㅇㅎ" hidden="1">{#N/A,#N/A,FALSE,"동부"}</definedName>
    <definedName name="ㅎㄹㅇㄶ로" localSheetId="23" hidden="1">{"AJD",#N/A,TRUE,"Summary";"AJD",#N/A,TRUE,"CFCONC-outputs";"AJD",#N/A,TRUE,"P&amp;LCONC-outputs";"AJD",#N/A,TRUE,"BSCONC-outputs";"AJD",#N/A,TRUE,"FSCONC-outputs"}</definedName>
    <definedName name="ㅎㄹㅇㄶ로" localSheetId="18" hidden="1">{"AJD",#N/A,TRUE,"Summary";"AJD",#N/A,TRUE,"CFCONC-outputs";"AJD",#N/A,TRUE,"P&amp;LCONC-outputs";"AJD",#N/A,TRUE,"BSCONC-outputs";"AJD",#N/A,TRUE,"FSCONC-outputs"}</definedName>
    <definedName name="ㅎㄹㅇㄶ로" localSheetId="24"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3" hidden="1">{#N/A,#N/A,TRUE,"대 차 대 조 표"}</definedName>
    <definedName name="ㅎㄹㅇㄹㅇ" localSheetId="18" hidden="1">{#N/A,#N/A,TRUE,"대 차 대 조 표"}</definedName>
    <definedName name="ㅎㄹㅇㄹㅇ" localSheetId="24" hidden="1">{#N/A,#N/A,TRUE,"대 차 대 조 표"}</definedName>
    <definedName name="ㅎㄹㅇㄹㅇ" hidden="1">{#N/A,#N/A,TRUE,"대 차 대 조 표"}</definedName>
    <definedName name="ㅎㄹㅇㅁ" localSheetId="23" hidden="1">{"AJD",#N/A,TRUE,"Summary";"AJD",#N/A,TRUE,"CFCONC-outputs";"AJD",#N/A,TRUE,"P&amp;LCONC-outputs";"AJD",#N/A,TRUE,"BSCONC-outputs";"AJD",#N/A,TRUE,"FSCONC-outputs"}</definedName>
    <definedName name="ㅎㄹㅇㅁ" localSheetId="18" hidden="1">{"AJD",#N/A,TRUE,"Summary";"AJD",#N/A,TRUE,"CFCONC-outputs";"AJD",#N/A,TRUE,"P&amp;LCONC-outputs";"AJD",#N/A,TRUE,"BSCONC-outputs";"AJD",#N/A,TRUE,"FSCONC-outputs"}</definedName>
    <definedName name="ㅎㄹㅇㅁ" localSheetId="24"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3" hidden="1">{#N/A,#N/A,FALSE,"동부"}</definedName>
    <definedName name="ㅎㄹㅇㅎㄴ" localSheetId="18" hidden="1">{#N/A,#N/A,FALSE,"동부"}</definedName>
    <definedName name="ㅎㄹㅇㅎㄴ" localSheetId="24" hidden="1">{#N/A,#N/A,FALSE,"동부"}</definedName>
    <definedName name="ㅎㄹㅇㅎㄴ" hidden="1">{#N/A,#N/A,FALSE,"동부"}</definedName>
    <definedName name="ㅎㄹㅇㅎㅎ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3" hidden="1">{#N/A,#N/A,TRUE,"대 차 대 조 표"}</definedName>
    <definedName name="ㅎㄻㅍㅇㅈㄷㅁ" localSheetId="18" hidden="1">{#N/A,#N/A,TRUE,"대 차 대 조 표"}</definedName>
    <definedName name="ㅎㄻㅍㅇㅈㄷㅁ" localSheetId="24" hidden="1">{#N/A,#N/A,TRUE,"대 차 대 조 표"}</definedName>
    <definedName name="ㅎㄻㅍㅇㅈㄷㅁ" hidden="1">{#N/A,#N/A,TRUE,"대 차 대 조 표"}</definedName>
    <definedName name="ㅎㄿㄱ" localSheetId="23" hidden="1">{#N/A,#N/A,FALSE,"동부"}</definedName>
    <definedName name="ㅎㄿㄱ" localSheetId="18" hidden="1">{#N/A,#N/A,FALSE,"동부"}</definedName>
    <definedName name="ㅎㄿㄱ" localSheetId="24" hidden="1">{#N/A,#N/A,FALSE,"동부"}</definedName>
    <definedName name="ㅎㄿㄱ" hidden="1">{#N/A,#N/A,FALSE,"동부"}</definedName>
    <definedName name="ㅎ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3" hidden="1">{#N/A,#N/A,FALSE,"CCTV"}</definedName>
    <definedName name="ㅎㅀㅀㅀㅀㄹ" localSheetId="18" hidden="1">{#N/A,#N/A,FALSE,"CCTV"}</definedName>
    <definedName name="ㅎㅀㅀㅀㅀㄹ" localSheetId="24" hidden="1">{#N/A,#N/A,FALSE,"CCTV"}</definedName>
    <definedName name="ㅎㅀㅀㅀㅀㄹ" hidden="1">{#N/A,#N/A,FALSE,"CCTV"}</definedName>
    <definedName name="ㅎㅅㄴ" localSheetId="23" hidden="1">{"OpCostIn Technical",#N/A,FALSE,"Operations Cost Inputs";"OpCostIn V plus F",#N/A,FALSE,"Operations Cost Inputs";"OpCostIn Maint",#N/A,FALSE,"Operations Cost Inputs";"OpCostIn LDs Add Cost",#N/A,FALSE,"Operations Cost Inputs"}</definedName>
    <definedName name="ㅎㅅㄴ" localSheetId="18" hidden="1">{"OpCostIn Technical",#N/A,FALSE,"Operations Cost Inputs";"OpCostIn V plus F",#N/A,FALSE,"Operations Cost Inputs";"OpCostIn Maint",#N/A,FALSE,"Operations Cost Inputs";"OpCostIn LDs Add Cost",#N/A,FALSE,"Operations Cost Inputs"}</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3" hidden="1">{#N/A,#N/A,TRUE,"대 차 대 조 표"}</definedName>
    <definedName name="ㅎㅅㅈㄷㄹ" localSheetId="18" hidden="1">{#N/A,#N/A,TRUE,"대 차 대 조 표"}</definedName>
    <definedName name="ㅎㅅㅈㄷㄹ" localSheetId="24" hidden="1">{#N/A,#N/A,TRUE,"대 차 대 조 표"}</definedName>
    <definedName name="ㅎㅅㅈㄷㄹ" hidden="1">{#N/A,#N/A,TRUE,"대 차 대 조 표"}</definedName>
    <definedName name="ㅎㅇ" localSheetId="23" hidden="1">{#N/A,#N/A,FALSE,"Aging Summary";#N/A,#N/A,FALSE,"Ratio Analysis";#N/A,#N/A,FALSE,"Test 120 Day Accts";#N/A,#N/A,FALSE,"Tickmarks"}</definedName>
    <definedName name="ㅎㅇ" localSheetId="18" hidden="1">{#N/A,#N/A,FALSE,"Aging Summary";#N/A,#N/A,FALSE,"Ratio Analysis";#N/A,#N/A,FALSE,"Test 120 Day Accts";#N/A,#N/A,FALSE,"Tickmarks"}</definedName>
    <definedName name="ㅎㅇ" localSheetId="24"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3" hidden="1">{#N/A,#N/A,TRUE,"대 차 대 조 표"}</definedName>
    <definedName name="ㅎㅇㄴ" localSheetId="18" hidden="1">{#N/A,#N/A,TRUE,"대 차 대 조 표"}</definedName>
    <definedName name="ㅎㅇㄴ" localSheetId="24" hidden="1">{#N/A,#N/A,TRUE,"대 차 대 조 표"}</definedName>
    <definedName name="ㅎㅇㄴ" hidden="1">{#N/A,#N/A,TRUE,"대 차 대 조 표"}</definedName>
    <definedName name="ㅎㅇㄴㅁ" localSheetId="23" hidden="1">{"AJD",#N/A,TRUE,"Summary";"AJD",#N/A,TRUE,"CFCONC-outputs";"AJD",#N/A,TRUE,"P&amp;LCONC-outputs";"AJD",#N/A,TRUE,"BSCONC-outputs";"AJD",#N/A,TRUE,"FSCONC-outputs"}</definedName>
    <definedName name="ㅎㅇㄴㅁ" localSheetId="18" hidden="1">{"AJD",#N/A,TRUE,"Summary";"AJD",#N/A,TRUE,"CFCONC-outputs";"AJD",#N/A,TRUE,"P&amp;LCONC-outputs";"AJD",#N/A,TRUE,"BSCONC-outputs";"AJD",#N/A,TRUE,"FSCONC-outputs"}</definedName>
    <definedName name="ㅎㅇㄴㅁ" localSheetId="24"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3" hidden="1">{#N/A,#N/A,TRUE,"대 차 대 조 표"}</definedName>
    <definedName name="ㅎㅇㄴㅁㅎㄱㄷ" localSheetId="18" hidden="1">{#N/A,#N/A,TRUE,"대 차 대 조 표"}</definedName>
    <definedName name="ㅎㅇㄴㅁㅎㄱㄷ" localSheetId="24" hidden="1">{#N/A,#N/A,TRUE,"대 차 대 조 표"}</definedName>
    <definedName name="ㅎㅇㄴㅁㅎㄱㄷ" hidden="1">{#N/A,#N/A,TRUE,"대 차 대 조 표"}</definedName>
    <definedName name="ㅎ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3" hidden="1">{#N/A,#N/A,TRUE,"대 차 대 조 표"}</definedName>
    <definedName name="ㅎㅇㅈ" localSheetId="18" hidden="1">{#N/A,#N/A,TRUE,"대 차 대 조 표"}</definedName>
    <definedName name="ㅎㅇㅈ" localSheetId="24" hidden="1">{#N/A,#N/A,TRUE,"대 차 대 조 표"}</definedName>
    <definedName name="ㅎㅇㅈ" hidden="1">{#N/A,#N/A,TRUE,"대 차 대 조 표"}</definedName>
    <definedName name="ㅎ오" localSheetId="23" hidden="1">{"'용역비'!$A$4:$C$8"}</definedName>
    <definedName name="ㅎ오" localSheetId="18" hidden="1">{"'용역비'!$A$4:$C$8"}</definedName>
    <definedName name="ㅎ오" localSheetId="24" hidden="1">{"'용역비'!$A$4:$C$8"}</definedName>
    <definedName name="ㅎ오" hidden="1">{"'용역비'!$A$4:$C$8"}</definedName>
    <definedName name="ㅎㅎ" localSheetId="23" hidden="1">{"AJD",#N/A,TRUE,"Summary";"AJD",#N/A,TRUE,"CFCONC-outputs";"AJD",#N/A,TRUE,"P&amp;LCONC-outputs";"AJD",#N/A,TRUE,"BSCONC-outputs";"AJD",#N/A,TRUE,"FSCONC-outputs"}</definedName>
    <definedName name="ㅎㅎ" localSheetId="18" hidden="1">{"AJD",#N/A,TRUE,"Summary";"AJD",#N/A,TRUE,"CFCONC-outputs";"AJD",#N/A,TRUE,"P&amp;LCONC-outputs";"AJD",#N/A,TRUE,"BSCONC-outputs";"AJD",#N/A,TRUE,"FSCONC-outputs"}</definedName>
    <definedName name="ㅎㅎ" localSheetId="24"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3" hidden="1">{"'용역비'!$A$4:$C$8"}</definedName>
    <definedName name="ㅎㅎㅎ" localSheetId="18" hidden="1">{"'용역비'!$A$4:$C$8"}</definedName>
    <definedName name="ㅎㅎㅎ" localSheetId="24" hidden="1">{"'용역비'!$A$4:$C$8"}</definedName>
    <definedName name="ㅎㅎㅎ" hidden="1">{"'용역비'!$A$4:$C$8"}</definedName>
    <definedName name="ㅎㅎㅎ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3" hidden="1">{#N/A,#N/A,FALSE,"BS";#N/A,#N/A,FALSE,"PL";#N/A,#N/A,FALSE,"처분";#N/A,#N/A,FALSE,"현금";#N/A,#N/A,FALSE,"매출";#N/A,#N/A,FALSE,"원가";#N/A,#N/A,FALSE,"경영"}</definedName>
    <definedName name="ㅎㅎㅎㅎ" localSheetId="18" hidden="1">{#N/A,#N/A,FALSE,"BS";#N/A,#N/A,FALSE,"PL";#N/A,#N/A,FALSE,"처분";#N/A,#N/A,FALSE,"현금";#N/A,#N/A,FALSE,"매출";#N/A,#N/A,FALSE,"원가";#N/A,#N/A,FALSE,"경영"}</definedName>
    <definedName name="ㅎㅎㅎㅎ" localSheetId="24"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3" hidden="1">{#N/A,#N/A,FALSE,"1.CRITERIA";#N/A,#N/A,FALSE,"2.IS";#N/A,#N/A,FALSE,"3.BS";#N/A,#N/A,FALSE,"4.PER PL";#N/A,#N/A,FALSE,"5.INVESTMENT";#N/A,#N/A,FALSE,"6.공문";#N/A,#N/A,FALSE,"7.netinvest"}</definedName>
    <definedName name="하" localSheetId="18" hidden="1">{#N/A,#N/A,FALSE,"1.CRITERIA";#N/A,#N/A,FALSE,"2.IS";#N/A,#N/A,FALSE,"3.BS";#N/A,#N/A,FALSE,"4.PER PL";#N/A,#N/A,FALSE,"5.INVESTMENT";#N/A,#N/A,FALSE,"6.공문";#N/A,#N/A,FALSE,"7.netinvest"}</definedName>
    <definedName name="하" localSheetId="24"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3" hidden="1">{"'7'!$B$15:$D$32"}</definedName>
    <definedName name="하늘" localSheetId="18" hidden="1">{"'7'!$B$15:$D$32"}</definedName>
    <definedName name="하늘" localSheetId="24" hidden="1">{"'7'!$B$15:$D$32"}</definedName>
    <definedName name="하늘" hidden="1">{"'7'!$B$15:$D$32"}</definedName>
    <definedName name="하도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3" hidden="1">{#N/A,#N/A,FALSE,"동부"}</definedName>
    <definedName name="하서" localSheetId="18" hidden="1">{#N/A,#N/A,FALSE,"동부"}</definedName>
    <definedName name="하서" localSheetId="24" hidden="1">{#N/A,#N/A,FALSE,"동부"}</definedName>
    <definedName name="하서" hidden="1">{#N/A,#N/A,FALSE,"동부"}</definedName>
    <definedName name="하수도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3" hidden="1">{#N/A,#N/A,FALSE,"포장단가"}</definedName>
    <definedName name="하수암거" localSheetId="18" hidden="1">{#N/A,#N/A,FALSE,"포장단가"}</definedName>
    <definedName name="하수암거" localSheetId="24" hidden="1">{#N/A,#N/A,FALSE,"포장단가"}</definedName>
    <definedName name="하수암거" hidden="1">{#N/A,#N/A,FALSE,"포장단가"}</definedName>
    <definedName name="하하" localSheetId="23" hidden="1">{#N/A,#N/A,FALSE,"CAM-G7";#N/A,#N/A,FALSE,"SPL";#N/A,#N/A,FALSE,"butt-in G7";#N/A,#N/A,FALSE,"dia-in G7";#N/A,#N/A,FALSE,"추가-STA G7"}</definedName>
    <definedName name="하하" localSheetId="18" hidden="1">{#N/A,#N/A,FALSE,"CAM-G7";#N/A,#N/A,FALSE,"SPL";#N/A,#N/A,FALSE,"butt-in G7";#N/A,#N/A,FALSE,"dia-in G7";#N/A,#N/A,FALSE,"추가-STA G7"}</definedName>
    <definedName name="하하" localSheetId="24" hidden="1">{#N/A,#N/A,FALSE,"CAM-G7";#N/A,#N/A,FALSE,"SPL";#N/A,#N/A,FALSE,"butt-in G7";#N/A,#N/A,FALSE,"dia-in G7";#N/A,#N/A,FALSE,"추가-STA G7"}</definedName>
    <definedName name="하하" hidden="1">{#N/A,#N/A,FALSE,"CAM-G7";#N/A,#N/A,FALSE,"SPL";#N/A,#N/A,FALSE,"butt-in G7";#N/A,#N/A,FALSE,"dia-in G7";#N/A,#N/A,FALSE,"추가-STA G7"}</definedName>
    <definedName name="하하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3" hidden="1">{#N/A,#N/A,TRUE,"대 차 대 조 표"}</definedName>
    <definedName name="한국생" localSheetId="18" hidden="1">{#N/A,#N/A,TRUE,"대 차 대 조 표"}</definedName>
    <definedName name="한국생" localSheetId="24" hidden="1">{#N/A,#N/A,TRUE,"대 차 대 조 표"}</definedName>
    <definedName name="한국생" hidden="1">{#N/A,#N/A,TRUE,"대 차 대 조 표"}</definedName>
    <definedName name="한국타이어" localSheetId="23" hidden="1">{"'용역비'!$A$4:$C$8"}</definedName>
    <definedName name="한국타이어" localSheetId="18" hidden="1">{"'용역비'!$A$4:$C$8"}</definedName>
    <definedName name="한국타이어" localSheetId="24" hidden="1">{"'용역비'!$A$4:$C$8"}</definedName>
    <definedName name="한국타이어" hidden="1">{"'용역비'!$A$4:$C$8"}</definedName>
    <definedName name="한도" localSheetId="23" hidden="1">{"'7'!$B$15:$D$32"}</definedName>
    <definedName name="한도" localSheetId="18" hidden="1">{"'7'!$B$15:$D$32"}</definedName>
    <definedName name="한도" localSheetId="24" hidden="1">{"'7'!$B$15:$D$32"}</definedName>
    <definedName name="한도" hidden="1">{"'7'!$B$15:$D$32"}</definedName>
    <definedName name="한영사전" localSheetId="23" hidden="1">{#N/A,#N/A,TRUE,"Y생산";#N/A,#N/A,TRUE,"Y판매";#N/A,#N/A,TRUE,"Y총물량";#N/A,#N/A,TRUE,"Y능력";#N/A,#N/A,TRUE,"YKD"}</definedName>
    <definedName name="한영사전" localSheetId="18" hidden="1">{#N/A,#N/A,TRUE,"Y생산";#N/A,#N/A,TRUE,"Y판매";#N/A,#N/A,TRUE,"Y총물량";#N/A,#N/A,TRUE,"Y능력";#N/A,#N/A,TRUE,"YKD"}</definedName>
    <definedName name="한영사전" localSheetId="24" hidden="1">{#N/A,#N/A,TRUE,"Y생산";#N/A,#N/A,TRUE,"Y판매";#N/A,#N/A,TRUE,"Y총물량";#N/A,#N/A,TRUE,"Y능력";#N/A,#N/A,TRUE,"YKD"}</definedName>
    <definedName name="한영사전" hidden="1">{#N/A,#N/A,TRUE,"Y생산";#N/A,#N/A,TRUE,"Y판매";#N/A,#N/A,TRUE,"Y총물량";#N/A,#N/A,TRUE,"Y능력";#N/A,#N/A,TRUE,"YKD"}</definedName>
    <definedName name="한영사전_1" localSheetId="23" hidden="1">{#N/A,#N/A,TRUE,"Y생산";#N/A,#N/A,TRUE,"Y판매";#N/A,#N/A,TRUE,"Y총물량";#N/A,#N/A,TRUE,"Y능력";#N/A,#N/A,TRUE,"YKD"}</definedName>
    <definedName name="한영사전_1" localSheetId="18" hidden="1">{#N/A,#N/A,TRUE,"Y생산";#N/A,#N/A,TRUE,"Y판매";#N/A,#N/A,TRUE,"Y총물량";#N/A,#N/A,TRUE,"Y능력";#N/A,#N/A,TRUE,"YKD"}</definedName>
    <definedName name="한영사전_1" localSheetId="24" hidden="1">{#N/A,#N/A,TRUE,"Y생산";#N/A,#N/A,TRUE,"Y판매";#N/A,#N/A,TRUE,"Y총물량";#N/A,#N/A,TRUE,"Y능력";#N/A,#N/A,TRUE,"YKD"}</definedName>
    <definedName name="한영사전_1" hidden="1">{#N/A,#N/A,TRUE,"Y생산";#N/A,#N/A,TRUE,"Y판매";#N/A,#N/A,TRUE,"Y총물량";#N/A,#N/A,TRUE,"Y능력";#N/A,#N/A,TRUE,"YKD"}</definedName>
    <definedName name="한원양행" localSheetId="23" hidden="1">{#N/A,#N/A,FALSE,"범우구미";#N/A,#N/A,FALSE,"세한케미칼";#N/A,#N/A,FALSE,"세명화학";#N/A,#N/A,FALSE,"신영케미칼";#N/A,#N/A,FALSE,"일석상사"}</definedName>
    <definedName name="한원양행" localSheetId="18" hidden="1">{#N/A,#N/A,FALSE,"범우구미";#N/A,#N/A,FALSE,"세한케미칼";#N/A,#N/A,FALSE,"세명화학";#N/A,#N/A,FALSE,"신영케미칼";#N/A,#N/A,FALSE,"일석상사"}</definedName>
    <definedName name="한원양행" localSheetId="24"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3" hidden="1">{#N/A,#N/A,FALSE,"현장 NCR 분석";#N/A,#N/A,FALSE,"현장품질감사";#N/A,#N/A,FALSE,"현장품질감사"}</definedName>
    <definedName name="한일건설" localSheetId="18" hidden="1">{#N/A,#N/A,FALSE,"현장 NCR 분석";#N/A,#N/A,FALSE,"현장품질감사";#N/A,#N/A,FALSE,"현장품질감사"}</definedName>
    <definedName name="한일건설" localSheetId="24" hidden="1">{#N/A,#N/A,FALSE,"현장 NCR 분석";#N/A,#N/A,FALSE,"현장품질감사";#N/A,#N/A,FALSE,"현장품질감사"}</definedName>
    <definedName name="한일건설" hidden="1">{#N/A,#N/A,FALSE,"현장 NCR 분석";#N/A,#N/A,FALSE,"현장품질감사";#N/A,#N/A,FALSE,"현장품질감사"}</definedName>
    <definedName name="한컴" localSheetId="23" hidden="1">{#N/A,#N/A,TRUE,"대 차 대 조 표"}</definedName>
    <definedName name="한컴" localSheetId="18" hidden="1">{#N/A,#N/A,TRUE,"대 차 대 조 표"}</definedName>
    <definedName name="한컴" localSheetId="24" hidden="1">{#N/A,#N/A,TRUE,"대 차 대 조 표"}</definedName>
    <definedName name="한컴" hidden="1">{#N/A,#N/A,TRUE,"대 차 대 조 표"}</definedName>
    <definedName name="햐" localSheetId="23" hidden="1">{#N/A,#N/A,FALSE,"1.CRITERIA";#N/A,#N/A,FALSE,"2.IS";#N/A,#N/A,FALSE,"3.BS";#N/A,#N/A,FALSE,"4.PER PL";#N/A,#N/A,FALSE,"5.INVESTMENT";#N/A,#N/A,FALSE,"6.공문";#N/A,#N/A,FALSE,"7.netinvest"}</definedName>
    <definedName name="햐" localSheetId="18" hidden="1">{#N/A,#N/A,FALSE,"1.CRITERIA";#N/A,#N/A,FALSE,"2.IS";#N/A,#N/A,FALSE,"3.BS";#N/A,#N/A,FALSE,"4.PER PL";#N/A,#N/A,FALSE,"5.INVESTMENT";#N/A,#N/A,FALSE,"6.공문";#N/A,#N/A,FALSE,"7.netinvest"}</definedName>
    <definedName name="햐" localSheetId="24"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3" hidden="1">{#N/A,#N/A,FALSE,"CCTV"}</definedName>
    <definedName name="햐ㅓㅈ바허ㅏㅣ농하ㅗㅎ" localSheetId="18" hidden="1">{#N/A,#N/A,FALSE,"CCTV"}</definedName>
    <definedName name="햐ㅓㅈ바허ㅏㅣ농하ㅗㅎ" localSheetId="24" hidden="1">{#N/A,#N/A,FALSE,"CCTV"}</definedName>
    <definedName name="햐ㅓㅈ바허ㅏㅣ농하ㅗㅎ" hidden="1">{#N/A,#N/A,FALSE,"CCTV"}</definedName>
    <definedName name="향후추정" localSheetId="23" hidden="1">{"'9월'!$F$38"}</definedName>
    <definedName name="향후추정" localSheetId="18" hidden="1">{"'9월'!$F$38"}</definedName>
    <definedName name="향후추정" localSheetId="24" hidden="1">{"'9월'!$F$38"}</definedName>
    <definedName name="향후추정" hidden="1">{"'9월'!$F$38"}</definedName>
    <definedName name="혀" localSheetId="23" hidden="1">{#N/A,#N/A,FALSE,"1.CRITERIA";#N/A,#N/A,FALSE,"2.IS";#N/A,#N/A,FALSE,"3.BS";#N/A,#N/A,FALSE,"4.PER PL";#N/A,#N/A,FALSE,"5.INVESTMENT";#N/A,#N/A,FALSE,"6.공문";#N/A,#N/A,FALSE,"7.netinvest"}</definedName>
    <definedName name="혀" localSheetId="18" hidden="1">{#N/A,#N/A,FALSE,"1.CRITERIA";#N/A,#N/A,FALSE,"2.IS";#N/A,#N/A,FALSE,"3.BS";#N/A,#N/A,FALSE,"4.PER PL";#N/A,#N/A,FALSE,"5.INVESTMENT";#N/A,#N/A,FALSE,"6.공문";#N/A,#N/A,FALSE,"7.netinvest"}</definedName>
    <definedName name="혀" localSheetId="24"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3" hidden="1">{#N/A,#N/A,FALSE,"1.CRITERIA";#N/A,#N/A,FALSE,"2.IS";#N/A,#N/A,FALSE,"3.BS";#N/A,#N/A,FALSE,"4.PER PL";#N/A,#N/A,FALSE,"5.INVESTMENT";#N/A,#N/A,FALSE,"6.공문";#N/A,#N/A,FALSE,"7.netinvest"}</definedName>
    <definedName name="현금검증표" localSheetId="18" hidden="1">{#N/A,#N/A,FALSE,"1.CRITERIA";#N/A,#N/A,FALSE,"2.IS";#N/A,#N/A,FALSE,"3.BS";#N/A,#N/A,FALSE,"4.PER PL";#N/A,#N/A,FALSE,"5.INVESTMENT";#N/A,#N/A,FALSE,"6.공문";#N/A,#N/A,FALSE,"7.netinvest"}</definedName>
    <definedName name="현금검증표" localSheetId="24"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3" hidden="1">{#N/A,#N/A,FALSE,"Aging Summary";#N/A,#N/A,FALSE,"Ratio Analysis";#N/A,#N/A,FALSE,"Test 120 Day Accts";#N/A,#N/A,FALSE,"Tickmarks"}</definedName>
    <definedName name="현금등가물" localSheetId="18" hidden="1">{#N/A,#N/A,FALSE,"Aging Summary";#N/A,#N/A,FALSE,"Ratio Analysis";#N/A,#N/A,FALSE,"Test 120 Day Accts";#N/A,#N/A,FALSE,"Tickmarks"}</definedName>
    <definedName name="현금등가물" localSheetId="24"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3" hidden="1">{#N/A,#N/A,FALSE,"Aging Summary";#N/A,#N/A,FALSE,"Ratio Analysis";#N/A,#N/A,FALSE,"Test 120 Day Accts";#N/A,#N/A,FALSE,"Tickmarks"}</definedName>
    <definedName name="현금등가물및단기" localSheetId="18"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3" hidden="1">{#N/A,#N/A,FALSE,"Aging Summary";#N/A,#N/A,FALSE,"Ratio Analysis";#N/A,#N/A,FALSE,"Test 120 Day Accts";#N/A,#N/A,FALSE,"Tickmarks"}</definedName>
    <definedName name="현금흐름" localSheetId="18"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3" hidden="1">{#N/A,#N/A,FALSE,"현장 NCR 분석";#N/A,#N/A,FALSE,"현장품질감사";#N/A,#N/A,FALSE,"현장품질감사"}</definedName>
    <definedName name="현대건설" localSheetId="18" hidden="1">{#N/A,#N/A,FALSE,"현장 NCR 분석";#N/A,#N/A,FALSE,"현장품질감사";#N/A,#N/A,FALSE,"현장품질감사"}</definedName>
    <definedName name="현대건설" localSheetId="24" hidden="1">{#N/A,#N/A,FALSE,"현장 NCR 분석";#N/A,#N/A,FALSE,"현장품질감사";#N/A,#N/A,FALSE,"현장품질감사"}</definedName>
    <definedName name="현대건설" hidden="1">{#N/A,#N/A,FALSE,"현장 NCR 분석";#N/A,#N/A,FALSE,"현장품질감사";#N/A,#N/A,FALSE,"현장품질감사"}</definedName>
    <definedName name="현대백화점" localSheetId="23" hidden="1">{#N/A,#N/A,FALSE,"CCTV"}</definedName>
    <definedName name="현대백화점" localSheetId="18" hidden="1">{#N/A,#N/A,FALSE,"CCTV"}</definedName>
    <definedName name="현대백화점" localSheetId="24" hidden="1">{#N/A,#N/A,FALSE,"CCTV"}</definedName>
    <definedName name="현대백화점" hidden="1">{#N/A,#N/A,FALSE,"CCTV"}</definedName>
    <definedName name="현작성조서" localSheetId="23" hidden="1">{#N/A,#N/A,FALSE,"BS";#N/A,#N/A,FALSE,"PL";#N/A,#N/A,FALSE,"처분";#N/A,#N/A,FALSE,"현금";#N/A,#N/A,FALSE,"매출";#N/A,#N/A,FALSE,"원가";#N/A,#N/A,FALSE,"경영"}</definedName>
    <definedName name="현작성조서" localSheetId="18" hidden="1">{#N/A,#N/A,FALSE,"BS";#N/A,#N/A,FALSE,"PL";#N/A,#N/A,FALSE,"처분";#N/A,#N/A,FALSE,"현금";#N/A,#N/A,FALSE,"매출";#N/A,#N/A,FALSE,"원가";#N/A,#N/A,FALSE,"경영"}</definedName>
    <definedName name="현작성조서" localSheetId="24"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3" hidden="1">{#N/A,#N/A,FALSE,"Sheet6"}</definedName>
    <definedName name="현장사진" localSheetId="18" hidden="1">{#N/A,#N/A,FALSE,"Sheet6"}</definedName>
    <definedName name="현장사진" localSheetId="24" hidden="1">{#N/A,#N/A,FALSE,"Sheet6"}</definedName>
    <definedName name="현장사진" hidden="1">{#N/A,#N/A,FALSE,"Sheet6"}</definedName>
    <definedName name="현황" localSheetId="23" hidden="1">{#N/A,#N/A,TRUE,"Y생산";#N/A,#N/A,TRUE,"Y판매";#N/A,#N/A,TRUE,"Y총물량";#N/A,#N/A,TRUE,"Y능력";#N/A,#N/A,TRUE,"YKD"}</definedName>
    <definedName name="현황" localSheetId="18" hidden="1">{#N/A,#N/A,TRUE,"Y생산";#N/A,#N/A,TRUE,"Y판매";#N/A,#N/A,TRUE,"Y총물량";#N/A,#N/A,TRUE,"Y능력";#N/A,#N/A,TRUE,"YKD"}</definedName>
    <definedName name="현황" localSheetId="24" hidden="1">{#N/A,#N/A,TRUE,"Y생산";#N/A,#N/A,TRUE,"Y판매";#N/A,#N/A,TRUE,"Y총물량";#N/A,#N/A,TRUE,"Y능력";#N/A,#N/A,TRUE,"YKD"}</definedName>
    <definedName name="현황" hidden="1">{#N/A,#N/A,TRUE,"Y생산";#N/A,#N/A,TRUE,"Y판매";#N/A,#N/A,TRUE,"Y총물량";#N/A,#N/A,TRUE,"Y능력";#N/A,#N/A,TRUE,"YKD"}</definedName>
    <definedName name="호" localSheetId="23" hidden="1">{#N/A,#N/A,FALSE,"1.CRITERIA";#N/A,#N/A,FALSE,"2.IS";#N/A,#N/A,FALSE,"3.BS";#N/A,#N/A,FALSE,"4.PER PL";#N/A,#N/A,FALSE,"5.INVESTMENT";#N/A,#N/A,FALSE,"6.공문";#N/A,#N/A,FALSE,"7.netinvest"}</definedName>
    <definedName name="호" localSheetId="18" hidden="1">{#N/A,#N/A,FALSE,"1.CRITERIA";#N/A,#N/A,FALSE,"2.IS";#N/A,#N/A,FALSE,"3.BS";#N/A,#N/A,FALSE,"4.PER PL";#N/A,#N/A,FALSE,"5.INVESTMENT";#N/A,#N/A,FALSE,"6.공문";#N/A,#N/A,FALSE,"7.netinvest"}</definedName>
    <definedName name="호" localSheetId="24"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3" hidden="1">{"'용역비'!$A$4:$C$8"}</definedName>
    <definedName name="호ㅓ" localSheetId="18" hidden="1">{"'용역비'!$A$4:$C$8"}</definedName>
    <definedName name="호ㅓ" localSheetId="24" hidden="1">{"'용역비'!$A$4:$C$8"}</definedName>
    <definedName name="호ㅓ" hidden="1">{"'용역비'!$A$4:$C$8"}</definedName>
    <definedName name="호ㅓ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3" hidden="1">{#N/A,#N/A,FALSE,"CAM-G7";#N/A,#N/A,FALSE,"SPL";#N/A,#N/A,FALSE,"butt-in G7";#N/A,#N/A,FALSE,"dia-in G7";#N/A,#N/A,FALSE,"추가-STA G7"}</definedName>
    <definedName name="홇롷러ㅗㄹ호" localSheetId="18" hidden="1">{#N/A,#N/A,FALSE,"CAM-G7";#N/A,#N/A,FALSE,"SPL";#N/A,#N/A,FALSE,"butt-in G7";#N/A,#N/A,FALSE,"dia-in G7";#N/A,#N/A,FALSE,"추가-STA G7"}</definedName>
    <definedName name="홇롷러ㅗㄹ호" localSheetId="24" hidden="1">{#N/A,#N/A,FALSE,"CAM-G7";#N/A,#N/A,FALSE,"SPL";#N/A,#N/A,FALSE,"butt-in G7";#N/A,#N/A,FALSE,"dia-in G7";#N/A,#N/A,FALSE,"추가-STA G7"}</definedName>
    <definedName name="홇롷러ㅗㄹ호" hidden="1">{#N/A,#N/A,FALSE,"CAM-G7";#N/A,#N/A,FALSE,"SPL";#N/A,#N/A,FALSE,"butt-in G7";#N/A,#N/A,FALSE,"dia-in G7";#N/A,#N/A,FALSE,"추가-STA G7"}</definedName>
    <definedName name="홈ㄹ" localSheetId="23" hidden="1">{#N/A,#N/A,FALSE,"동부"}</definedName>
    <definedName name="홈ㄹ" localSheetId="18" hidden="1">{#N/A,#N/A,FALSE,"동부"}</definedName>
    <definedName name="홈ㄹ" localSheetId="24" hidden="1">{#N/A,#N/A,FALSE,"동부"}</definedName>
    <definedName name="홈ㄹ" hidden="1">{#N/A,#N/A,FALSE,"동부"}</definedName>
    <definedName name="홈에버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3" hidden="1">{"'용역비'!$A$4:$C$8"}</definedName>
    <definedName name="홍ㅇ호" localSheetId="18" hidden="1">{"'용역비'!$A$4:$C$8"}</definedName>
    <definedName name="홍ㅇ호" localSheetId="24" hidden="1">{"'용역비'!$A$4:$C$8"}</definedName>
    <definedName name="홍ㅇ호" hidden="1">{"'용역비'!$A$4:$C$8"}</definedName>
    <definedName name="홓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3" hidden="1">{#N/A,#N/A,TRUE,"대 차 대 조 표"}</definedName>
    <definedName name="화ㅚㅏㅑㅓㅏㅣ" localSheetId="18" hidden="1">{#N/A,#N/A,TRUE,"대 차 대 조 표"}</definedName>
    <definedName name="화ㅚㅏㅑㅓㅏㅣ" localSheetId="24" hidden="1">{#N/A,#N/A,TRUE,"대 차 대 조 표"}</definedName>
    <definedName name="화ㅚㅏㅑㅓㅏㅣ" hidden="1">{#N/A,#N/A,TRUE,"대 차 대 조 표"}</definedName>
    <definedName name="확정심사의견" localSheetId="23" hidden="1">{"'9월'!$F$38"}</definedName>
    <definedName name="확정심사의견" localSheetId="18" hidden="1">{"'9월'!$F$38"}</definedName>
    <definedName name="확정심사의견" localSheetId="24" hidden="1">{"'9월'!$F$38"}</definedName>
    <definedName name="확정심사의견" hidden="1">{"'9월'!$F$38"}</definedName>
    <definedName name="회" localSheetId="23" hidden="1">{#N/A,#N/A,FALSE,"동부"}</definedName>
    <definedName name="회" localSheetId="18" hidden="1">{#N/A,#N/A,FALSE,"동부"}</definedName>
    <definedName name="회" localSheetId="24" hidden="1">{#N/A,#N/A,FALSE,"동부"}</definedName>
    <definedName name="회" hidden="1">{#N/A,#N/A,FALSE,"동부"}</definedName>
    <definedName name="회색"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3" hidden="1">{#N/A,#N/A,FALSE,"1.CRITERIA";#N/A,#N/A,FALSE,"2.IS";#N/A,#N/A,FALSE,"3.BS";#N/A,#N/A,FALSE,"4.PER PL";#N/A,#N/A,FALSE,"5.INVESTMENT";#N/A,#N/A,FALSE,"6.공문";#N/A,#N/A,FALSE,"7.netinvest"}</definedName>
    <definedName name="효" localSheetId="18" hidden="1">{#N/A,#N/A,FALSE,"1.CRITERIA";#N/A,#N/A,FALSE,"2.IS";#N/A,#N/A,FALSE,"3.BS";#N/A,#N/A,FALSE,"4.PER PL";#N/A,#N/A,FALSE,"5.INVESTMENT";#N/A,#N/A,FALSE,"6.공문";#N/A,#N/A,FALSE,"7.netinvest"}</definedName>
    <definedName name="효" localSheetId="24"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3" hidden="1">{"'Firr(선)'!$AS$1:$AY$62","'Firr(사)'!$AS$1:$AY$62","'Firr(회)'!$AS$1:$AY$62","'Firr(선)'!$L$1:$V$62","'Firr(사)'!$L$1:$V$62","'Firr(회)'!$L$1:$V$62"}</definedName>
    <definedName name="효석" localSheetId="18" hidden="1">{"'Firr(선)'!$AS$1:$AY$62","'Firr(사)'!$AS$1:$AY$62","'Firr(회)'!$AS$1:$AY$62","'Firr(선)'!$L$1:$V$62","'Firr(사)'!$L$1:$V$62","'Firr(회)'!$L$1:$V$62"}</definedName>
    <definedName name="효석" localSheetId="24" hidden="1">{"'Firr(선)'!$AS$1:$AY$62","'Firr(사)'!$AS$1:$AY$62","'Firr(회)'!$AS$1:$AY$62","'Firr(선)'!$L$1:$V$62","'Firr(사)'!$L$1:$V$62","'Firr(회)'!$L$1:$V$62"}</definedName>
    <definedName name="효석" hidden="1">{"'Firr(선)'!$AS$1:$AY$62","'Firr(사)'!$AS$1:$AY$62","'Firr(회)'!$AS$1:$AY$62","'Firr(선)'!$L$1:$V$62","'Firr(사)'!$L$1:$V$62","'Firr(회)'!$L$1:$V$62"}</definedName>
    <definedName name="후" localSheetId="23" hidden="1">{#N/A,#N/A,FALSE,"1.CRITERIA";#N/A,#N/A,FALSE,"2.IS";#N/A,#N/A,FALSE,"3.BS";#N/A,#N/A,FALSE,"4.PER PL";#N/A,#N/A,FALSE,"5.INVESTMENT";#N/A,#N/A,FALSE,"6.공문";#N/A,#N/A,FALSE,"7.netinvest"}</definedName>
    <definedName name="후" localSheetId="18" hidden="1">{#N/A,#N/A,FALSE,"1.CRITERIA";#N/A,#N/A,FALSE,"2.IS";#N/A,#N/A,FALSE,"3.BS";#N/A,#N/A,FALSE,"4.PER PL";#N/A,#N/A,FALSE,"5.INVESTMENT";#N/A,#N/A,FALSE,"6.공문";#N/A,#N/A,FALSE,"7.netinvest"}</definedName>
    <definedName name="후" localSheetId="24"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3" hidden="1">{"'미착금액'!$A$4:$G$14"}</definedName>
    <definedName name="후후후" localSheetId="18" hidden="1">{"'미착금액'!$A$4:$G$14"}</definedName>
    <definedName name="후후후" localSheetId="24" hidden="1">{"'미착금액'!$A$4:$G$14"}</definedName>
    <definedName name="후후후" hidden="1">{"'미착금액'!$A$4:$G$14"}</definedName>
    <definedName name="훈민정음복사시트" localSheetId="23">BlankMacro1</definedName>
    <definedName name="훈민정음복사시트" localSheetId="18">BlankMacro1</definedName>
    <definedName name="훈민정음복사시트" localSheetId="24">BlankMacro1</definedName>
    <definedName name="훈민정음복사시트" localSheetId="1">BlankMacro1</definedName>
    <definedName name="훈민정음복사시트">BlankMacro1</definedName>
    <definedName name="훠호ㅓㅎ" localSheetId="23" hidden="1">{#N/A,#N/A,FALSE,"96 3월물량표";#N/A,#N/A,FALSE,"96 4월물량표";#N/A,#N/A,FALSE,"96 5월물량표"}</definedName>
    <definedName name="훠호ㅓㅎ" localSheetId="18" hidden="1">{#N/A,#N/A,FALSE,"96 3월물량표";#N/A,#N/A,FALSE,"96 4월물량표";#N/A,#N/A,FALSE,"96 5월물량표"}</definedName>
    <definedName name="훠호ㅓㅎ" localSheetId="24" hidden="1">{#N/A,#N/A,FALSE,"96 3월물량표";#N/A,#N/A,FALSE,"96 4월물량표";#N/A,#N/A,FALSE,"96 5월물량표"}</definedName>
    <definedName name="훠호ㅓㅎ" hidden="1">{#N/A,#N/A,FALSE,"96 3월물량표";#N/A,#N/A,FALSE,"96 4월물량표";#N/A,#N/A,FALSE,"96 5월물량표"}</definedName>
    <definedName name="휴" localSheetId="23" hidden="1">{#N/A,#N/A,FALSE,"1.CRITERIA";#N/A,#N/A,FALSE,"2.IS";#N/A,#N/A,FALSE,"3.BS";#N/A,#N/A,FALSE,"4.PER PL";#N/A,#N/A,FALSE,"5.INVESTMENT";#N/A,#N/A,FALSE,"6.공문";#N/A,#N/A,FALSE,"7.netinvest"}</definedName>
    <definedName name="휴" localSheetId="18" hidden="1">{#N/A,#N/A,FALSE,"1.CRITERIA";#N/A,#N/A,FALSE,"2.IS";#N/A,#N/A,FALSE,"3.BS";#N/A,#N/A,FALSE,"4.PER PL";#N/A,#N/A,FALSE,"5.INVESTMENT";#N/A,#N/A,FALSE,"6.공문";#N/A,#N/A,FALSE,"7.netinvest"}</definedName>
    <definedName name="휴" localSheetId="24"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3" hidden="1">{#N/A,#N/A,FALSE,"1.CRITERIA";#N/A,#N/A,FALSE,"2.IS";#N/A,#N/A,FALSE,"3.BS";#N/A,#N/A,FALSE,"4.PER PL";#N/A,#N/A,FALSE,"5.INVESTMENT";#N/A,#N/A,FALSE,"6.공문";#N/A,#N/A,FALSE,"7.netinvest"}</definedName>
    <definedName name="흐" localSheetId="18"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3" hidden="1">{#N/A,#N/A,FALSE,"BS";#N/A,#N/A,FALSE,"PL";#N/A,#N/A,FALSE,"처분";#N/A,#N/A,FALSE,"현금";#N/A,#N/A,FALSE,"매출";#N/A,#N/A,FALSE,"원가";#N/A,#N/A,FALSE,"경영"}</definedName>
    <definedName name="흐름" localSheetId="18" hidden="1">{#N/A,#N/A,FALSE,"BS";#N/A,#N/A,FALSE,"PL";#N/A,#N/A,FALSE,"처분";#N/A,#N/A,FALSE,"현금";#N/A,#N/A,FALSE,"매출";#N/A,#N/A,FALSE,"원가";#N/A,#N/A,FALSE,"경영"}</definedName>
    <definedName name="흐름" localSheetId="24"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3" hidden="1">{#N/A,#N/A,FALSE,"이력서&amp;자기소개서"}</definedName>
    <definedName name="희진" localSheetId="18" hidden="1">{#N/A,#N/A,FALSE,"이력서&amp;자기소개서"}</definedName>
    <definedName name="희진" localSheetId="24" hidden="1">{#N/A,#N/A,FALSE,"이력서&amp;자기소개서"}</definedName>
    <definedName name="희진" hidden="1">{#N/A,#N/A,FALSE,"이력서&amp;자기소개서"}</definedName>
    <definedName name="ㅏ" localSheetId="23" hidden="1">{#N/A,#N/A,FALSE,"BS";#N/A,#N/A,FALSE,"PL";#N/A,#N/A,FALSE,"처분";#N/A,#N/A,FALSE,"현금";#N/A,#N/A,FALSE,"매출";#N/A,#N/A,FALSE,"원가";#N/A,#N/A,FALSE,"경영"}</definedName>
    <definedName name="ㅏ" localSheetId="18" hidden="1">{#N/A,#N/A,FALSE,"BS";#N/A,#N/A,FALSE,"PL";#N/A,#N/A,FALSE,"처분";#N/A,#N/A,FALSE,"현금";#N/A,#N/A,FALSE,"매출";#N/A,#N/A,FALSE,"원가";#N/A,#N/A,FALSE,"경영"}</definedName>
    <definedName name="ㅏ" localSheetId="24"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3" hidden="1">{#N/A,#N/A,FALSE,"견적갑지";#N/A,#N/A,FALSE,"총괄표";#N/A,#N/A,FALSE,"철골공사";#N/A,#N/A,FALSE,"토목공사";#N/A,#N/A,FALSE,"판넬전기공사"}</definedName>
    <definedName name="ㅏㅅ" localSheetId="18" hidden="1">{#N/A,#N/A,FALSE,"견적갑지";#N/A,#N/A,FALSE,"총괄표";#N/A,#N/A,FALSE,"철골공사";#N/A,#N/A,FALSE,"토목공사";#N/A,#N/A,FALSE,"판넬전기공사"}</definedName>
    <definedName name="ㅏㅅ" localSheetId="24"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3" hidden="1">{#N/A,#N/A,FALSE,"동부"}</definedName>
    <definedName name="ㅏㅇ" localSheetId="18" hidden="1">{#N/A,#N/A,FALSE,"동부"}</definedName>
    <definedName name="ㅏㅇ" localSheetId="24" hidden="1">{#N/A,#N/A,FALSE,"동부"}</definedName>
    <definedName name="ㅏㅇ" hidden="1">{#N/A,#N/A,FALSE,"동부"}</definedName>
    <definedName name="ㅏ앙"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3" hidden="1">{#N/A,#N/A,FALSE,"이력서&amp;자기소개서"}</definedName>
    <definedName name="ㅏㅏ" localSheetId="18" hidden="1">{#N/A,#N/A,FALSE,"이력서&amp;자기소개서"}</definedName>
    <definedName name="ㅏㅏ" localSheetId="24" hidden="1">{#N/A,#N/A,FALSE,"이력서&amp;자기소개서"}</definedName>
    <definedName name="ㅏㅏ" hidden="1">{#N/A,#N/A,FALSE,"이력서&amp;자기소개서"}</definedName>
    <definedName name="ㅏㅏㅏ"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3" hidden="1">{#N/A,#N/A,FALSE,"동부"}</definedName>
    <definedName name="ㅏㅓㅇ" localSheetId="18" hidden="1">{#N/A,#N/A,FALSE,"동부"}</definedName>
    <definedName name="ㅏㅓㅇ" localSheetId="24" hidden="1">{#N/A,#N/A,FALSE,"동부"}</definedName>
    <definedName name="ㅏㅓㅇ" hidden="1">{#N/A,#N/A,FALSE,"동부"}</definedName>
    <definedName name="ㅏㅓㅗㅎㄹㅇ" localSheetId="23" hidden="1">{"AJD",#N/A,TRUE,"Summary";"AJD",#N/A,TRUE,"CFCONC-outputs";"AJD",#N/A,TRUE,"P&amp;LCONC-outputs";"AJD",#N/A,TRUE,"BSCONC-outputs";"AJD",#N/A,TRUE,"FSCONC-outputs"}</definedName>
    <definedName name="ㅏㅓㅗㅎㄹㅇ" localSheetId="18" hidden="1">{"AJD",#N/A,TRUE,"Summary";"AJD",#N/A,TRUE,"CFCONC-outputs";"AJD",#N/A,TRUE,"P&amp;LCONC-outputs";"AJD",#N/A,TRUE,"BSCONC-outputs";"AJD",#N/A,TRUE,"FSCONC-outputs"}</definedName>
    <definedName name="ㅏㅓㅗㅎㄹㅇ" localSheetId="24"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3" hidden="1">{"OpCostIn Technical",#N/A,FALSE,"Operations Cost Inputs";"OpCostIn V plus F",#N/A,FALSE,"Operations Cost Inputs";"OpCostIn Maint",#N/A,FALSE,"Operations Cost Inputs";"OpCostIn LDs Add Cost",#N/A,FALSE,"Operations Cost Inputs"}</definedName>
    <definedName name="ㅏㅗㅎㅇ러" localSheetId="18" hidden="1">{"OpCostIn Technical",#N/A,FALSE,"Operations Cost Inputs";"OpCostIn V plus F",#N/A,FALSE,"Operations Cost Inputs";"OpCostIn Maint",#N/A,FALSE,"Operations Cost Inputs";"OpCostIn LDs Add Cost",#N/A,FALSE,"Operations Cost Inputs"}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3" hidden="1">{#N/A,#N/A,FALSE,"동부"}</definedName>
    <definedName name="ㅏㅛㅅ됴" localSheetId="18" hidden="1">{#N/A,#N/A,FALSE,"동부"}</definedName>
    <definedName name="ㅏㅛㅅ됴" localSheetId="24" hidden="1">{#N/A,#N/A,FALSE,"동부"}</definedName>
    <definedName name="ㅏㅛㅅ됴" hidden="1">{#N/A,#N/A,FALSE,"동부"}</definedName>
    <definedName name="ㅐㅐㅐ" localSheetId="23" hidden="1">{#N/A,#N/A,FALSE,"지침";#N/A,#N/A,FALSE,"환경분석";#N/A,#N/A,FALSE,"Sheet16"}</definedName>
    <definedName name="ㅐㅐㅐ" localSheetId="18" hidden="1">{#N/A,#N/A,FALSE,"지침";#N/A,#N/A,FALSE,"환경분석";#N/A,#N/A,FALSE,"Sheet16"}</definedName>
    <definedName name="ㅐㅐㅐ" localSheetId="24" hidden="1">{#N/A,#N/A,FALSE,"지침";#N/A,#N/A,FALSE,"환경분석";#N/A,#N/A,FALSE,"Sheet16"}</definedName>
    <definedName name="ㅐㅐㅐ" hidden="1">{#N/A,#N/A,FALSE,"지침";#N/A,#N/A,FALSE,"환경분석";#N/A,#N/A,FALSE,"Sheet16"}</definedName>
    <definedName name="ㅐㅐㅐㅐㅐ" localSheetId="23" hidden="1">{"'7'!$B$15:$D$32"}</definedName>
    <definedName name="ㅐㅐㅐㅐㅐ" localSheetId="18" hidden="1">{"'7'!$B$15:$D$32"}</definedName>
    <definedName name="ㅐㅐㅐㅐㅐ" localSheetId="24" hidden="1">{"'7'!$B$15:$D$32"}</definedName>
    <definedName name="ㅐㅐㅐㅐㅐ" hidden="1">{"'7'!$B$15:$D$32"}</definedName>
    <definedName name="ㅐㅐㅐㅐㅐㅐㅐㅐ" localSheetId="23" hidden="1">{"'7'!$B$15:$D$32"}</definedName>
    <definedName name="ㅐㅐㅐㅐㅐㅐㅐㅐ" localSheetId="18" hidden="1">{"'7'!$B$15:$D$32"}</definedName>
    <definedName name="ㅐㅐㅐㅐㅐㅐㅐㅐ" localSheetId="24" hidden="1">{"'7'!$B$15:$D$32"}</definedName>
    <definedName name="ㅐㅐㅐㅐㅐㅐㅐㅐ" hidden="1">{"'7'!$B$15:$D$32"}</definedName>
    <definedName name="ㅐㅑㅛ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3" hidden="1">{#N/A,#N/A,FALSE,"Aging Summary";#N/A,#N/A,FALSE,"Ratio Analysis";#N/A,#N/A,FALSE,"Test 120 Day Accts";#N/A,#N/A,FALSE,"Tickmarks"}</definedName>
    <definedName name="ㅑ" localSheetId="18" hidden="1">{#N/A,#N/A,FALSE,"Aging Summary";#N/A,#N/A,FALSE,"Ratio Analysis";#N/A,#N/A,FALSE,"Test 120 Day Accts";#N/A,#N/A,FALSE,"Tickmarks"}</definedName>
    <definedName name="ㅑ" localSheetId="24"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3" hidden="1">{"'용역비'!$A$4:$C$8"}</definedName>
    <definedName name="ㅑㅑ" localSheetId="18" hidden="1">{"'용역비'!$A$4:$C$8"}</definedName>
    <definedName name="ㅑㅑ" localSheetId="24" hidden="1">{"'용역비'!$A$4:$C$8"}</definedName>
    <definedName name="ㅑㅑ" hidden="1">{"'용역비'!$A$4:$C$8"}</definedName>
    <definedName name="ㅑㅑ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3" hidden="1">{"'용역비'!$A$4:$C$8"}</definedName>
    <definedName name="ㅑㅑㅑㅑㅑ" localSheetId="18" hidden="1">{"'용역비'!$A$4:$C$8"}</definedName>
    <definedName name="ㅑㅑㅑㅑㅑ" localSheetId="24" hidden="1">{"'용역비'!$A$4:$C$8"}</definedName>
    <definedName name="ㅑㅑㅑㅑㅑ" hidden="1">{"'용역비'!$A$4:$C$8"}</definedName>
    <definedName name="ㅑㅑㅑㅑㅑㅑ" localSheetId="23" hidden="1">{"'용역비'!$A$4:$C$8"}</definedName>
    <definedName name="ㅑㅑㅑㅑㅑㅑ" localSheetId="18" hidden="1">{"'용역비'!$A$4:$C$8"}</definedName>
    <definedName name="ㅑㅑㅑㅑㅑㅑ" localSheetId="24" hidden="1">{"'용역비'!$A$4:$C$8"}</definedName>
    <definedName name="ㅑㅑㅑㅑㅑㅑ" hidden="1">{"'용역비'!$A$4:$C$8"}</definedName>
    <definedName name="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3" hidden="1">{#N/A,#N/A,TRUE,"대 차 대 조 표"}</definedName>
    <definedName name="ㅑㅕㅓ고" localSheetId="18" hidden="1">{#N/A,#N/A,TRUE,"대 차 대 조 표"}</definedName>
    <definedName name="ㅑㅕㅓ고" localSheetId="24" hidden="1">{#N/A,#N/A,TRUE,"대 차 대 조 표"}</definedName>
    <definedName name="ㅑㅕㅓ고" hidden="1">{#N/A,#N/A,TRUE,"대 차 대 조 표"}</definedName>
    <definedName name="ㅑㅕㅕ" localSheetId="23" hidden="1">{"'용역비'!$A$4:$C$8"}</definedName>
    <definedName name="ㅑㅕㅕ" localSheetId="18" hidden="1">{"'용역비'!$A$4:$C$8"}</definedName>
    <definedName name="ㅑㅕㅕ" localSheetId="24" hidden="1">{"'용역비'!$A$4:$C$8"}</definedName>
    <definedName name="ㅑㅕㅕ" hidden="1">{"'용역비'!$A$4:$C$8"}</definedName>
    <definedName name="ㅓㄱㅎㄹ옿" localSheetId="23" hidden="1">{#N/A,#N/A,TRUE,"대 차 대 조 표"}</definedName>
    <definedName name="ㅓㄱㅎㄹ옿" localSheetId="18" hidden="1">{#N/A,#N/A,TRUE,"대 차 대 조 표"}</definedName>
    <definedName name="ㅓㄱㅎㄹ옿" localSheetId="24" hidden="1">{#N/A,#N/A,TRUE,"대 차 대 조 표"}</definedName>
    <definedName name="ㅓㄱㅎㄹ옿" hidden="1">{#N/A,#N/A,TRUE,"대 차 대 조 표"}</definedName>
    <definedName name="ㅓㄴ" localSheetId="23" hidden="1">{#N/A,#N/A,TRUE,"대 차 대 조 표"}</definedName>
    <definedName name="ㅓㄴ" localSheetId="18" hidden="1">{#N/A,#N/A,TRUE,"대 차 대 조 표"}</definedName>
    <definedName name="ㅓㄴ" localSheetId="24" hidden="1">{#N/A,#N/A,TRUE,"대 차 대 조 표"}</definedName>
    <definedName name="ㅓㄴ" hidden="1">{#N/A,#N/A,TRUE,"대 차 대 조 표"}</definedName>
    <definedName name="ㅓ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3" hidden="1">{#N/A,#N/A,TRUE,"대 차 대 조 표"}</definedName>
    <definedName name="ㅓ노" localSheetId="18" hidden="1">{#N/A,#N/A,TRUE,"대 차 대 조 표"}</definedName>
    <definedName name="ㅓ노" localSheetId="24" hidden="1">{#N/A,#N/A,TRUE,"대 차 대 조 표"}</definedName>
    <definedName name="ㅓ노" hidden="1">{#N/A,#N/A,TRUE,"대 차 대 조 표"}</definedName>
    <definedName name="ㅓㄹ온" localSheetId="23" hidden="1">{#N/A,#N/A,FALSE,"동부"}</definedName>
    <definedName name="ㅓㄹ온" localSheetId="18" hidden="1">{#N/A,#N/A,FALSE,"동부"}</definedName>
    <definedName name="ㅓㄹ온" localSheetId="24" hidden="1">{#N/A,#N/A,FALSE,"동부"}</definedName>
    <definedName name="ㅓㄹ온" hidden="1">{#N/A,#N/A,FALSE,"동부"}</definedName>
    <definedName name="ㅓㅎㄹㄴ" localSheetId="23" hidden="1">{#N/A,#N/A,FALSE,"동부"}</definedName>
    <definedName name="ㅓㅎㄹㄴ" localSheetId="18" hidden="1">{#N/A,#N/A,FALSE,"동부"}</definedName>
    <definedName name="ㅓㅎㄹㄴ" localSheetId="24" hidden="1">{#N/A,#N/A,FALSE,"동부"}</definedName>
    <definedName name="ㅓㅎㄹㄴ" hidden="1">{#N/A,#N/A,FALSE,"동부"}</definedName>
    <definedName name="ㅓㅎㄹ논" localSheetId="23" hidden="1">{#N/A,#N/A,TRUE,"대 차 대 조 표"}</definedName>
    <definedName name="ㅓㅎㄹ논" localSheetId="18" hidden="1">{#N/A,#N/A,TRUE,"대 차 대 조 표"}</definedName>
    <definedName name="ㅓㅎㄹ논" localSheetId="24" hidden="1">{#N/A,#N/A,TRUE,"대 차 대 조 표"}</definedName>
    <definedName name="ㅓㅎㄹ논" hidden="1">{#N/A,#N/A,TRUE,"대 차 대 조 표"}</definedName>
    <definedName name="ㅓㅎ로" localSheetId="23" hidden="1">{"AJD",#N/A,TRUE,"Summary";"AJD",#N/A,TRUE,"CFCONC-outputs";"AJD",#N/A,TRUE,"P&amp;LCONC-outputs";"AJD",#N/A,TRUE,"BSCONC-outputs";"AJD",#N/A,TRUE,"FSCONC-outputs"}</definedName>
    <definedName name="ㅓㅎ로" localSheetId="18" hidden="1">{"AJD",#N/A,TRUE,"Summary";"AJD",#N/A,TRUE,"CFCONC-outputs";"AJD",#N/A,TRUE,"P&amp;LCONC-outputs";"AJD",#N/A,TRUE,"BSCONC-outputs";"AJD",#N/A,TRUE,"FSCONC-outputs"}</definedName>
    <definedName name="ㅓㅎ로" localSheetId="24"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3" hidden="1">{#N/A,#N/A,TRUE,"대 차 대 조 표"}</definedName>
    <definedName name="ㅓㅏ" localSheetId="18" hidden="1">{#N/A,#N/A,TRUE,"대 차 대 조 표"}</definedName>
    <definedName name="ㅓㅏ" localSheetId="24" hidden="1">{#N/A,#N/A,TRUE,"대 차 대 조 표"}</definedName>
    <definedName name="ㅓㅏ" hidden="1">{#N/A,#N/A,TRUE,"대 차 대 조 표"}</definedName>
    <definedName name="ㅓㅏ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3" hidden="1">{#N/A,#N/A,FALSE,"97년 투자계획 세부내역 "}</definedName>
    <definedName name="ㅓㅓㅓ" localSheetId="18" hidden="1">{#N/A,#N/A,FALSE,"97년 투자계획 세부내역 "}</definedName>
    <definedName name="ㅓㅓㅓ" localSheetId="24" hidden="1">{#N/A,#N/A,FALSE,"97년 투자계획 세부내역 "}</definedName>
    <definedName name="ㅓㅓㅓ" hidden="1">{#N/A,#N/A,FALSE,"97년 투자계획 세부내역 "}</definedName>
    <definedName name="ㅓㅓ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3" hidden="1">{#N/A,#N/A,FALSE,"동부"}</definedName>
    <definedName name="ㅓㅗㅎㄹㅇㄴ" localSheetId="18" hidden="1">{#N/A,#N/A,FALSE,"동부"}</definedName>
    <definedName name="ㅓㅗㅎㄹㅇㄴ" localSheetId="24" hidden="1">{#N/A,#N/A,FALSE,"동부"}</definedName>
    <definedName name="ㅓㅗㅎㄹㅇㄴ" hidden="1">{#N/A,#N/A,FALSE,"동부"}</definedName>
    <definedName name="ㅔ" localSheetId="23" hidden="1">{#N/A,#N/A,TRUE,"대 차 대 조 표"}</definedName>
    <definedName name="ㅔ" localSheetId="18" hidden="1">{#N/A,#N/A,TRUE,"대 차 대 조 표"}</definedName>
    <definedName name="ㅔ" localSheetId="24" hidden="1">{#N/A,#N/A,TRUE,"대 차 대 조 표"}</definedName>
    <definedName name="ㅔ" hidden="1">{#N/A,#N/A,TRUE,"대 차 대 조 표"}</definedName>
    <definedName name="ㅔㅣ" localSheetId="23" hidden="1">{"'용역비'!$A$4:$C$8"}</definedName>
    <definedName name="ㅔㅣ" localSheetId="18" hidden="1">{"'용역비'!$A$4:$C$8"}</definedName>
    <definedName name="ㅔㅣ" localSheetId="24" hidden="1">{"'용역비'!$A$4:$C$8"}</definedName>
    <definedName name="ㅔㅣ" hidden="1">{"'용역비'!$A$4:$C$8"}</definedName>
    <definedName name="ㅕ" localSheetId="23" hidden="1">{#N/A,#N/A,FALSE,"BS";#N/A,#N/A,FALSE,"PL";#N/A,#N/A,FALSE,"처분";#N/A,#N/A,FALSE,"현금";#N/A,#N/A,FALSE,"매출";#N/A,#N/A,FALSE,"원가";#N/A,#N/A,FALSE,"경영"}</definedName>
    <definedName name="ㅕ" localSheetId="18" hidden="1">{#N/A,#N/A,FALSE,"BS";#N/A,#N/A,FALSE,"PL";#N/A,#N/A,FALSE,"처분";#N/A,#N/A,FALSE,"현금";#N/A,#N/A,FALSE,"매출";#N/A,#N/A,FALSE,"원가";#N/A,#N/A,FALSE,"경영"}</definedName>
    <definedName name="ㅕ" localSheetId="24"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3" hidden="1">{#N/A,#N/A,TRUE,"대 차 대 조 표"}</definedName>
    <definedName name="ㅕㄷ" localSheetId="18" hidden="1">{#N/A,#N/A,TRUE,"대 차 대 조 표"}</definedName>
    <definedName name="ㅕㄷ" localSheetId="24" hidden="1">{#N/A,#N/A,TRUE,"대 차 대 조 표"}</definedName>
    <definedName name="ㅕㄷ" hidden="1">{#N/A,#N/A,TRUE,"대 차 대 조 표"}</definedName>
    <definedName name="ㅕㄹㅇ려ㅗ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3" hidden="1">{#N/A,#N/A,FALSE,"96 3월물량표";#N/A,#N/A,FALSE,"96 4월물량표";#N/A,#N/A,FALSE,"96 5월물량표"}</definedName>
    <definedName name="ㅕㅏㅑㅣ" localSheetId="18" hidden="1">{#N/A,#N/A,FALSE,"96 3월물량표";#N/A,#N/A,FALSE,"96 4월물량표";#N/A,#N/A,FALSE,"96 5월물량표"}</definedName>
    <definedName name="ㅕㅏㅑㅣ" localSheetId="24" hidden="1">{#N/A,#N/A,FALSE,"96 3월물량표";#N/A,#N/A,FALSE,"96 4월물량표";#N/A,#N/A,FALSE,"96 5월물량표"}</definedName>
    <definedName name="ㅕㅏㅑㅣ" hidden="1">{#N/A,#N/A,FALSE,"96 3월물량표";#N/A,#N/A,FALSE,"96 4월물량표";#N/A,#N/A,FALSE,"96 5월물량표"}</definedName>
    <definedName name="ㅕㅑ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3" hidden="1">{#N/A,#N/A,TRUE,"대 차 대 조 표"}</definedName>
    <definedName name="ㅕㅓ" localSheetId="18" hidden="1">{#N/A,#N/A,TRUE,"대 차 대 조 표"}</definedName>
    <definedName name="ㅕㅓ" localSheetId="24" hidden="1">{#N/A,#N/A,TRUE,"대 차 대 조 표"}</definedName>
    <definedName name="ㅕㅓ" hidden="1">{#N/A,#N/A,TRUE,"대 차 대 조 표"}</definedName>
    <definedName name="ㅗ" localSheetId="23" hidden="1">{#N/A,#N/A,FALSE,"BS";#N/A,#N/A,FALSE,"PL";#N/A,#N/A,FALSE,"처분";#N/A,#N/A,FALSE,"현금";#N/A,#N/A,FALSE,"매출";#N/A,#N/A,FALSE,"원가";#N/A,#N/A,FALSE,"경영"}</definedName>
    <definedName name="ㅗ" localSheetId="18" hidden="1">{#N/A,#N/A,FALSE,"BS";#N/A,#N/A,FALSE,"PL";#N/A,#N/A,FALSE,"처분";#N/A,#N/A,FALSE,"현금";#N/A,#N/A,FALSE,"매출";#N/A,#N/A,FALSE,"원가";#N/A,#N/A,FALSE,"경영"}</definedName>
    <definedName name="ㅗ" localSheetId="24"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3" hidden="1">{#N/A,#N/A,FALSE,"동부"}</definedName>
    <definedName name="ㅗㄴㄹㅇㄴ" localSheetId="18" hidden="1">{#N/A,#N/A,FALSE,"동부"}</definedName>
    <definedName name="ㅗㄴㄹㅇㄴ" localSheetId="24" hidden="1">{#N/A,#N/A,FALSE,"동부"}</definedName>
    <definedName name="ㅗㄴㄹㅇㄴ" hidden="1">{#N/A,#N/A,FALSE,"동부"}</definedName>
    <definedName name="ㅗㄴㅇㅇㄷ" localSheetId="23" hidden="1">{#N/A,#N/A,FALSE,"동부"}</definedName>
    <definedName name="ㅗㄴㅇㅇㄷ" localSheetId="18" hidden="1">{#N/A,#N/A,FALSE,"동부"}</definedName>
    <definedName name="ㅗㄴㅇㅇㄷ" localSheetId="24" hidden="1">{#N/A,#N/A,FALSE,"동부"}</definedName>
    <definedName name="ㅗㄴㅇㅇㄷ" hidden="1">{#N/A,#N/A,FALSE,"동부"}</definedName>
    <definedName name="ㅗ노" localSheetId="23" hidden="1">{#N/A,#N/A,TRUE,"대 차 대 조 표"}</definedName>
    <definedName name="ㅗ노" localSheetId="18" hidden="1">{#N/A,#N/A,TRUE,"대 차 대 조 표"}</definedName>
    <definedName name="ㅗ노" localSheetId="24" hidden="1">{#N/A,#N/A,TRUE,"대 차 대 조 표"}</definedName>
    <definedName name="ㅗ노" hidden="1">{#N/A,#N/A,TRUE,"대 차 대 조 표"}</definedName>
    <definedName name="ㅗㄷ" localSheetId="23" hidden="1">{#N/A,#N/A,FALSE,"동부"}</definedName>
    <definedName name="ㅗㄷ" localSheetId="18" hidden="1">{#N/A,#N/A,FALSE,"동부"}</definedName>
    <definedName name="ㅗㄷ" localSheetId="24" hidden="1">{#N/A,#N/A,FALSE,"동부"}</definedName>
    <definedName name="ㅗㄷ" hidden="1">{#N/A,#N/A,FALSE,"동부"}</definedName>
    <definedName name="ㅗㄹㄴ" localSheetId="23" hidden="1">{#N/A,#N/A,TRUE,"대 차 대 조 표"}</definedName>
    <definedName name="ㅗㄹㄴ" localSheetId="18" hidden="1">{#N/A,#N/A,TRUE,"대 차 대 조 표"}</definedName>
    <definedName name="ㅗㄹㄴ" localSheetId="24" hidden="1">{#N/A,#N/A,TRUE,"대 차 대 조 표"}</definedName>
    <definedName name="ㅗㄹㄴ" hidden="1">{#N/A,#N/A,TRUE,"대 차 대 조 표"}</definedName>
    <definedName name="ㅗㄹㅇ" localSheetId="23" hidden="1">{#N/A,#N/A,FALSE,"동부"}</definedName>
    <definedName name="ㅗㄹㅇ" localSheetId="18" hidden="1">{#N/A,#N/A,FALSE,"동부"}</definedName>
    <definedName name="ㅗㄹㅇ" localSheetId="24" hidden="1">{#N/A,#N/A,FALSE,"동부"}</definedName>
    <definedName name="ㅗㄹㅇ" hidden="1">{#N/A,#N/A,FALSE,"동부"}</definedName>
    <definedName name="ㅗㄹㅇㅁ" localSheetId="23" hidden="1">{"OpCostIn Technical",#N/A,FALSE,"Operations Cost Inputs";"OpCostIn V plus F",#N/A,FALSE,"Operations Cost Inputs";"OpCostIn Maint",#N/A,FALSE,"Operations Cost Inputs";"OpCostIn LDs Add Cost",#N/A,FALSE,"Operations Cost Inputs"}</definedName>
    <definedName name="ㅗㄹㅇㅁ" localSheetId="18" hidden="1">{"OpCostIn Technical",#N/A,FALSE,"Operations Cost Inputs";"OpCostIn V plus F",#N/A,FALSE,"Operations Cost Inputs";"OpCostIn Maint",#N/A,FALSE,"Operations Cost Inputs";"OpCostIn LDs Add Cost",#N/A,FALSE,"Operations Cost Inputs"}</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3" hidden="1">{#N/A,#N/A,FALSE,"CAM-G7";#N/A,#N/A,FALSE,"SPL";#N/A,#N/A,FALSE,"butt-in G7";#N/A,#N/A,FALSE,"dia-in G7";#N/A,#N/A,FALSE,"추가-STA G7"}</definedName>
    <definedName name="ㅗ로ㅓㅗㅓ허ㅏ" localSheetId="18" hidden="1">{#N/A,#N/A,FALSE,"CAM-G7";#N/A,#N/A,FALSE,"SPL";#N/A,#N/A,FALSE,"butt-in G7";#N/A,#N/A,FALSE,"dia-in G7";#N/A,#N/A,FALSE,"추가-STA G7"}</definedName>
    <definedName name="ㅗ로ㅓㅗㅓ허ㅏ" localSheetId="24"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3" hidden="1">{#N/A,#N/A,FALSE,"동부"}</definedName>
    <definedName name="ㅗㅅㄶㄹ" localSheetId="18" hidden="1">{#N/A,#N/A,FALSE,"동부"}</definedName>
    <definedName name="ㅗㅅㄶㄹ" localSheetId="24" hidden="1">{#N/A,#N/A,FALSE,"동부"}</definedName>
    <definedName name="ㅗㅅㄶㄹ" hidden="1">{#N/A,#N/A,FALSE,"동부"}</definedName>
    <definedName name="ㅗㅇㄴ" localSheetId="23" hidden="1">{"AJD",#N/A,TRUE,"Summary";"AJD",#N/A,TRUE,"CFCONC-outputs";"AJD",#N/A,TRUE,"P&amp;LCONC-outputs";"AJD",#N/A,TRUE,"BSCONC-outputs";"AJD",#N/A,TRUE,"FSCONC-outputs"}</definedName>
    <definedName name="ㅗㅇㄴ" localSheetId="18" hidden="1">{"AJD",#N/A,TRUE,"Summary";"AJD",#N/A,TRUE,"CFCONC-outputs";"AJD",#N/A,TRUE,"P&amp;LCONC-outputs";"AJD",#N/A,TRUE,"BSCONC-outputs";"AJD",#N/A,TRUE,"FSCONC-outputs"}</definedName>
    <definedName name="ㅗㅇㄴ" localSheetId="24"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3" hidden="1">{#N/A,#N/A,FALSE,"동부"}</definedName>
    <definedName name="ㅗㅎㄴ" localSheetId="18" hidden="1">{#N/A,#N/A,FALSE,"동부"}</definedName>
    <definedName name="ㅗㅎㄴ" localSheetId="24" hidden="1">{#N/A,#N/A,FALSE,"동부"}</definedName>
    <definedName name="ㅗㅎㄴ" hidden="1">{#N/A,#N/A,FALSE,"동부"}</definedName>
    <definedName name="ㅗㅎ롯" localSheetId="23" hidden="1">{#N/A,#N/A,TRUE,"대 차 대 조 표"}</definedName>
    <definedName name="ㅗㅎ롯" localSheetId="18" hidden="1">{#N/A,#N/A,TRUE,"대 차 대 조 표"}</definedName>
    <definedName name="ㅗㅎ롯" localSheetId="24" hidden="1">{#N/A,#N/A,TRUE,"대 차 대 조 표"}</definedName>
    <definedName name="ㅗㅎ롯" hidden="1">{#N/A,#N/A,TRUE,"대 차 대 조 표"}</definedName>
    <definedName name="ㅗㅎㅀㄹ" localSheetId="23" hidden="1">{#N/A,#N/A,FALSE,"동부"}</definedName>
    <definedName name="ㅗㅎㅀㄹ" localSheetId="18" hidden="1">{#N/A,#N/A,FALSE,"동부"}</definedName>
    <definedName name="ㅗㅎㅀㄹ" localSheetId="24" hidden="1">{#N/A,#N/A,FALSE,"동부"}</definedName>
    <definedName name="ㅗㅎㅀㄹ" hidden="1">{#N/A,#N/A,FALSE,"동부"}</definedName>
    <definedName name="ㅗㅎㅎ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3" hidden="1">{#N/A,#N/A,FALSE,"CCTV"}</definedName>
    <definedName name="ㅗ하ㅣㄴ어ㅗ뢔ㅑㅇㅈ" localSheetId="18" hidden="1">{#N/A,#N/A,FALSE,"CCTV"}</definedName>
    <definedName name="ㅗ하ㅣㄴ어ㅗ뢔ㅑㅇㅈ" localSheetId="24" hidden="1">{#N/A,#N/A,FALSE,"CCTV"}</definedName>
    <definedName name="ㅗ하ㅣㄴ어ㅗ뢔ㅑㅇㅈ" hidden="1">{#N/A,#N/A,FALSE,"CCTV"}</definedName>
    <definedName name="ㅗ허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3" hidden="1">{#N/A,#N/A,TRUE,"대 차 대 조 표"}</definedName>
    <definedName name="ㅗㅓ" localSheetId="18" hidden="1">{#N/A,#N/A,TRUE,"대 차 대 조 표"}</definedName>
    <definedName name="ㅗㅓ" localSheetId="24" hidden="1">{#N/A,#N/A,TRUE,"대 차 대 조 표"}</definedName>
    <definedName name="ㅗㅓ" hidden="1">{#N/A,#N/A,TRUE,"대 차 대 조 표"}</definedName>
    <definedName name="ㅗㅓㅅㄱㅈㅅ" localSheetId="23" hidden="1">{#N/A,#N/A,FALSE,"동부"}</definedName>
    <definedName name="ㅗㅓㅅㄱㅈㅅ" localSheetId="18" hidden="1">{#N/A,#N/A,FALSE,"동부"}</definedName>
    <definedName name="ㅗㅓㅅㄱㅈㅅ" localSheetId="24" hidden="1">{#N/A,#N/A,FALSE,"동부"}</definedName>
    <definedName name="ㅗㅓㅅㄱㅈㅅ" hidden="1">{#N/A,#N/A,FALSE,"동부"}</definedName>
    <definedName name="ㅗㅓ하ㅓ하ㅓㅗ" localSheetId="23" hidden="1">{#N/A,#N/A,FALSE,"CAM-G7";#N/A,#N/A,FALSE,"SPL";#N/A,#N/A,FALSE,"butt-in G7";#N/A,#N/A,FALSE,"dia-in G7";#N/A,#N/A,FALSE,"추가-STA G7"}</definedName>
    <definedName name="ㅗㅓ하ㅓ하ㅓㅗ" localSheetId="18" hidden="1">{#N/A,#N/A,FALSE,"CAM-G7";#N/A,#N/A,FALSE,"SPL";#N/A,#N/A,FALSE,"butt-in G7";#N/A,#N/A,FALSE,"dia-in G7";#N/A,#N/A,FALSE,"추가-STA G7"}</definedName>
    <definedName name="ㅗㅓ하ㅓ하ㅓㅗ" localSheetId="24"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3" hidden="1">{#N/A,#N/A,FALSE,"업체선정";#N/A,#N/A,FALSE,"업체선정sheet";#N/A,#N/A,FALSE,"업체실태";#N/A,#N/A,FALSE,"업체실태(1)";#N/A,#N/A,FALSE,"종업원현황(2)";#N/A,#N/A,FALSE,"생산품목(3)";#N/A,#N/A,FALSE,"장비보유현황";#N/A,#N/A,FALSE,"차량및약도";#N/A,#N/A,FALSE,"금형LIST"}</definedName>
    <definedName name="ㅗㅓㅣ" localSheetId="18" hidden="1">{#N/A,#N/A,FALSE,"업체선정";#N/A,#N/A,FALSE,"업체선정sheet";#N/A,#N/A,FALSE,"업체실태";#N/A,#N/A,FALSE,"업체실태(1)";#N/A,#N/A,FALSE,"종업원현황(2)";#N/A,#N/A,FALSE,"생산품목(3)";#N/A,#N/A,FALSE,"장비보유현황";#N/A,#N/A,FALSE,"차량및약도";#N/A,#N/A,FALSE,"금형LIST"}</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3" hidden="1">{#N/A,#N/A,FALSE,"단축1";#N/A,#N/A,FALSE,"단축2";#N/A,#N/A,FALSE,"단축3";#N/A,#N/A,FALSE,"장축";#N/A,#N/A,FALSE,"4WD"}</definedName>
    <definedName name="ㅗㅓㅣㅕ" localSheetId="18" hidden="1">{#N/A,#N/A,FALSE,"단축1";#N/A,#N/A,FALSE,"단축2";#N/A,#N/A,FALSE,"단축3";#N/A,#N/A,FALSE,"장축";#N/A,#N/A,FALSE,"4WD"}</definedName>
    <definedName name="ㅗㅓㅣㅕ" localSheetId="24" hidden="1">{#N/A,#N/A,FALSE,"단축1";#N/A,#N/A,FALSE,"단축2";#N/A,#N/A,FALSE,"단축3";#N/A,#N/A,FALSE,"장축";#N/A,#N/A,FALSE,"4WD"}</definedName>
    <definedName name="ㅗㅓㅣㅕ" hidden="1">{#N/A,#N/A,FALSE,"단축1";#N/A,#N/A,FALSE,"단축2";#N/A,#N/A,FALSE,"단축3";#N/A,#N/A,FALSE,"장축";#N/A,#N/A,FALSE,"4WD"}</definedName>
    <definedName name="ㅗㅗ" localSheetId="23" hidden="1">{#N/A,#N/A,FALSE,"동부"}</definedName>
    <definedName name="ㅗㅗ" localSheetId="18" hidden="1">{#N/A,#N/A,FALSE,"동부"}</definedName>
    <definedName name="ㅗㅗ" localSheetId="24" hidden="1">{#N/A,#N/A,FALSE,"동부"}</definedName>
    <definedName name="ㅗㅗ" hidden="1">{#N/A,#N/A,FALSE,"동부"}</definedName>
    <definedName name="ㅗ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3" hidden="1">{#N/A,#N/A,TRUE,"Y생산";#N/A,#N/A,TRUE,"Y판매";#N/A,#N/A,TRUE,"Y총물량";#N/A,#N/A,TRUE,"Y능력";#N/A,#N/A,TRUE,"YKD"}</definedName>
    <definedName name="ㅘㅓㅣ" localSheetId="18" hidden="1">{#N/A,#N/A,TRUE,"Y생산";#N/A,#N/A,TRUE,"Y판매";#N/A,#N/A,TRUE,"Y총물량";#N/A,#N/A,TRUE,"Y능력";#N/A,#N/A,TRUE,"YKD"}</definedName>
    <definedName name="ㅘㅓㅣ" localSheetId="24" hidden="1">{#N/A,#N/A,TRUE,"Y생산";#N/A,#N/A,TRUE,"Y판매";#N/A,#N/A,TRUE,"Y총물량";#N/A,#N/A,TRUE,"Y능력";#N/A,#N/A,TRUE,"YKD"}</definedName>
    <definedName name="ㅘㅓㅣ" hidden="1">{#N/A,#N/A,TRUE,"Y생산";#N/A,#N/A,TRUE,"Y판매";#N/A,#N/A,TRUE,"Y총물량";#N/A,#N/A,TRUE,"Y능력";#N/A,#N/A,TRUE,"YKD"}</definedName>
    <definedName name="ㅛ" localSheetId="23" hidden="1">{"'용역비'!$A$4:$C$8"}</definedName>
    <definedName name="ㅛ" localSheetId="18" hidden="1">{"'용역비'!$A$4:$C$8"}</definedName>
    <definedName name="ㅛ" localSheetId="24" hidden="1">{"'용역비'!$A$4:$C$8"}</definedName>
    <definedName name="ㅛ" hidden="1">{"'용역비'!$A$4:$C$8"}</definedName>
    <definedName name="ㅛㄱㄷㄹㅇ" localSheetId="23" hidden="1">{"AJD",#N/A,TRUE,"Summary";"AJD",#N/A,TRUE,"CFCONC-outputs";"AJD",#N/A,TRUE,"P&amp;LCONC-outputs";"AJD",#N/A,TRUE,"BSCONC-outputs";"AJD",#N/A,TRUE,"FSCONC-outputs"}</definedName>
    <definedName name="ㅛㄱㄷㄹㅇ" localSheetId="18" hidden="1">{"AJD",#N/A,TRUE,"Summary";"AJD",#N/A,TRUE,"CFCONC-outputs";"AJD",#N/A,TRUE,"P&amp;LCONC-outputs";"AJD",#N/A,TRUE,"BSCONC-outputs";"AJD",#N/A,TRUE,"FSCONC-outputs"}</definedName>
    <definedName name="ㅛㄱㄷㄹㅇ" localSheetId="24"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3" hidden="1">{#N/A,#N/A,FALSE,"동부"}</definedName>
    <definedName name="ㅛㄷㄶㅎ" localSheetId="18" hidden="1">{#N/A,#N/A,FALSE,"동부"}</definedName>
    <definedName name="ㅛㄷㄶㅎ" localSheetId="24" hidden="1">{#N/A,#N/A,FALSE,"동부"}</definedName>
    <definedName name="ㅛㄷㄶㅎ" hidden="1">{#N/A,#N/A,FALSE,"동부"}</definedName>
    <definedName name="ㅛㅓㅛ"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3" hidden="1">{"'용역비'!$A$4:$C$8"}</definedName>
    <definedName name="ㅛㅛ" localSheetId="18" hidden="1">{"'용역비'!$A$4:$C$8"}</definedName>
    <definedName name="ㅛㅛ" localSheetId="24" hidden="1">{"'용역비'!$A$4:$C$8"}</definedName>
    <definedName name="ㅛㅛ" hidden="1">{"'용역비'!$A$4:$C$8"}</definedName>
    <definedName name="ㅛㅛㅛ"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3" hidden="1">{#N/A,#N/A,FALSE,"동부"}</definedName>
    <definedName name="ㅜㅜㅜㅜ" localSheetId="18" hidden="1">{#N/A,#N/A,FALSE,"동부"}</definedName>
    <definedName name="ㅜㅜㅜㅜ" localSheetId="24" hidden="1">{#N/A,#N/A,FALSE,"동부"}</definedName>
    <definedName name="ㅜㅜㅜㅜ" hidden="1">{#N/A,#N/A,FALSE,"동부"}</definedName>
    <definedName name="ㅜㅜㅜㅜㅜㅜㅜㅜㅜㅜㅜㅜㅜㅜㅜㅜㅜㅜㅜㅜㅜㅜㅜㅜㅜㅜㅜㅜㅜㅜㅜㅜㅜㅜㅜㅜㅜㅜㅜㅜㅜㅜ" localSheetId="23" hidden="1">{#N/A,#N/A,FALSE,"CCTV"}</definedName>
    <definedName name="ㅜㅜㅜㅜㅜㅜㅜㅜㅜㅜㅜㅜㅜㅜㅜㅜㅜㅜㅜㅜㅜㅜㅜㅜㅜㅜㅜㅜㅜㅜㅜㅜㅜㅜㅜㅜㅜㅜㅜㅜㅜㅜ" localSheetId="18" hidden="1">{#N/A,#N/A,FALSE,"CCTV"}</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hidden="1">{#N/A,#N/A,FALSE,"CCTV"}</definedName>
    <definedName name="ㅟㅓㅇㄹ니" localSheetId="23">BlankMacro1</definedName>
    <definedName name="ㅟㅓㅇㄹ니" localSheetId="18">BlankMacro1</definedName>
    <definedName name="ㅟㅓㅇㄹ니" localSheetId="24">BlankMacro1</definedName>
    <definedName name="ㅟㅓㅇㄹ니" localSheetId="1">BlankMacro1</definedName>
    <definedName name="ㅟㅓㅇㄹ니">BlankMacro1</definedName>
    <definedName name="ㅠㄱ" localSheetId="23" hidden="1">{"'용역비'!$A$4:$C$8"}</definedName>
    <definedName name="ㅠㄱ" localSheetId="18" hidden="1">{"'용역비'!$A$4:$C$8"}</definedName>
    <definedName name="ㅠㄱ" localSheetId="24" hidden="1">{"'용역비'!$A$4:$C$8"}</definedName>
    <definedName name="ㅠㄱ" hidden="1">{"'용역비'!$A$4:$C$8"}</definedName>
    <definedName name="ㅠㅍㅊㄴㄹ" localSheetId="23" hidden="1">{#N/A,#N/A,FALSE,"동부"}</definedName>
    <definedName name="ㅠㅍㅊㄴㄹ" localSheetId="18" hidden="1">{#N/A,#N/A,FALSE,"동부"}</definedName>
    <definedName name="ㅠㅍㅊㄴㄹ" localSheetId="24" hidden="1">{#N/A,#N/A,FALSE,"동부"}</definedName>
    <definedName name="ㅠㅍㅊㄴㄹ" hidden="1">{#N/A,#N/A,FALSE,"동부"}</definedName>
    <definedName name="ㅠㅗㅠ" localSheetId="23" hidden="1">{#N/A,#N/A,FALSE,"골재소요량";#N/A,#N/A,FALSE,"골재소요량"}</definedName>
    <definedName name="ㅠㅗㅠ" localSheetId="18" hidden="1">{#N/A,#N/A,FALSE,"골재소요량";#N/A,#N/A,FALSE,"골재소요량"}</definedName>
    <definedName name="ㅠㅗㅠ" localSheetId="24" hidden="1">{#N/A,#N/A,FALSE,"골재소요량";#N/A,#N/A,FALSE,"골재소요량"}</definedName>
    <definedName name="ㅠㅗㅠ" hidden="1">{#N/A,#N/A,FALSE,"골재소요량";#N/A,#N/A,FALSE,"골재소요량"}</definedName>
    <definedName name="ㅠㅠㅠ" localSheetId="23" hidden="1">{#N/A,#N/A,FALSE,"지침";#N/A,#N/A,FALSE,"환경분석";#N/A,#N/A,FALSE,"Sheet16"}</definedName>
    <definedName name="ㅠㅠㅠ" localSheetId="18" hidden="1">{#N/A,#N/A,FALSE,"지침";#N/A,#N/A,FALSE,"환경분석";#N/A,#N/A,FALSE,"Sheet16"}</definedName>
    <definedName name="ㅠㅠㅠ" localSheetId="24" hidden="1">{#N/A,#N/A,FALSE,"지침";#N/A,#N/A,FALSE,"환경분석";#N/A,#N/A,FALSE,"Sheet16"}</definedName>
    <definedName name="ㅠㅠㅠ" hidden="1">{#N/A,#N/A,FALSE,"지침";#N/A,#N/A,FALSE,"환경분석";#N/A,#N/A,FALSE,"Sheet16"}</definedName>
    <definedName name="ㅡㅜㅠ츠" localSheetId="23" hidden="1">{"BuildIn 2 Funding Assump",#N/A,FALSE,"Building Inputs";"BuildIn Capex plus Extras",#N/A,FALSE,"Building Inputs"}</definedName>
    <definedName name="ㅡㅜㅠ츠" localSheetId="18" hidden="1">{"BuildIn 2 Funding Assump",#N/A,FALSE,"Building Inputs";"BuildIn Capex plus Extras",#N/A,FALSE,"Building Inputs"}</definedName>
    <definedName name="ㅡㅜㅠ츠" localSheetId="24"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3" hidden="1">{"'용역비'!$A$4:$C$8"}</definedName>
    <definedName name="ㅡㅡ" localSheetId="18" hidden="1">{"'용역비'!$A$4:$C$8"}</definedName>
    <definedName name="ㅡㅡ" localSheetId="24" hidden="1">{"'용역비'!$A$4:$C$8"}</definedName>
    <definedName name="ㅡㅡ" hidden="1">{"'용역비'!$A$4:$C$8"}</definedName>
    <definedName name="ㅡㅡㅡ" localSheetId="23" hidden="1">{#N/A,#N/A,FALSE,"지침";#N/A,#N/A,FALSE,"환경분석";#N/A,#N/A,FALSE,"Sheet16"}</definedName>
    <definedName name="ㅡㅡㅡ" localSheetId="18" hidden="1">{#N/A,#N/A,FALSE,"지침";#N/A,#N/A,FALSE,"환경분석";#N/A,#N/A,FALSE,"Sheet16"}</definedName>
    <definedName name="ㅡㅡㅡ" localSheetId="24" hidden="1">{#N/A,#N/A,FALSE,"지침";#N/A,#N/A,FALSE,"환경분석";#N/A,#N/A,FALSE,"Sheet16"}</definedName>
    <definedName name="ㅡㅡㅡ" hidden="1">{#N/A,#N/A,FALSE,"지침";#N/A,#N/A,FALSE,"환경분석";#N/A,#N/A,FALSE,"Sheet16"}</definedName>
    <definedName name="ㅣ" localSheetId="23" hidden="1">{"'용역비'!$A$4:$C$8"}</definedName>
    <definedName name="ㅣ" localSheetId="18" hidden="1">{"'용역비'!$A$4:$C$8"}</definedName>
    <definedName name="ㅣ" localSheetId="24" hidden="1">{"'용역비'!$A$4:$C$8"}</definedName>
    <definedName name="ㅣ" hidden="1">{"'용역비'!$A$4:$C$8"}</definedName>
    <definedName name="ㅣㅏ" localSheetId="23" hidden="1">{#N/A,#N/A,FALSE,"이력서&amp;자기소개서"}</definedName>
    <definedName name="ㅣㅏ" localSheetId="18" hidden="1">{#N/A,#N/A,FALSE,"이력서&amp;자기소개서"}</definedName>
    <definedName name="ㅣㅏ" localSheetId="24" hidden="1">{#N/A,#N/A,FALSE,"이력서&amp;자기소개서"}</definedName>
    <definedName name="ㅣㅏ" hidden="1">{#N/A,#N/A,FALSE,"이력서&amp;자기소개서"}</definedName>
    <definedName name="ㅣㅏ아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3" hidden="1">{#N/A,#N/A,FALSE,"97년 투자계획 세부내역 "}</definedName>
    <definedName name="ㅣㅏㅏ" localSheetId="18" hidden="1">{#N/A,#N/A,FALSE,"97년 투자계획 세부내역 "}</definedName>
    <definedName name="ㅣㅏㅏ" localSheetId="24" hidden="1">{#N/A,#N/A,FALSE,"97년 투자계획 세부내역 "}</definedName>
    <definedName name="ㅣㅏㅏ" hidden="1">{#N/A,#N/A,FALSE,"97년 투자계획 세부내역 "}</definedName>
    <definedName name="ㅣㅕ6겨ㅓㅛ" localSheetId="23" hidden="1">{#N/A,#N/A,TRUE,"대 차 대 조 표"}</definedName>
    <definedName name="ㅣㅕ6겨ㅓㅛ" localSheetId="18" hidden="1">{#N/A,#N/A,TRUE,"대 차 대 조 표"}</definedName>
    <definedName name="ㅣㅕ6겨ㅓㅛ" localSheetId="24" hidden="1">{#N/A,#N/A,TRUE,"대 차 대 조 표"}</definedName>
    <definedName name="ㅣㅕ6겨ㅓㅛ" hidden="1">{#N/A,#N/A,TRUE,"대 차 대 조 표"}</definedName>
    <definedName name="ㅣㅣ" localSheetId="23" hidden="1">{#N/A,#N/A,FALSE,"동부"}</definedName>
    <definedName name="ㅣㅣ" localSheetId="18" hidden="1">{#N/A,#N/A,FALSE,"동부"}</definedName>
    <definedName name="ㅣㅣ" localSheetId="24" hidden="1">{#N/A,#N/A,FALSE,"동부"}</definedName>
    <definedName name="ㅣㅣ" hidden="1">{#N/A,#N/A,FALSE,"동부"}</definedName>
    <definedName name="ㅣㅣㅣ">25</definedName>
    <definedName name="ㅣㅣㅣ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3" hidden="1">{#N/A,#N/A,FALSE,"BS";#N/A,#N/A,FALSE,"PL";#N/A,#N/A,FALSE,"처분";#N/A,#N/A,FALSE,"현금";#N/A,#N/A,FALSE,"매출";#N/A,#N/A,FALSE,"원가";#N/A,#N/A,FALSE,"경영"}</definedName>
    <definedName name="ㅣㅣㅣㅣ" localSheetId="18" hidden="1">{#N/A,#N/A,FALSE,"BS";#N/A,#N/A,FALSE,"PL";#N/A,#N/A,FALSE,"처분";#N/A,#N/A,FALSE,"현금";#N/A,#N/A,FALSE,"매출";#N/A,#N/A,FALSE,"원가";#N/A,#N/A,FALSE,"경영"}</definedName>
    <definedName name="ㅣㅣㅣㅣ" localSheetId="24"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39" i="1" l="1"/>
  <c r="U20" i="30"/>
  <c r="T20" i="30"/>
  <c r="S20" i="30"/>
  <c r="R20" i="30"/>
  <c r="Q20" i="30"/>
  <c r="P20" i="30"/>
  <c r="O20" i="30"/>
  <c r="N20" i="30"/>
  <c r="C30" i="35"/>
  <c r="C29" i="35"/>
  <c r="S16" i="1"/>
  <c r="S15" i="1"/>
  <c r="AA47" i="21" l="1"/>
  <c r="R32" i="1"/>
  <c r="P33" i="1"/>
  <c r="M111" i="1"/>
  <c r="P110" i="1"/>
  <c r="P111" i="1" s="1"/>
  <c r="T112" i="1" s="1"/>
  <c r="P112" i="1"/>
  <c r="U111" i="1"/>
  <c r="S110" i="1"/>
  <c r="O115" i="1"/>
  <c r="O118" i="1"/>
  <c r="Q111" i="1" s="1"/>
  <c r="R111" i="1" s="1"/>
  <c r="AN41" i="1" a="1"/>
  <c r="AN41" i="1" s="1"/>
  <c r="Q33" i="1" s="1"/>
  <c r="AN40" i="1" a="1"/>
  <c r="AN40" i="1" s="1"/>
  <c r="AN39" i="1" a="1"/>
  <c r="AN39" i="1" s="1"/>
  <c r="Q32"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AK24" i="1" l="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K954" i="32" l="1"/>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N92" i="1"/>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48" i="36" s="1"/>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D28" i="36"/>
  <c r="I28" i="36" s="1"/>
  <c r="B28" i="36"/>
  <c r="B39" i="36" s="1"/>
  <c r="B50" i="36" s="1"/>
  <c r="B61" i="36" s="1"/>
  <c r="B73" i="36" s="1"/>
  <c r="B85" i="36" s="1"/>
  <c r="B97" i="36" s="1"/>
  <c r="F27" i="36"/>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4" i="1"/>
  <c r="D15" i="36"/>
  <c r="D18" i="36" s="1"/>
  <c r="F13" i="36"/>
  <c r="E13" i="36"/>
  <c r="E14" i="36" s="1"/>
  <c r="E15" i="36" s="1"/>
  <c r="K965" i="32" l="1"/>
  <c r="H979" i="32"/>
  <c r="M965" i="32"/>
  <c r="L965" i="32"/>
  <c r="D978" i="32"/>
  <c r="S824" i="32"/>
  <c r="D890" i="32" s="1"/>
  <c r="F14" i="36"/>
  <c r="P90" i="1"/>
  <c r="G28" i="36"/>
  <c r="H28" i="36" s="1"/>
  <c r="D39" i="36"/>
  <c r="I27" i="36"/>
  <c r="K27" i="36" s="1"/>
  <c r="F38" i="36"/>
  <c r="G27" i="36"/>
  <c r="H27" i="36" s="1"/>
  <c r="I17" i="36"/>
  <c r="K17" i="36" s="1"/>
  <c r="E23" i="36"/>
  <c r="E34" i="36" s="1"/>
  <c r="E45" i="36" s="1"/>
  <c r="E56" i="36" s="1"/>
  <c r="E68" i="36" s="1"/>
  <c r="E80" i="36" s="1"/>
  <c r="E92" i="36" s="1"/>
  <c r="E22" i="36"/>
  <c r="E33" i="36" s="1"/>
  <c r="E44" i="36" s="1"/>
  <c r="E55" i="36" s="1"/>
  <c r="E66" i="36" s="1"/>
  <c r="I13" i="36"/>
  <c r="K13" i="36" s="1"/>
  <c r="F22" i="36"/>
  <c r="E24" i="36"/>
  <c r="E16" i="36"/>
  <c r="E17" i="36" s="1"/>
  <c r="G17" i="36" s="1"/>
  <c r="H17" i="36" s="1"/>
  <c r="D93" i="36"/>
  <c r="C55" i="36"/>
  <c r="D59" i="36"/>
  <c r="C58" i="36"/>
  <c r="D34" i="36"/>
  <c r="C57" i="36"/>
  <c r="C49" i="36"/>
  <c r="D49" i="36"/>
  <c r="D92" i="36"/>
  <c r="K28" i="36"/>
  <c r="D24" i="36"/>
  <c r="G13" i="36"/>
  <c r="C50" i="36"/>
  <c r="D55" i="36"/>
  <c r="C68" i="36"/>
  <c r="J979" i="32" l="1"/>
  <c r="M979" i="32"/>
  <c r="L979" i="32"/>
  <c r="K979" i="32"/>
  <c r="F23" i="36"/>
  <c r="F15" i="36"/>
  <c r="P91" i="1"/>
  <c r="R91" i="1" s="1"/>
  <c r="S91" i="1" s="1"/>
  <c r="T91" i="1" s="1"/>
  <c r="G14" i="36"/>
  <c r="H14" i="36" s="1"/>
  <c r="I14" i="36"/>
  <c r="K14" i="36" s="1"/>
  <c r="G22" i="36"/>
  <c r="H22" i="36" s="1"/>
  <c r="D50" i="36"/>
  <c r="I39" i="36"/>
  <c r="K39" i="36" s="1"/>
  <c r="G39" i="36"/>
  <c r="H39" i="36" s="1"/>
  <c r="E78" i="36"/>
  <c r="E90" i="36" s="1"/>
  <c r="E67" i="36"/>
  <c r="E79" i="36" s="1"/>
  <c r="E91" i="36" s="1"/>
  <c r="F49" i="36"/>
  <c r="I38" i="36"/>
  <c r="K38" i="36" s="1"/>
  <c r="G38" i="36"/>
  <c r="H38" i="36" s="1"/>
  <c r="F33" i="36"/>
  <c r="G33" i="36" s="1"/>
  <c r="H33" i="36" s="1"/>
  <c r="I22" i="36"/>
  <c r="K22" i="36" s="1"/>
  <c r="D60" i="36"/>
  <c r="D25" i="36"/>
  <c r="D29" i="36" s="1"/>
  <c r="E25" i="36"/>
  <c r="E35" i="36"/>
  <c r="E46" i="36" s="1"/>
  <c r="E57" i="36" s="1"/>
  <c r="E69" i="36" s="1"/>
  <c r="E81" i="36" s="1"/>
  <c r="E93" i="36" s="1"/>
  <c r="C60" i="36"/>
  <c r="D45" i="36"/>
  <c r="C69" i="36"/>
  <c r="D71" i="36"/>
  <c r="D66" i="36"/>
  <c r="C66" i="36"/>
  <c r="C80" i="36"/>
  <c r="C70" i="36"/>
  <c r="H13" i="36"/>
  <c r="C61" i="36"/>
  <c r="F34" i="36" l="1"/>
  <c r="I34" i="36" s="1"/>
  <c r="K34" i="36" s="1"/>
  <c r="I23" i="36"/>
  <c r="K23" i="36" s="1"/>
  <c r="G23" i="36"/>
  <c r="H23" i="36" s="1"/>
  <c r="F24" i="36"/>
  <c r="G24" i="36" s="1"/>
  <c r="H24" i="36" s="1"/>
  <c r="I15" i="36"/>
  <c r="K15" i="36" s="1"/>
  <c r="F16" i="36"/>
  <c r="P92" i="1"/>
  <c r="R92" i="1" s="1"/>
  <c r="S92" i="1" s="1"/>
  <c r="I245" i="11" s="1"/>
  <c r="G15" i="36"/>
  <c r="H15" i="36" s="1"/>
  <c r="D61" i="36"/>
  <c r="I50" i="36"/>
  <c r="K50" i="36" s="1"/>
  <c r="G50" i="36"/>
  <c r="H50"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T92" i="1" l="1"/>
  <c r="F45" i="36"/>
  <c r="G34" i="36"/>
  <c r="H34" i="36" s="1"/>
  <c r="I24" i="36"/>
  <c r="K24" i="36" s="1"/>
  <c r="F35" i="36"/>
  <c r="F25" i="36"/>
  <c r="F72" i="36"/>
  <c r="I60" i="36"/>
  <c r="K60" i="36" s="1"/>
  <c r="G60" i="36"/>
  <c r="H60" i="36" s="1"/>
  <c r="D73" i="36"/>
  <c r="G61" i="36"/>
  <c r="H61" i="36" s="1"/>
  <c r="I61" i="36"/>
  <c r="K61" i="36" s="1"/>
  <c r="G44" i="36"/>
  <c r="H44" i="36" s="1"/>
  <c r="I44" i="36"/>
  <c r="K44" i="36" s="1"/>
  <c r="D79" i="36"/>
  <c r="D84" i="36"/>
  <c r="C93" i="36"/>
  <c r="C90" i="36"/>
  <c r="D47" i="36"/>
  <c r="D40" i="36"/>
  <c r="D95" i="36"/>
  <c r="C84" i="36"/>
  <c r="C79" i="36"/>
  <c r="C85" i="36"/>
  <c r="C94" i="36"/>
  <c r="F66" i="36"/>
  <c r="G55" i="36"/>
  <c r="I55" i="36"/>
  <c r="F56" i="36" l="1"/>
  <c r="G45" i="36"/>
  <c r="H45" i="36" s="1"/>
  <c r="I45" i="36"/>
  <c r="K45" i="36" s="1"/>
  <c r="G35" i="36"/>
  <c r="H35" i="36" s="1"/>
  <c r="I35" i="36"/>
  <c r="K35" i="36" s="1"/>
  <c r="F46" i="36"/>
  <c r="F26" i="36"/>
  <c r="G25" i="36"/>
  <c r="H25" i="36" s="1"/>
  <c r="F36" i="36"/>
  <c r="I25" i="36"/>
  <c r="K25" i="36" s="1"/>
  <c r="F84" i="36"/>
  <c r="G72" i="36"/>
  <c r="H72" i="36" s="1"/>
  <c r="I72" i="36"/>
  <c r="K72" i="36" s="1"/>
  <c r="I73" i="36"/>
  <c r="K73" i="36" s="1"/>
  <c r="D85" i="36"/>
  <c r="D97" i="36" s="1"/>
  <c r="G73" i="36"/>
  <c r="H73" i="36" s="1"/>
  <c r="K55" i="36"/>
  <c r="C97" i="36"/>
  <c r="C91" i="36"/>
  <c r="H55" i="36"/>
  <c r="F78" i="36"/>
  <c r="F67" i="36"/>
  <c r="G66" i="36"/>
  <c r="I66" i="36"/>
  <c r="C96" i="36"/>
  <c r="D91" i="36"/>
  <c r="D58" i="36"/>
  <c r="D51" i="36"/>
  <c r="G56" i="36" l="1"/>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I85" i="36"/>
  <c r="K85" i="36" s="1"/>
  <c r="G85" i="36"/>
  <c r="H85" i="36" s="1"/>
  <c r="F79" i="36"/>
  <c r="G67" i="36"/>
  <c r="H67" i="36" s="1"/>
  <c r="I67" i="36"/>
  <c r="D70" i="36"/>
  <c r="D62" i="36"/>
  <c r="H66" i="36"/>
  <c r="I78" i="36"/>
  <c r="G78" i="36"/>
  <c r="F90" i="36"/>
  <c r="G97" i="36"/>
  <c r="H97" i="36" s="1"/>
  <c r="I97" i="36"/>
  <c r="K97" i="36" s="1"/>
  <c r="K66" i="36"/>
  <c r="G68" i="36" l="1"/>
  <c r="H68" i="36" s="1"/>
  <c r="F80" i="36"/>
  <c r="I68" i="36"/>
  <c r="K68" i="36" s="1"/>
  <c r="I47" i="36"/>
  <c r="K47" i="36" s="1"/>
  <c r="G47" i="36"/>
  <c r="H47" i="36" s="1"/>
  <c r="F58" i="36"/>
  <c r="I57" i="36"/>
  <c r="K57" i="36" s="1"/>
  <c r="G57" i="36"/>
  <c r="H57" i="36" s="1"/>
  <c r="F48" i="36"/>
  <c r="G37" i="36"/>
  <c r="I37" i="36"/>
  <c r="I29" i="36"/>
  <c r="K26" i="36"/>
  <c r="H26" i="36"/>
  <c r="H29" i="36" s="1"/>
  <c r="G29" i="36"/>
  <c r="G30" i="36" s="1"/>
  <c r="G96" i="36"/>
  <c r="H96" i="36" s="1"/>
  <c r="I96" i="36"/>
  <c r="K96" i="36" s="1"/>
  <c r="K78" i="36"/>
  <c r="F81" i="36"/>
  <c r="I69" i="36"/>
  <c r="G69" i="36"/>
  <c r="D82" i="36"/>
  <c r="D74" i="36"/>
  <c r="F91" i="36"/>
  <c r="G79" i="36"/>
  <c r="H79" i="36" s="1"/>
  <c r="I79" i="36"/>
  <c r="H78" i="36"/>
  <c r="K67" i="36"/>
  <c r="I90" i="36"/>
  <c r="G90" i="36"/>
  <c r="F92" i="36" l="1"/>
  <c r="I80" i="36"/>
  <c r="K80" i="36" s="1"/>
  <c r="G80" i="36"/>
  <c r="H80" i="36" s="1"/>
  <c r="G40" i="36"/>
  <c r="G41" i="36" s="1"/>
  <c r="H37" i="36"/>
  <c r="H40" i="36" s="1"/>
  <c r="F70" i="36"/>
  <c r="I58" i="36"/>
  <c r="K58" i="36" s="1"/>
  <c r="G58" i="36"/>
  <c r="H58" i="36" s="1"/>
  <c r="J26" i="36"/>
  <c r="K29" i="36"/>
  <c r="J25" i="36"/>
  <c r="J24" i="36"/>
  <c r="J22" i="36"/>
  <c r="J23" i="36"/>
  <c r="J28" i="36"/>
  <c r="J29" i="36"/>
  <c r="J27" i="36"/>
  <c r="F59" i="36"/>
  <c r="G48" i="36"/>
  <c r="I48" i="36"/>
  <c r="K37" i="36"/>
  <c r="K40" i="36" s="1"/>
  <c r="I40" i="36"/>
  <c r="F93" i="36"/>
  <c r="G81" i="36"/>
  <c r="I81" i="36"/>
  <c r="K90" i="36"/>
  <c r="H90" i="36"/>
  <c r="K79" i="36"/>
  <c r="H69" i="36"/>
  <c r="K69" i="36"/>
  <c r="I91" i="36"/>
  <c r="G91" i="36"/>
  <c r="H91" i="36" s="1"/>
  <c r="D94" i="36"/>
  <c r="D86" i="36"/>
  <c r="I30" i="36" l="1"/>
  <c r="J30" i="36" s="1"/>
  <c r="L26" i="36"/>
  <c r="G92" i="36"/>
  <c r="H92" i="36" s="1"/>
  <c r="I92" i="36"/>
  <c r="K92" i="36" s="1"/>
  <c r="G70" i="36"/>
  <c r="H70" i="36" s="1"/>
  <c r="I70" i="36"/>
  <c r="K70" i="36" s="1"/>
  <c r="F82" i="36"/>
  <c r="L24" i="36"/>
  <c r="L23" i="36"/>
  <c r="L22" i="36"/>
  <c r="L28" i="36"/>
  <c r="L27" i="36"/>
  <c r="L25" i="36"/>
  <c r="F71" i="36"/>
  <c r="I59" i="36"/>
  <c r="G59" i="36"/>
  <c r="H48" i="36"/>
  <c r="H51" i="36" s="1"/>
  <c r="G51" i="36"/>
  <c r="G52" i="36" s="1"/>
  <c r="K48" i="36"/>
  <c r="K51" i="36" s="1"/>
  <c r="I51" i="36"/>
  <c r="J37" i="36"/>
  <c r="J40" i="36"/>
  <c r="J38" i="36"/>
  <c r="J39" i="36"/>
  <c r="J34" i="36"/>
  <c r="J33" i="36"/>
  <c r="J35" i="36"/>
  <c r="J36" i="36"/>
  <c r="I93" i="36"/>
  <c r="G93" i="36"/>
  <c r="K91" i="36"/>
  <c r="K81" i="36"/>
  <c r="H81" i="36"/>
  <c r="L38" i="36"/>
  <c r="L39" i="36"/>
  <c r="L34" i="36"/>
  <c r="L33" i="36"/>
  <c r="L35" i="36"/>
  <c r="L36" i="36"/>
  <c r="I41" i="36"/>
  <c r="J41" i="36" s="1"/>
  <c r="D98" i="36"/>
  <c r="L37" i="36"/>
  <c r="E20" i="36" l="1"/>
  <c r="E104" i="36" s="1"/>
  <c r="F94" i="36"/>
  <c r="I82" i="36"/>
  <c r="K82" i="36" s="1"/>
  <c r="G82" i="36"/>
  <c r="H82" i="36" s="1"/>
  <c r="J48" i="36"/>
  <c r="J51" i="36"/>
  <c r="J50" i="36"/>
  <c r="J49" i="36"/>
  <c r="J45" i="36"/>
  <c r="J44" i="36"/>
  <c r="J47" i="36"/>
  <c r="J46" i="36"/>
  <c r="L29" i="36"/>
  <c r="F83" i="36"/>
  <c r="G71" i="36"/>
  <c r="I71" i="36"/>
  <c r="K59" i="36"/>
  <c r="K62" i="36" s="1"/>
  <c r="L59" i="36" s="1"/>
  <c r="I62" i="36"/>
  <c r="H59" i="36"/>
  <c r="H62" i="36" s="1"/>
  <c r="G62" i="36"/>
  <c r="G63" i="36" s="1"/>
  <c r="E31" i="36"/>
  <c r="L50" i="36"/>
  <c r="L49" i="36"/>
  <c r="L45" i="36"/>
  <c r="L44" i="36"/>
  <c r="L46" i="36"/>
  <c r="L47" i="36"/>
  <c r="L48" i="36"/>
  <c r="H93" i="36"/>
  <c r="K93" i="36"/>
  <c r="L40" i="36"/>
  <c r="I52" i="36"/>
  <c r="J52" i="36" s="1"/>
  <c r="G94" i="36" l="1"/>
  <c r="H94" i="36" s="1"/>
  <c r="I94" i="36"/>
  <c r="K94" i="36" s="1"/>
  <c r="F95" i="36"/>
  <c r="I95" i="36" s="1"/>
  <c r="I83" i="36"/>
  <c r="G83" i="36"/>
  <c r="H71" i="36"/>
  <c r="H74" i="36" s="1"/>
  <c r="G74" i="36"/>
  <c r="G75" i="36" s="1"/>
  <c r="K71" i="36"/>
  <c r="K74" i="36" s="1"/>
  <c r="I74" i="36"/>
  <c r="J62" i="36"/>
  <c r="J56" i="36"/>
  <c r="J61" i="36"/>
  <c r="J60" i="36"/>
  <c r="J55" i="36"/>
  <c r="J57" i="36"/>
  <c r="J58" i="36"/>
  <c r="J59" i="36"/>
  <c r="E42" i="36"/>
  <c r="L51" i="36"/>
  <c r="L56" i="36"/>
  <c r="L60" i="36"/>
  <c r="L61" i="36"/>
  <c r="L55" i="36"/>
  <c r="L57" i="36"/>
  <c r="L58" i="36"/>
  <c r="I63" i="36"/>
  <c r="J63" i="36" s="1"/>
  <c r="G95" i="36" l="1"/>
  <c r="I75" i="36"/>
  <c r="J75" i="36" s="1"/>
  <c r="K83" i="36"/>
  <c r="K86" i="36" s="1"/>
  <c r="I86" i="36"/>
  <c r="J86" i="36" s="1"/>
  <c r="J74" i="36"/>
  <c r="J68" i="36"/>
  <c r="J72" i="36"/>
  <c r="J73" i="36"/>
  <c r="J66" i="36"/>
  <c r="J67" i="36"/>
  <c r="J70" i="36"/>
  <c r="J69" i="36"/>
  <c r="J71" i="36"/>
  <c r="H83" i="36"/>
  <c r="H86" i="36" s="1"/>
  <c r="G86" i="36"/>
  <c r="G87" i="36" s="1"/>
  <c r="L62" i="36"/>
  <c r="L72" i="36"/>
  <c r="L68" i="36"/>
  <c r="L73" i="36"/>
  <c r="L66" i="36"/>
  <c r="L67" i="36"/>
  <c r="L69" i="36"/>
  <c r="L70" i="36"/>
  <c r="K95" i="36"/>
  <c r="I98" i="36"/>
  <c r="H95" i="36"/>
  <c r="H98" i="36" s="1"/>
  <c r="G98" i="36"/>
  <c r="G99" i="36" s="1"/>
  <c r="L71" i="36"/>
  <c r="E53" i="36"/>
  <c r="D105" i="36" s="1"/>
  <c r="J84" i="36" l="1"/>
  <c r="J85" i="36"/>
  <c r="J80" i="36"/>
  <c r="J83" i="36"/>
  <c r="J78" i="36"/>
  <c r="J79" i="36"/>
  <c r="J81" i="36"/>
  <c r="J82" i="36"/>
  <c r="E64" i="36"/>
  <c r="E105" i="36" s="1"/>
  <c r="C105" i="36" s="1"/>
  <c r="F105" i="36" s="1"/>
  <c r="G105" i="36" s="1"/>
  <c r="I14" i="19" s="1"/>
  <c r="L80" i="36"/>
  <c r="L85" i="36"/>
  <c r="L84" i="36"/>
  <c r="L78" i="36"/>
  <c r="L79" i="36"/>
  <c r="L81" i="36"/>
  <c r="L82" i="36"/>
  <c r="L74" i="36"/>
  <c r="I87" i="36"/>
  <c r="J87" i="36" s="1"/>
  <c r="L83" i="36"/>
  <c r="J98" i="36"/>
  <c r="J96" i="36"/>
  <c r="J92" i="36"/>
  <c r="J97" i="36"/>
  <c r="J90" i="36"/>
  <c r="J91" i="36"/>
  <c r="J93" i="36"/>
  <c r="J94" i="36"/>
  <c r="K98" i="36"/>
  <c r="I99" i="36" s="1"/>
  <c r="J99" i="36" s="1"/>
  <c r="J95" i="36"/>
  <c r="E76" i="36" l="1"/>
  <c r="L96" i="36"/>
  <c r="L92" i="36"/>
  <c r="L97" i="36"/>
  <c r="L90" i="36"/>
  <c r="L91" i="36"/>
  <c r="L94" i="36"/>
  <c r="L93" i="36"/>
  <c r="L95" i="36"/>
  <c r="L86" i="36"/>
  <c r="E88" i="36" l="1"/>
  <c r="L98" i="36"/>
  <c r="D23" i="35" l="1"/>
  <c r="E23" i="35" s="1"/>
  <c r="C6" i="35"/>
  <c r="C33" i="35"/>
  <c r="C27" i="35"/>
  <c r="C25" i="35"/>
  <c r="D28" i="35"/>
  <c r="H28" i="35"/>
  <c r="H23" i="35"/>
  <c r="J5" i="35"/>
  <c r="N634" i="32"/>
  <c r="O634" i="32" s="1"/>
  <c r="N635" i="32"/>
  <c r="O635" i="32" s="1"/>
  <c r="N636" i="32"/>
  <c r="O636" i="32" s="1"/>
  <c r="N637" i="32"/>
  <c r="O637" i="32" s="1"/>
  <c r="M19" i="10"/>
  <c r="C10" i="35" l="1"/>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02" i="21"/>
  <c r="AG78" i="21"/>
  <c r="AG79" i="21"/>
  <c r="AG80" i="21"/>
  <c r="AG81" i="21"/>
  <c r="AG82" i="21"/>
  <c r="AG83" i="21"/>
  <c r="AG84" i="21"/>
  <c r="AG85" i="21"/>
  <c r="AG86" i="21"/>
  <c r="AG87" i="21"/>
  <c r="AG88" i="21"/>
  <c r="AG89" i="21"/>
  <c r="AG90" i="21"/>
  <c r="AG91" i="21"/>
  <c r="AG92" i="21"/>
  <c r="AG93" i="21"/>
  <c r="AG94" i="21"/>
  <c r="AG95" i="21"/>
  <c r="AG96" i="21"/>
  <c r="AG97" i="21"/>
  <c r="AE78" i="21"/>
  <c r="P102" i="21"/>
  <c r="Q78" i="21"/>
  <c r="F402" i="32"/>
  <c r="AF78" i="21" s="1"/>
  <c r="H401" i="32"/>
  <c r="I401" i="32"/>
  <c r="X78" i="21"/>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78" i="21" s="1"/>
  <c r="P78" i="21" s="1"/>
  <c r="AD78" i="21" s="1"/>
  <c r="G26" i="21"/>
  <c r="B26" i="21"/>
  <c r="B78" i="21" s="1"/>
  <c r="S25" i="21"/>
  <c r="Q25" i="21"/>
  <c r="S24" i="21"/>
  <c r="S15" i="21"/>
  <c r="S8" i="21"/>
  <c r="S7" i="21"/>
  <c r="S6" i="21"/>
  <c r="C3" i="21"/>
  <c r="W104" i="21"/>
  <c r="AD104" i="21" s="1"/>
  <c r="W103" i="21"/>
  <c r="P103" i="21" s="1"/>
  <c r="W101" i="21"/>
  <c r="W100" i="21"/>
  <c r="P100" i="21" s="1"/>
  <c r="AD100" i="21" s="1"/>
  <c r="W99" i="21"/>
  <c r="P99" i="21" s="1"/>
  <c r="AD99" i="21" s="1"/>
  <c r="AB77" i="21"/>
  <c r="U77" i="21" s="1"/>
  <c r="AI77" i="21" s="1"/>
  <c r="AA77" i="21"/>
  <c r="T77" i="21" s="1"/>
  <c r="AH77" i="21" s="1"/>
  <c r="Z77" i="21"/>
  <c r="S77" i="21" s="1"/>
  <c r="AG77" i="21" s="1"/>
  <c r="Y77" i="21"/>
  <c r="R77" i="21" s="1"/>
  <c r="AF77" i="21" s="1"/>
  <c r="X77" i="21"/>
  <c r="Q77" i="21" s="1"/>
  <c r="AE77" i="21" s="1"/>
  <c r="W77" i="21"/>
  <c r="P77" i="21" s="1"/>
  <c r="AD77" i="21" s="1"/>
  <c r="S33" i="21"/>
  <c r="V9" i="21"/>
  <c r="V8" i="21"/>
  <c r="V7" i="21"/>
  <c r="U49" i="21" l="1"/>
  <c r="AA48" i="21"/>
  <c r="L5" i="35"/>
  <c r="AD103" i="21"/>
  <c r="AD101" i="21"/>
  <c r="P101" i="21"/>
  <c r="P104" i="21"/>
  <c r="G545" i="32"/>
  <c r="H545" i="32" s="1"/>
  <c r="I545" i="32" s="1"/>
  <c r="J545" i="32" s="1"/>
  <c r="K545" i="32" s="1"/>
  <c r="L545" i="32" s="1"/>
  <c r="L584" i="32" s="1"/>
  <c r="L639" i="32" s="1"/>
  <c r="G676" i="32"/>
  <c r="H676" i="32" s="1"/>
  <c r="H715" i="32" l="1"/>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N5" i="35" l="1"/>
  <c r="G375" i="32"/>
  <c r="Z78" i="21" s="1"/>
  <c r="F375" i="32"/>
  <c r="Y78" i="21" s="1"/>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O5" i="35" l="1"/>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P5" i="35" l="1"/>
  <c r="D41" i="32"/>
  <c r="C531" i="32"/>
  <c r="D42" i="32"/>
  <c r="C532" i="32"/>
  <c r="G115" i="32"/>
  <c r="F154" i="32"/>
  <c r="F209" i="32" s="1"/>
  <c r="Q5" i="35" l="1"/>
  <c r="H115" i="32"/>
  <c r="G154" i="32"/>
  <c r="G209" i="32" s="1"/>
  <c r="F43" i="2"/>
  <c r="E43" i="2"/>
  <c r="E42" i="2"/>
  <c r="Q31" i="35" l="1"/>
  <c r="Q33" i="35"/>
  <c r="G43" i="2"/>
  <c r="I971" i="32" s="1"/>
  <c r="R5" i="35"/>
  <c r="I115" i="32"/>
  <c r="H154" i="32"/>
  <c r="H209" i="32" s="1"/>
  <c r="R31" i="35" l="1"/>
  <c r="R33" i="35"/>
  <c r="S5" i="35"/>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S31" i="35" l="1"/>
  <c r="S33" i="35"/>
  <c r="D39" i="3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T31" i="35" l="1"/>
  <c r="T33" i="35"/>
  <c r="G48" i="31"/>
  <c r="G49" i="31"/>
  <c r="E21" i="31"/>
  <c r="U5" i="35"/>
  <c r="G46" i="31"/>
  <c r="U56" i="21"/>
  <c r="F435" i="32"/>
  <c r="D24" i="31"/>
  <c r="L115" i="32"/>
  <c r="K154" i="32"/>
  <c r="K209" i="32" s="1"/>
  <c r="G45" i="31"/>
  <c r="H45" i="31"/>
  <c r="C23" i="31"/>
  <c r="C74" i="31"/>
  <c r="D74" i="31" s="1"/>
  <c r="E22" i="31"/>
  <c r="H47" i="31"/>
  <c r="G47" i="31"/>
  <c r="U33" i="35" l="1"/>
  <c r="U31" i="35"/>
  <c r="V5" i="35"/>
  <c r="M115" i="32"/>
  <c r="L154" i="32"/>
  <c r="L209" i="32" s="1"/>
  <c r="C24" i="31"/>
  <c r="E23" i="31"/>
  <c r="V31" i="35" l="1"/>
  <c r="V33" i="35"/>
  <c r="W5" i="35"/>
  <c r="N115" i="32"/>
  <c r="N154" i="32" s="1"/>
  <c r="N209" i="32" s="1"/>
  <c r="M154" i="32"/>
  <c r="M209" i="32" s="1"/>
  <c r="C78" i="31"/>
  <c r="E24" i="31"/>
  <c r="W33" i="35" l="1"/>
  <c r="W31" i="35"/>
  <c r="X5" i="35"/>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X31" i="35" l="1"/>
  <c r="X33" i="35"/>
  <c r="M44" i="28"/>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H71" i="28" l="1"/>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M81" i="28" l="1"/>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K5" i="30" l="1"/>
  <c r="N93"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1" i="1"/>
  <c r="R90" i="1" l="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43" i="5"/>
  <c r="O142" i="5"/>
  <c r="H142" i="5"/>
  <c r="H141" i="5"/>
  <c r="AZ61" i="1"/>
  <c r="BC61" i="1" s="1"/>
  <c r="AC32" i="1"/>
  <c r="S90" i="1" l="1"/>
  <c r="U62" i="21"/>
  <c r="F447" i="32"/>
  <c r="BB40" i="1"/>
  <c r="AY80" i="1" s="1"/>
  <c r="BB39" i="1"/>
  <c r="AY79" i="1" s="1"/>
  <c r="BC36" i="1"/>
  <c r="M5" i="30"/>
  <c r="BB61" i="1"/>
  <c r="AY61" i="1"/>
  <c r="AW61" i="1"/>
  <c r="AX61" i="1"/>
  <c r="BA61" i="1"/>
  <c r="Q4" i="1"/>
  <c r="G79" i="6"/>
  <c r="G74" i="6"/>
  <c r="M68" i="19"/>
  <c r="B128" i="21" s="1"/>
  <c r="I128" i="21" s="1"/>
  <c r="L32" i="19"/>
  <c r="B123" i="26"/>
  <c r="B122" i="26"/>
  <c r="B121" i="26"/>
  <c r="B120" i="26"/>
  <c r="B125" i="17"/>
  <c r="B124" i="17"/>
  <c r="B123" i="17"/>
  <c r="B122" i="17"/>
  <c r="B121" i="17"/>
  <c r="B120" i="17"/>
  <c r="B119" i="17"/>
  <c r="B118" i="17"/>
  <c r="G99" i="17"/>
  <c r="F46" i="2"/>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I235" i="11" l="1"/>
  <c r="T90" i="1"/>
  <c r="N5" i="30"/>
  <c r="I67" i="11"/>
  <c r="C445" i="32"/>
  <c r="E8" i="32"/>
  <c r="D45" i="32" s="1"/>
  <c r="BC39" i="1"/>
  <c r="AZ79" i="1" s="1"/>
  <c r="BC40" i="1"/>
  <c r="AZ80" i="1" s="1"/>
  <c r="N143" i="5"/>
  <c r="W48" i="21"/>
  <c r="I72" i="11"/>
  <c r="C446" i="32"/>
  <c r="C8" i="32"/>
  <c r="E9" i="32"/>
  <c r="D46" i="32" s="1"/>
  <c r="N144" i="5"/>
  <c r="W49" i="21"/>
  <c r="BD36" i="1"/>
  <c r="M69" i="19"/>
  <c r="B129" i="21" s="1"/>
  <c r="I129" i="21" s="1"/>
  <c r="C76" i="1"/>
  <c r="G45" i="2"/>
  <c r="M6" i="26"/>
  <c r="J116" i="26"/>
  <c r="C75" i="26"/>
  <c r="D41" i="26"/>
  <c r="D40" i="26"/>
  <c r="D39" i="26"/>
  <c r="D38" i="26"/>
  <c r="D37" i="26"/>
  <c r="D36" i="26"/>
  <c r="P37" i="1"/>
  <c r="J33" i="2"/>
  <c r="H75" i="16"/>
  <c r="J26" i="1"/>
  <c r="O5" i="30" l="1"/>
  <c r="O140" i="5"/>
  <c r="D440" i="32"/>
  <c r="BD40" i="1"/>
  <c r="BA80" i="1" s="1"/>
  <c r="BD39" i="1"/>
  <c r="BA79" i="1" s="1"/>
  <c r="BE36" i="1"/>
  <c r="O139" i="5"/>
  <c r="H140" i="5"/>
  <c r="M70" i="19"/>
  <c r="B130" i="21" s="1"/>
  <c r="I130" i="21" s="1"/>
  <c r="N6" i="26"/>
  <c r="C77" i="1"/>
  <c r="AH19" i="1"/>
  <c r="AH22" i="1"/>
  <c r="O45" i="1"/>
  <c r="P5" i="30" l="1"/>
  <c r="BE40" i="1"/>
  <c r="BB80" i="1" s="1"/>
  <c r="BE39" i="1"/>
  <c r="BB79" i="1" s="1"/>
  <c r="BF36" i="1"/>
  <c r="M71" i="19"/>
  <c r="B131" i="21" s="1"/>
  <c r="I131" i="21" s="1"/>
  <c r="O6" i="26"/>
  <c r="C78" i="1"/>
  <c r="Q5" i="30" l="1"/>
  <c r="BF39" i="1"/>
  <c r="BC79" i="1" s="1"/>
  <c r="BF40" i="1"/>
  <c r="BC80" i="1" s="1"/>
  <c r="M7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R5" i="30" l="1"/>
  <c r="M7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S5" i="30" l="1"/>
  <c r="H43" i="25"/>
  <c r="I43" i="25" s="1"/>
  <c r="K43" i="25" s="1"/>
  <c r="E47" i="25"/>
  <c r="H45" i="25"/>
  <c r="I45" i="25" s="1"/>
  <c r="K45" i="25" s="1"/>
  <c r="O75" i="1"/>
  <c r="C76" i="32"/>
  <c r="H46" i="25"/>
  <c r="I46" i="25" s="1"/>
  <c r="K46" i="25" s="1"/>
  <c r="H44" i="25"/>
  <c r="I44" i="25" s="1"/>
  <c r="K44" i="25" s="1"/>
  <c r="M74" i="19"/>
  <c r="B134" i="21" s="1"/>
  <c r="I134" i="21" s="1"/>
  <c r="R6" i="26"/>
  <c r="C81" i="1"/>
  <c r="I56" i="25"/>
  <c r="J56" i="25" s="1"/>
  <c r="H42" i="25"/>
  <c r="I42" i="25" s="1"/>
  <c r="K42" i="25" s="1"/>
  <c r="T5" i="30" l="1"/>
  <c r="H47" i="25"/>
  <c r="M75" i="19"/>
  <c r="B135" i="21" s="1"/>
  <c r="I135" i="21" s="1"/>
  <c r="S6" i="26"/>
  <c r="C82" i="1"/>
  <c r="K47" i="25"/>
  <c r="F24" i="25" s="1"/>
  <c r="I24" i="25" s="1"/>
  <c r="I47" i="25"/>
  <c r="C50" i="25" s="1"/>
  <c r="J45" i="25" s="1"/>
  <c r="L45" i="25" s="1"/>
  <c r="M45" i="25" s="1"/>
  <c r="U5" i="30" l="1"/>
  <c r="M76" i="19"/>
  <c r="B136" i="21" s="1"/>
  <c r="I136" i="21" s="1"/>
  <c r="T6" i="26"/>
  <c r="C83" i="1"/>
  <c r="J43" i="25"/>
  <c r="L43" i="25" s="1"/>
  <c r="M43" i="25" s="1"/>
  <c r="J42" i="25"/>
  <c r="L42" i="25" s="1"/>
  <c r="J44" i="25"/>
  <c r="L44" i="25" s="1"/>
  <c r="M44" i="25" s="1"/>
  <c r="J46" i="25"/>
  <c r="L46" i="25" s="1"/>
  <c r="M46" i="25" s="1"/>
  <c r="M77" i="19" l="1"/>
  <c r="B137" i="21" s="1"/>
  <c r="I137" i="21" s="1"/>
  <c r="U6" i="26"/>
  <c r="C84" i="1"/>
  <c r="J47" i="25"/>
  <c r="L47" i="25"/>
  <c r="F25" i="25" s="1"/>
  <c r="I25" i="25" s="1"/>
  <c r="M42" i="25"/>
  <c r="M47" i="25" s="1"/>
  <c r="K56" i="25" l="1"/>
  <c r="L56" i="25" s="1"/>
  <c r="M56" i="25" s="1"/>
  <c r="N56" i="25" s="1"/>
  <c r="P74" i="1" s="1"/>
  <c r="F23" i="25"/>
  <c r="M78" i="19"/>
  <c r="B138" i="21" s="1"/>
  <c r="I138" i="21" s="1"/>
  <c r="V6" i="26"/>
  <c r="C85" i="1"/>
  <c r="F26" i="25" l="1"/>
  <c r="I26" i="25" s="1"/>
  <c r="I23" i="25"/>
  <c r="O74" i="1"/>
  <c r="C75" i="32"/>
  <c r="M7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K57" i="24" l="1"/>
  <c r="L25" i="24"/>
  <c r="L20" i="24" s="1"/>
  <c r="D18" i="25"/>
  <c r="G31" i="25"/>
  <c r="I31" i="25" s="1"/>
  <c r="K26" i="25"/>
  <c r="C26" i="24"/>
  <c r="L18" i="24" s="1"/>
  <c r="M80" i="19"/>
  <c r="B140" i="21" s="1"/>
  <c r="I140" i="21" s="1"/>
  <c r="X6" i="26"/>
  <c r="C87" i="1"/>
  <c r="I38" i="24"/>
  <c r="J38" i="24" s="1"/>
  <c r="I34" i="24"/>
  <c r="I30" i="24"/>
  <c r="H26" i="24"/>
  <c r="G26" i="24"/>
  <c r="F41" i="24"/>
  <c r="F22" i="24"/>
  <c r="F34" i="24"/>
  <c r="H34" i="24" s="1"/>
  <c r="F30" i="24"/>
  <c r="H30" i="24" s="1"/>
  <c r="J30" i="24" l="1"/>
  <c r="M37" i="24"/>
  <c r="M18" i="24"/>
  <c r="N17" i="24" s="1"/>
  <c r="N18" i="24" s="1"/>
  <c r="O18" i="24" s="1"/>
  <c r="H42" i="24"/>
  <c r="G42" i="24"/>
  <c r="M81" i="19"/>
  <c r="B141" i="21" s="1"/>
  <c r="I141" i="21" s="1"/>
  <c r="Y6" i="26"/>
  <c r="C88" i="1"/>
  <c r="J34" i="24"/>
  <c r="H41" i="24"/>
  <c r="E7" i="24" s="1"/>
  <c r="G41" i="24"/>
  <c r="G22" i="24"/>
  <c r="H22" i="24"/>
  <c r="I26" i="24"/>
  <c r="J26" i="24" s="1"/>
  <c r="I42" i="24" l="1"/>
  <c r="J42" i="24" s="1"/>
  <c r="M82" i="19"/>
  <c r="B142" i="21" s="1"/>
  <c r="I142" i="21" s="1"/>
  <c r="Z6" i="26"/>
  <c r="C89" i="1"/>
  <c r="I22" i="24"/>
  <c r="J22" i="24" s="1"/>
  <c r="C7" i="24"/>
  <c r="I41" i="24"/>
  <c r="G7" i="24" s="1"/>
  <c r="M83" i="19" l="1"/>
  <c r="B143" i="21" s="1"/>
  <c r="I143" i="21" s="1"/>
  <c r="AA6" i="26"/>
  <c r="C90" i="1"/>
  <c r="I7" i="24"/>
  <c r="P73" i="1" s="1"/>
  <c r="J41" i="24"/>
  <c r="C74" i="32" l="1"/>
  <c r="O73" i="1"/>
  <c r="M84" i="19"/>
  <c r="B144" i="21" s="1"/>
  <c r="I144" i="21" s="1"/>
  <c r="AB6" i="26"/>
  <c r="C91" i="1"/>
  <c r="B3" i="24"/>
  <c r="M85" i="19" l="1"/>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G71" i="14" l="1"/>
  <c r="M86" i="19"/>
  <c r="B146" i="21" s="1"/>
  <c r="I146" i="21" s="1"/>
  <c r="AD6" i="26"/>
  <c r="M87" i="19" l="1"/>
  <c r="B147" i="21" s="1"/>
  <c r="I147" i="21" s="1"/>
  <c r="AE6" i="26"/>
  <c r="AF6" i="26" l="1"/>
  <c r="AG6" i="26" l="1"/>
  <c r="AH6" i="26" l="1"/>
  <c r="P31" i="1"/>
  <c r="Q55" i="21" l="1"/>
  <c r="W44" i="21" s="1"/>
  <c r="AC44" i="21" s="1"/>
  <c r="M19" i="21"/>
  <c r="C529" i="32"/>
  <c r="E4" i="32"/>
  <c r="D40" i="32" s="1"/>
  <c r="D43" i="32" s="1"/>
  <c r="C106" i="32"/>
  <c r="P952" i="32" s="1"/>
  <c r="T35" i="1"/>
  <c r="W57" i="21" s="1"/>
  <c r="T32" i="1"/>
  <c r="W56" i="21" s="1"/>
  <c r="H139" i="5"/>
  <c r="O138" i="5"/>
  <c r="T33" i="1"/>
  <c r="W67" i="21" s="1"/>
  <c r="T34" i="1"/>
  <c r="AI6" i="26"/>
  <c r="T14" i="1"/>
  <c r="I17" i="11" l="1"/>
  <c r="N138" i="5"/>
  <c r="AJ6" i="26"/>
  <c r="AK6" i="26" l="1"/>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F30" i="22" l="1"/>
  <c r="H30" i="22"/>
  <c r="D30" i="22"/>
  <c r="E30" i="22"/>
  <c r="G30" i="22"/>
  <c r="AL6" i="26"/>
  <c r="K231" i="14"/>
  <c r="K230" i="14"/>
  <c r="K228" i="14"/>
  <c r="K227" i="14"/>
  <c r="K226" i="14"/>
  <c r="K225" i="14"/>
  <c r="K224" i="14"/>
  <c r="K223" i="14"/>
  <c r="K222" i="14"/>
  <c r="K221" i="14"/>
  <c r="K220" i="14"/>
  <c r="K219" i="14"/>
  <c r="K218" i="14"/>
  <c r="K229" i="14"/>
  <c r="K217" i="14"/>
  <c r="K216" i="14"/>
  <c r="AM6" i="26" l="1"/>
  <c r="V11" i="22"/>
  <c r="AN6" i="26" l="1"/>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AO6" i="26" l="1"/>
  <c r="G42" i="2"/>
  <c r="T16" i="1"/>
  <c r="N14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I970" i="32" l="1"/>
  <c r="AP6" i="26"/>
  <c r="BA20" i="1"/>
  <c r="BC20" i="1"/>
  <c r="AY20" i="1"/>
  <c r="AN94" i="1"/>
  <c r="M108" i="6"/>
  <c r="M103" i="6"/>
  <c r="M98" i="6"/>
  <c r="M93" i="6"/>
  <c r="T17" i="1"/>
  <c r="N141" i="5" s="1"/>
  <c r="L139" i="11"/>
  <c r="AK114" i="1"/>
  <c r="AK113" i="1"/>
  <c r="AK112" i="1"/>
  <c r="AK111" i="1"/>
  <c r="AK110" i="1"/>
  <c r="AK109" i="1"/>
  <c r="AK108" i="1"/>
  <c r="AK107" i="1"/>
  <c r="AK106" i="1"/>
  <c r="AK105" i="1"/>
  <c r="AK104" i="1"/>
  <c r="AK103" i="1"/>
  <c r="AK102" i="1"/>
  <c r="AK101" i="1"/>
  <c r="AK100" i="1"/>
  <c r="AK99" i="1"/>
  <c r="AK98" i="1"/>
  <c r="AK97" i="1"/>
  <c r="AK96" i="1"/>
  <c r="AK95" i="1"/>
  <c r="AK94" i="1"/>
  <c r="AQ6" i="26" l="1"/>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43" i="19"/>
  <c r="L21" i="19"/>
  <c r="J75" i="16"/>
  <c r="AR6" i="26" l="1"/>
  <c r="L89" i="11"/>
  <c r="L135" i="11"/>
  <c r="L136" i="11" s="1"/>
  <c r="I75" i="16"/>
  <c r="J116" i="17"/>
  <c r="G94" i="17"/>
  <c r="M69"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97" i="32" l="1"/>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AT6" i="26" l="1"/>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AU6" i="26" l="1"/>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AV6" i="26" l="1"/>
  <c r="AE67" i="1"/>
  <c r="I206" i="14"/>
  <c r="AW6" i="26" l="1"/>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Y17" i="1" l="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H154" i="14" l="1"/>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H57" i="14" l="1"/>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G17" i="11" l="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P91" i="28" l="1"/>
  <c r="M94" i="28"/>
  <c r="O77" i="1"/>
  <c r="L71" i="28"/>
  <c r="M71" i="28"/>
  <c r="Q70" i="28"/>
  <c r="Q71" i="28" s="1"/>
  <c r="P46" i="28"/>
  <c r="P70" i="28" s="1"/>
  <c r="Q47" i="28"/>
  <c r="O46" i="28"/>
  <c r="R71" i="28"/>
  <c r="S71" i="28"/>
  <c r="X46" i="28"/>
  <c r="Y46" i="28" s="1"/>
  <c r="R70" i="28"/>
  <c r="T48" i="28"/>
  <c r="S47" i="28"/>
  <c r="R47" i="28"/>
  <c r="M47" i="28"/>
  <c r="N48" i="28"/>
  <c r="L47" i="28"/>
  <c r="BB6" i="26"/>
  <c r="U61" i="1"/>
  <c r="T60" i="1"/>
  <c r="U46" i="28" l="1"/>
  <c r="V46" i="28" s="1"/>
  <c r="O70" i="28"/>
  <c r="P47" i="28"/>
  <c r="Q48" i="28"/>
  <c r="O47" i="28"/>
  <c r="O71" i="28"/>
  <c r="P71" i="28"/>
  <c r="BC6" i="26"/>
  <c r="C43" i="1"/>
  <c r="B27" i="21" l="1"/>
  <c r="B79" i="21" s="1"/>
  <c r="I27" i="21"/>
  <c r="I79" i="21" s="1"/>
  <c r="W79" i="21" s="1"/>
  <c r="P79" i="21" s="1"/>
  <c r="AD79" i="21" s="1"/>
  <c r="BD6" i="26"/>
  <c r="C44" i="1"/>
  <c r="L152" i="11"/>
  <c r="L147" i="11"/>
  <c r="L129" i="11"/>
  <c r="L99" i="11"/>
  <c r="L76" i="11"/>
  <c r="L80" i="11" s="1"/>
  <c r="L61" i="11"/>
  <c r="L21" i="11"/>
  <c r="L16" i="11"/>
  <c r="J121" i="5"/>
  <c r="D35" i="1"/>
  <c r="J25" i="1"/>
  <c r="J24" i="1"/>
  <c r="K24" i="1" s="1"/>
  <c r="K23" i="1"/>
  <c r="K22" i="1"/>
  <c r="C26" i="22" s="1"/>
  <c r="Z35" i="1"/>
  <c r="D3" i="21" s="1"/>
  <c r="D39" i="1" l="1"/>
  <c r="Q9" i="21" s="1"/>
  <c r="Q6" i="21"/>
  <c r="B28" i="21"/>
  <c r="B80" i="21" s="1"/>
  <c r="I28" i="21"/>
  <c r="I80" i="21" s="1"/>
  <c r="W80" i="21" s="1"/>
  <c r="P80" i="21" s="1"/>
  <c r="AD80" i="21" s="1"/>
  <c r="BE6" i="26"/>
  <c r="C45" i="1"/>
  <c r="H160" i="11"/>
  <c r="I16" i="4"/>
  <c r="H18" i="4" s="1"/>
  <c r="L4" i="4"/>
  <c r="L4" i="19" s="1"/>
  <c r="K30" i="1"/>
  <c r="AA35" i="1"/>
  <c r="E3" i="21" s="1"/>
  <c r="K25" i="1"/>
  <c r="E35" i="1"/>
  <c r="R6" i="21" s="1"/>
  <c r="I29" i="21" l="1"/>
  <c r="I81" i="21" s="1"/>
  <c r="W81" i="21" s="1"/>
  <c r="P81" i="21" s="1"/>
  <c r="AD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R62" i="21" l="1"/>
  <c r="H447" i="32"/>
  <c r="M43" i="1"/>
  <c r="Q7" i="21"/>
  <c r="I30" i="21"/>
  <c r="I82" i="21" s="1"/>
  <c r="W82" i="21" s="1"/>
  <c r="P82" i="21" s="1"/>
  <c r="AD82" i="21" s="1"/>
  <c r="B30" i="21"/>
  <c r="B82" i="21" s="1"/>
  <c r="K32" i="28"/>
  <c r="K36" i="28"/>
  <c r="K38" i="28"/>
  <c r="K41" i="28"/>
  <c r="K46" i="28"/>
  <c r="K40" i="28"/>
  <c r="K31" i="28"/>
  <c r="K35" i="28"/>
  <c r="K42" i="28"/>
  <c r="K45" i="28"/>
  <c r="K39" i="28"/>
  <c r="K37" i="28"/>
  <c r="BG6" i="26"/>
  <c r="M42" i="1"/>
  <c r="H245" i="11" s="1"/>
  <c r="M41" i="1"/>
  <c r="H235" i="11" s="1"/>
  <c r="L4" i="17"/>
  <c r="K4" i="18" s="1"/>
  <c r="L4" i="26"/>
  <c r="K103" i="1"/>
  <c r="G75" i="16" s="1"/>
  <c r="G76"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1" i="1"/>
  <c r="G112"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K5" i="15" s="1"/>
  <c r="K13" i="15" s="1"/>
  <c r="M5" i="2"/>
  <c r="M14" i="2" s="1"/>
  <c r="M5" i="10"/>
  <c r="M14" i="10" s="1"/>
  <c r="M36" i="10" s="1"/>
  <c r="Z7" i="1"/>
  <c r="Z20" i="1"/>
  <c r="Z8" i="1"/>
  <c r="F48" i="4"/>
  <c r="I44" i="4"/>
  <c r="M31" i="1"/>
  <c r="H17" i="11" s="1"/>
  <c r="I20" i="4"/>
  <c r="M32" i="1"/>
  <c r="I3" i="35" s="1"/>
  <c r="K42" i="10"/>
  <c r="AJ40" i="1" s="1"/>
  <c r="J29" i="1"/>
  <c r="J31" i="1" s="1"/>
  <c r="E37" i="1"/>
  <c r="R7" i="21" s="1"/>
  <c r="N43" i="1" l="1"/>
  <c r="H255" i="11"/>
  <c r="H72" i="11"/>
  <c r="I4" i="35"/>
  <c r="J3" i="35" s="1"/>
  <c r="J4" i="35" s="1"/>
  <c r="D3" i="35"/>
  <c r="R56" i="21"/>
  <c r="C247" i="32"/>
  <c r="H435" i="32"/>
  <c r="R60" i="21"/>
  <c r="H445" i="32"/>
  <c r="D544" i="32"/>
  <c r="D583" i="32" s="1"/>
  <c r="D638" i="32" s="1"/>
  <c r="E543" i="32"/>
  <c r="E542" i="32"/>
  <c r="B31" i="21"/>
  <c r="B83" i="21" s="1"/>
  <c r="I31" i="21"/>
  <c r="I83" i="21" s="1"/>
  <c r="W83" i="21" s="1"/>
  <c r="P83" i="21" s="1"/>
  <c r="AD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37" i="19"/>
  <c r="H38" i="19" s="1"/>
  <c r="H3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N68" i="1" s="1"/>
  <c r="D38" i="1"/>
  <c r="Q8" i="21" s="1"/>
  <c r="N31" i="1"/>
  <c r="D877" i="32" l="1"/>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84" i="21" s="1"/>
  <c r="P84" i="21" s="1"/>
  <c r="AD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4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J953" i="32" l="1"/>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85" i="21" s="1"/>
  <c r="P85" i="21" s="1"/>
  <c r="AD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H978" i="32" l="1"/>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86" i="21" s="1"/>
  <c r="P86" i="21" s="1"/>
  <c r="AD86" i="21" s="1"/>
  <c r="B34" i="21"/>
  <c r="B86" i="21" s="1"/>
  <c r="R68" i="21"/>
  <c r="H439" i="32"/>
  <c r="G544" i="32"/>
  <c r="G583" i="32" s="1"/>
  <c r="G638" i="32" s="1"/>
  <c r="H543" i="32"/>
  <c r="H542" i="32"/>
  <c r="G94" i="1"/>
  <c r="G96" i="1" s="1"/>
  <c r="E238" i="32" s="1"/>
  <c r="C954" i="32" s="1"/>
  <c r="I954" i="32" s="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45" i="19" s="1"/>
  <c r="F39" i="1"/>
  <c r="S9" i="21" s="1"/>
  <c r="N44" i="1"/>
  <c r="H99" i="5"/>
  <c r="H94" i="17"/>
  <c r="I42" i="4"/>
  <c r="H114" i="5"/>
  <c r="H109" i="17"/>
  <c r="M6" i="11"/>
  <c r="L6" i="15"/>
  <c r="M7" i="11"/>
  <c r="L7" i="15"/>
  <c r="N4" i="11"/>
  <c r="M4" i="15"/>
  <c r="M41" i="6"/>
  <c r="L227" i="11"/>
  <c r="M26" i="6" s="1"/>
  <c r="I72" i="14"/>
  <c r="I73" i="14"/>
  <c r="J181" i="14"/>
  <c r="I162" i="14"/>
  <c r="L39" i="11"/>
  <c r="M36" i="11" s="1"/>
  <c r="L82" i="5"/>
  <c r="L51" i="19"/>
  <c r="L84" i="11"/>
  <c r="L85" i="11" s="1"/>
  <c r="L86" i="11" s="1"/>
  <c r="L91" i="5"/>
  <c r="M57" i="11"/>
  <c r="M90" i="5" s="1"/>
  <c r="M51" i="19" s="1"/>
  <c r="M87" i="11"/>
  <c r="R5" i="14"/>
  <c r="R15" i="14" s="1"/>
  <c r="N5" i="19"/>
  <c r="P9" i="14"/>
  <c r="L9" i="19"/>
  <c r="P11" i="14"/>
  <c r="L11" i="19"/>
  <c r="Q8" i="14"/>
  <c r="M8" i="19"/>
  <c r="M46" i="4"/>
  <c r="M10" i="4" s="1"/>
  <c r="N10" i="2" s="1"/>
  <c r="M45" i="4"/>
  <c r="M9" i="4" s="1"/>
  <c r="M26" i="4"/>
  <c r="M47" i="4"/>
  <c r="M11" i="4" s="1"/>
  <c r="M27" i="4"/>
  <c r="M25" i="4"/>
  <c r="P10" i="14"/>
  <c r="M7" i="16"/>
  <c r="M74" i="16" s="1"/>
  <c r="M75" i="16" s="1"/>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M977" i="32" l="1"/>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87" i="21" s="1"/>
  <c r="P87" i="21" s="1"/>
  <c r="AD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53" i="19"/>
  <c r="L142" i="11"/>
  <c r="M139" i="11" s="1"/>
  <c r="C52" i="1"/>
  <c r="R99" i="14"/>
  <c r="N51" i="4"/>
  <c r="O44" i="1"/>
  <c r="H4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5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H675" i="32" l="1"/>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88" i="21" s="1"/>
  <c r="P88" i="21" s="1"/>
  <c r="AD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C979" i="32" l="1"/>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89" i="21" s="1"/>
  <c r="P89" i="21" s="1"/>
  <c r="AD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5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J675" i="32" l="1"/>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90" i="21" s="1"/>
  <c r="P90" i="21" s="1"/>
  <c r="AD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5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K675" i="32" l="1"/>
  <c r="C810" i="32"/>
  <c r="C845" i="32" s="1"/>
  <c r="K877" i="32"/>
  <c r="L674" i="32"/>
  <c r="T4" i="26"/>
  <c r="T5" i="26" s="1"/>
  <c r="S8" i="26"/>
  <c r="C381" i="32"/>
  <c r="C408" i="32" s="1"/>
  <c r="E553" i="32"/>
  <c r="E551" i="32"/>
  <c r="K114" i="32"/>
  <c r="K153" i="32" s="1"/>
  <c r="K208" i="32" s="1"/>
  <c r="L112" i="32"/>
  <c r="L113" i="32"/>
  <c r="I39" i="21"/>
  <c r="I91" i="21" s="1"/>
  <c r="W91" i="21" s="1"/>
  <c r="P91" i="21" s="1"/>
  <c r="AD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L877" i="32" l="1"/>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92" i="21" s="1"/>
  <c r="P92" i="21" s="1"/>
  <c r="AD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M877" i="32" l="1"/>
  <c r="C812" i="32"/>
  <c r="C847" i="32" s="1"/>
  <c r="N674" i="32"/>
  <c r="M675" i="32"/>
  <c r="V4" i="26"/>
  <c r="V5" i="26" s="1"/>
  <c r="U8" i="26"/>
  <c r="C383" i="32"/>
  <c r="C410" i="32" s="1"/>
  <c r="I41" i="21"/>
  <c r="I93" i="21" s="1"/>
  <c r="W93" i="21" s="1"/>
  <c r="P93" i="21" s="1"/>
  <c r="AD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5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N877" i="32" l="1"/>
  <c r="C813" i="32"/>
  <c r="C848" i="32" s="1"/>
  <c r="O674" i="32"/>
  <c r="N675" i="32"/>
  <c r="W4" i="26"/>
  <c r="W5" i="26" s="1"/>
  <c r="V8" i="26"/>
  <c r="C384" i="32"/>
  <c r="C411" i="32" s="1"/>
  <c r="Q245" i="11"/>
  <c r="Q235" i="11"/>
  <c r="B42" i="21"/>
  <c r="B94" i="21" s="1"/>
  <c r="I42" i="21"/>
  <c r="I94" i="21" s="1"/>
  <c r="W94" i="21" s="1"/>
  <c r="P94" i="21" s="1"/>
  <c r="AD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C814" i="32" l="1"/>
  <c r="C849" i="32" s="1"/>
  <c r="O877" i="32"/>
  <c r="P674" i="32"/>
  <c r="O675" i="32"/>
  <c r="X4" i="26"/>
  <c r="X5" i="26" s="1"/>
  <c r="W8" i="26"/>
  <c r="C385" i="32"/>
  <c r="C412" i="32" s="1"/>
  <c r="Q195" i="11"/>
  <c r="Q196" i="11" s="1"/>
  <c r="Q39" i="5" s="1"/>
  <c r="C259" i="32"/>
  <c r="C284" i="32"/>
  <c r="C309" i="32" s="1"/>
  <c r="C335" i="32" s="1"/>
  <c r="C360" i="32" s="1"/>
  <c r="I43" i="21"/>
  <c r="I95" i="21" s="1"/>
  <c r="W95" i="21" s="1"/>
  <c r="P95" i="21" s="1"/>
  <c r="AD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5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C815" i="32" l="1"/>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96" i="21" s="1"/>
  <c r="P96" i="21" s="1"/>
  <c r="AD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5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Q877" i="32" l="1"/>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97" i="21" s="1"/>
  <c r="P97" i="21" s="1"/>
  <c r="AD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Z8" i="26" l="1"/>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98" i="21" s="1"/>
  <c r="P98" i="21" s="1"/>
  <c r="AD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5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C818" i="32" l="1"/>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76"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C819" i="32" l="1"/>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5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U877" i="32" l="1"/>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V877" i="32" l="1"/>
  <c r="C821" i="32"/>
  <c r="C856" i="32" s="1"/>
  <c r="W674" i="32"/>
  <c r="V675" i="32"/>
  <c r="C392" i="32"/>
  <c r="C419" i="32" s="1"/>
  <c r="T196" i="11"/>
  <c r="T39" i="5" s="1"/>
  <c r="T197" i="11"/>
  <c r="U194" i="11"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51" i="19" s="1"/>
  <c r="U97" i="11"/>
  <c r="Z5" i="14"/>
  <c r="Z15" i="14" s="1"/>
  <c r="V14" i="4"/>
  <c r="V43" i="4" s="1"/>
  <c r="V5" i="19"/>
  <c r="W5" i="10"/>
  <c r="W14" i="10" s="1"/>
  <c r="V5" i="5"/>
  <c r="U5" i="15" s="1"/>
  <c r="U13" i="15" s="1"/>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C822" i="32" l="1"/>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X675" i="32" l="1"/>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51" i="19" s="1"/>
  <c r="V27" i="11"/>
  <c r="U7" i="15"/>
  <c r="V26" i="4"/>
  <c r="V25" i="4"/>
  <c r="V46" i="4"/>
  <c r="V10" i="4" s="1"/>
  <c r="W10" i="2" s="1"/>
  <c r="V45" i="4"/>
  <c r="V9" i="4" s="1"/>
  <c r="W9" i="2" s="1"/>
  <c r="V47" i="4"/>
  <c r="V11" i="4" s="1"/>
  <c r="W11" i="2" s="1"/>
  <c r="Z88" i="14"/>
  <c r="W6" i="4"/>
  <c r="X6" i="2" s="1"/>
  <c r="W14" i="4"/>
  <c r="W52" i="4" s="1"/>
  <c r="W5" i="5"/>
  <c r="V5" i="15" s="1"/>
  <c r="V13" i="15" s="1"/>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U39" i="5" l="1"/>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V196" i="11" l="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5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W195" i="11" l="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4" i="16" s="1"/>
  <c r="AF6" i="17"/>
  <c r="AD6" i="18"/>
  <c r="W157" i="11"/>
  <c r="X245" i="11" l="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51" i="19" s="1"/>
  <c r="X32" i="11"/>
  <c r="AC5" i="14"/>
  <c r="AC15" i="14" s="1"/>
  <c r="X8" i="5"/>
  <c r="X8" i="11" s="1"/>
  <c r="X8" i="19"/>
  <c r="X27" i="11"/>
  <c r="Z6" i="6"/>
  <c r="Z13" i="6" s="1"/>
  <c r="Z5" i="10"/>
  <c r="Z14" i="10" s="1"/>
  <c r="Z36" i="10" s="1"/>
  <c r="Y5" i="5"/>
  <c r="X5" i="15" s="1"/>
  <c r="X13" i="15" s="1"/>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4" i="16" s="1"/>
  <c r="X169" i="11"/>
  <c r="W28" i="5"/>
  <c r="W32" i="5"/>
  <c r="X195" i="11" l="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4" i="16" s="1"/>
  <c r="AH6" i="17"/>
  <c r="AF6" i="18"/>
  <c r="Y5" i="17"/>
  <c r="AA5" i="16"/>
  <c r="Z10" i="16"/>
  <c r="Z54" i="16" s="1"/>
  <c r="X192" i="11"/>
  <c r="Y189" i="11" s="1"/>
  <c r="X32" i="5"/>
  <c r="H596" i="32" s="1"/>
  <c r="X176" i="11"/>
  <c r="X186" i="11"/>
  <c r="Y245" i="11" l="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51" i="19" s="1"/>
  <c r="Y97" i="11"/>
  <c r="AA4" i="4"/>
  <c r="AB4" i="2" s="1"/>
  <c r="Z24" i="2"/>
  <c r="Y27" i="11"/>
  <c r="Z25" i="10"/>
  <c r="Z30" i="6" s="1"/>
  <c r="AC8" i="14"/>
  <c r="Z7" i="4"/>
  <c r="AA7" i="2" s="1"/>
  <c r="X19" i="11"/>
  <c r="W31" i="15" s="1"/>
  <c r="H652" i="32" s="1"/>
  <c r="AA6" i="6"/>
  <c r="AA13" i="6" s="1"/>
  <c r="Z5" i="19"/>
  <c r="Z5" i="5"/>
  <c r="Y5" i="15" s="1"/>
  <c r="Y13" i="15" s="1"/>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K74" i="16" s="1"/>
  <c r="AI6" i="17"/>
  <c r="Z4" i="17"/>
  <c r="Y4" i="18" s="1"/>
  <c r="AA6" i="16"/>
  <c r="Y8" i="17"/>
  <c r="X5" i="18"/>
  <c r="X8" i="18" s="1"/>
  <c r="AG6" i="18"/>
  <c r="X187" i="11"/>
  <c r="Y184" i="11" s="1"/>
  <c r="X31" i="5"/>
  <c r="X177" i="11"/>
  <c r="Y174" i="11" s="1"/>
  <c r="X29" i="5"/>
  <c r="X172" i="11"/>
  <c r="X28" i="5"/>
  <c r="Z19" i="10" l="1"/>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AL74" i="16" s="1"/>
  <c r="Y169" i="11"/>
  <c r="Z245" i="11" l="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51" i="19" s="1"/>
  <c r="Y171" i="11"/>
  <c r="Y28" i="5" s="1"/>
  <c r="Y19" i="11"/>
  <c r="X31" i="15" s="1"/>
  <c r="Y7" i="15"/>
  <c r="N167" i="11"/>
  <c r="M19" i="15" s="1"/>
  <c r="AD9" i="14"/>
  <c r="Z9" i="19"/>
  <c r="Y5" i="18"/>
  <c r="Y8" i="18" s="1"/>
  <c r="Z8" i="17"/>
  <c r="AA4" i="17"/>
  <c r="Z4" i="18" s="1"/>
  <c r="AB6" i="16"/>
  <c r="AM7" i="16"/>
  <c r="AM74" i="16" s="1"/>
  <c r="AK6" i="17"/>
  <c r="AI6" i="18"/>
  <c r="Y31" i="5"/>
  <c r="AA10" i="6"/>
  <c r="Z9" i="5"/>
  <c r="AA9" i="10"/>
  <c r="AA36" i="6" l="1"/>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N74" i="16" s="1"/>
  <c r="AL6" i="17"/>
  <c r="AC5" i="16"/>
  <c r="AA5" i="17"/>
  <c r="AB10" i="16"/>
  <c r="AB54" i="16" s="1"/>
  <c r="AA245" i="11" l="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5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A5" i="15" s="1"/>
  <c r="AA13" i="15" s="1"/>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O74" i="16" s="1"/>
  <c r="AM6" i="17"/>
  <c r="O27" i="5"/>
  <c r="E594" i="32" s="1"/>
  <c r="Z187" i="11"/>
  <c r="AA184" i="11" s="1"/>
  <c r="Z31" i="5"/>
  <c r="O167" i="11"/>
  <c r="N19" i="15" s="1"/>
  <c r="E643" i="32" s="1"/>
  <c r="AB19" i="10" l="1"/>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P74" i="16" s="1"/>
  <c r="AL6" i="18"/>
  <c r="AB5" i="17"/>
  <c r="AC10" i="16"/>
  <c r="AC54" i="16" s="1"/>
  <c r="AD5" i="16"/>
  <c r="P164" i="11"/>
  <c r="AB245" i="11" l="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5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Q74" i="16" s="1"/>
  <c r="AO6" i="17"/>
  <c r="AC4" i="17"/>
  <c r="AB4" i="18" s="1"/>
  <c r="AD6" i="16"/>
  <c r="AM6" i="18"/>
  <c r="P167" i="11"/>
  <c r="O19" i="15" s="1"/>
  <c r="P27" i="5"/>
  <c r="AC10" i="10"/>
  <c r="AB10" i="5"/>
  <c r="AC11" i="6"/>
  <c r="AB35" i="5" l="1"/>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R74" i="16" s="1"/>
  <c r="AP6" i="17"/>
  <c r="AN6" i="18"/>
  <c r="Q164" i="11"/>
  <c r="AB177" i="11"/>
  <c r="AC174" i="11" s="1"/>
  <c r="AB29" i="5"/>
  <c r="AC245" i="11" l="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5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S74" i="16" s="1"/>
  <c r="AQ6" i="17"/>
  <c r="AE6" i="16"/>
  <c r="AD4" i="17"/>
  <c r="AC4" i="18" s="1"/>
  <c r="AB28" i="5"/>
  <c r="AC169" i="11"/>
  <c r="AB187" i="11"/>
  <c r="AC184" i="11" s="1"/>
  <c r="AC35" i="5" l="1"/>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4" i="16" s="1"/>
  <c r="AC196" i="11" l="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D5" i="15" s="1"/>
  <c r="AD13" i="15" s="1"/>
  <c r="AE6" i="4"/>
  <c r="AF6" i="2" s="1"/>
  <c r="AE5" i="19"/>
  <c r="AE7" i="4"/>
  <c r="AF7" i="2" s="1"/>
  <c r="AX4" i="26"/>
  <c r="AX5" i="26" s="1"/>
  <c r="AW8" i="26"/>
  <c r="AD87" i="11"/>
  <c r="AD88" i="11" s="1"/>
  <c r="AD97" i="11"/>
  <c r="AB11" i="15"/>
  <c r="AD37" i="11"/>
  <c r="AD81" i="5" s="1"/>
  <c r="AD57" i="11"/>
  <c r="AD90" i="5" s="1"/>
  <c r="AD5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U74" i="16" s="1"/>
  <c r="AS6" i="17"/>
  <c r="AC5" i="18"/>
  <c r="AC8" i="18" s="1"/>
  <c r="AD8" i="17"/>
  <c r="AQ6" i="18"/>
  <c r="AD169" i="11"/>
  <c r="AC187" i="11"/>
  <c r="AD184" i="11" s="1"/>
  <c r="R167" i="11"/>
  <c r="Q19" i="15" s="1"/>
  <c r="F643" i="32" s="1"/>
  <c r="R27" i="5"/>
  <c r="F594" i="32" s="1"/>
  <c r="AC197" i="11" l="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V74" i="16" s="1"/>
  <c r="AR6" i="18"/>
  <c r="AE5" i="17"/>
  <c r="AF10" i="16"/>
  <c r="AF54" i="16" s="1"/>
  <c r="AG5" i="16"/>
  <c r="S164" i="11"/>
  <c r="AD196" i="11" l="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5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E5" i="15" s="1"/>
  <c r="AE13" i="15" s="1"/>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W74" i="16" s="1"/>
  <c r="AU6" i="17"/>
  <c r="AD187" i="11"/>
  <c r="AE184" i="11" s="1"/>
  <c r="AD31" i="5"/>
  <c r="S167" i="11"/>
  <c r="R19" i="15" s="1"/>
  <c r="S27" i="5"/>
  <c r="AD39" i="5" l="1"/>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AX74" i="16" s="1"/>
  <c r="T164" i="11"/>
  <c r="AE196" i="11" l="1"/>
  <c r="AE39" i="5" s="1"/>
  <c r="AF245" i="11"/>
  <c r="AF235" i="11"/>
  <c r="AG26" i="10"/>
  <c r="AG21" i="6"/>
  <c r="AE197" i="11"/>
  <c r="AF194" i="11" s="1"/>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5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Y74" i="16" s="1"/>
  <c r="AE5" i="18"/>
  <c r="AE8" i="18" s="1"/>
  <c r="AF8" i="17"/>
  <c r="AU6" i="18"/>
  <c r="AH6" i="16"/>
  <c r="AG4" i="17"/>
  <c r="AF4" i="18" s="1"/>
  <c r="T167" i="11"/>
  <c r="S19" i="15" s="1"/>
  <c r="T27" i="5"/>
  <c r="AG31" i="6" l="1"/>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Z74" i="16" s="1"/>
  <c r="AX6" i="17"/>
  <c r="AV6" i="18"/>
  <c r="AH10" i="16"/>
  <c r="AH54" i="16" s="1"/>
  <c r="AH75" i="16" s="1"/>
  <c r="AI5" i="16"/>
  <c r="AG5" i="17"/>
  <c r="U164" i="11"/>
  <c r="AF176" i="11"/>
  <c r="AF171" i="11"/>
  <c r="U167" i="11" l="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5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G5" i="15" s="1"/>
  <c r="AG13" i="15" s="1"/>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76" i="16"/>
  <c r="AD31" i="15"/>
  <c r="AF16" i="11"/>
  <c r="AF187" i="11"/>
  <c r="AG184" i="11" s="1"/>
  <c r="AK10" i="14"/>
  <c r="AG10" i="19"/>
  <c r="AW6" i="18"/>
  <c r="AF5" i="18"/>
  <c r="AF8" i="18" s="1"/>
  <c r="AG8" i="17"/>
  <c r="BA7" i="16"/>
  <c r="BA74" i="16" s="1"/>
  <c r="AY6" i="17"/>
  <c r="AH4" i="17"/>
  <c r="AG4" i="18" s="1"/>
  <c r="AI6" i="16"/>
  <c r="AF172" i="11"/>
  <c r="AF28" i="5"/>
  <c r="AF177" i="11"/>
  <c r="AG174" i="11" s="1"/>
  <c r="AF29" i="5"/>
  <c r="AH11" i="6"/>
  <c r="AG10" i="5"/>
  <c r="AH10" i="10"/>
  <c r="AF197" i="11" l="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BB74" i="16" s="1"/>
  <c r="AZ6" i="17"/>
  <c r="AI10" i="16"/>
  <c r="AI54" i="16" s="1"/>
  <c r="AI75" i="16" s="1"/>
  <c r="AH5" i="17"/>
  <c r="AJ5" i="16"/>
  <c r="AX6" i="18"/>
  <c r="AG169" i="11"/>
  <c r="AG196" i="11" l="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H5" i="15" s="1"/>
  <c r="AH13" i="15" s="1"/>
  <c r="AI44" i="10"/>
  <c r="AI48" i="10"/>
  <c r="AJ6" i="6"/>
  <c r="AG171" i="11"/>
  <c r="AG172" i="11" s="1"/>
  <c r="AH169" i="11" s="1"/>
  <c r="AH87" i="11"/>
  <c r="AH88" i="11" s="1"/>
  <c r="AH57" i="11"/>
  <c r="AH90" i="5" s="1"/>
  <c r="AH5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76" i="16"/>
  <c r="AH28" i="11"/>
  <c r="AH75" i="5"/>
  <c r="AG187" i="11"/>
  <c r="AH184" i="11" s="1"/>
  <c r="AL10" i="14"/>
  <c r="AH10" i="19"/>
  <c r="AH8" i="17"/>
  <c r="AG5" i="18"/>
  <c r="AG8" i="18" s="1"/>
  <c r="AY6" i="18"/>
  <c r="AJ6" i="16"/>
  <c r="AI4" i="17"/>
  <c r="AH4" i="18" s="1"/>
  <c r="BC7" i="16"/>
  <c r="BC74" i="16" s="1"/>
  <c r="BA6" i="17"/>
  <c r="AG29" i="5"/>
  <c r="V167" i="11"/>
  <c r="U19" i="15" s="1"/>
  <c r="V27" i="5"/>
  <c r="AI11" i="6"/>
  <c r="AH10" i="5"/>
  <c r="AI10" i="10"/>
  <c r="AG197" i="11" l="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BD74" i="16" s="1"/>
  <c r="AZ6" i="18"/>
  <c r="AI5" i="17"/>
  <c r="AK5" i="16"/>
  <c r="AJ10" i="16"/>
  <c r="AJ54" i="16" s="1"/>
  <c r="AJ75" i="16" s="1"/>
  <c r="AH10" i="11"/>
  <c r="W164" i="11"/>
  <c r="AH192" i="11"/>
  <c r="AI189" i="11" s="1"/>
  <c r="AH32" i="5"/>
  <c r="AH157" i="11"/>
  <c r="AH196" i="11" l="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J13" i="19" s="1"/>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5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76" i="16"/>
  <c r="AI28" i="11"/>
  <c r="AI75" i="5"/>
  <c r="AH187" i="11"/>
  <c r="AI184" i="11" s="1"/>
  <c r="AH5" i="18"/>
  <c r="AH8" i="18" s="1"/>
  <c r="AI8" i="17"/>
  <c r="BA6" i="18"/>
  <c r="BC6" i="17"/>
  <c r="BE7" i="16"/>
  <c r="BE74" i="16" s="1"/>
  <c r="AK6" i="16"/>
  <c r="AJ4" i="17"/>
  <c r="AI4" i="18" s="1"/>
  <c r="AH177" i="11"/>
  <c r="AH29" i="5"/>
  <c r="W167" i="11"/>
  <c r="V19" i="15" s="1"/>
  <c r="W27" i="5"/>
  <c r="AH197" i="11" l="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BF74" i="16" s="1"/>
  <c r="AJ5" i="17"/>
  <c r="AK10" i="16"/>
  <c r="AK54" i="16" s="1"/>
  <c r="AK75" i="16" s="1"/>
  <c r="AL5" i="16"/>
  <c r="BB6" i="18"/>
  <c r="AI174" i="11"/>
  <c r="X164" i="11"/>
  <c r="AI192" i="11"/>
  <c r="AJ189" i="11" s="1"/>
  <c r="AI32" i="5"/>
  <c r="AI157" i="11"/>
  <c r="AI196" i="11" l="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13" i="19" s="1"/>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J5" i="15" s="1"/>
  <c r="AJ13" i="15" s="1"/>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5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76" i="16"/>
  <c r="AI187" i="11"/>
  <c r="AJ184" i="11" s="1"/>
  <c r="AI176" i="11"/>
  <c r="AI29" i="5" s="1"/>
  <c r="BC6" i="18"/>
  <c r="AI5" i="18"/>
  <c r="AI8" i="18" s="1"/>
  <c r="AJ8" i="17"/>
  <c r="AL6" i="16"/>
  <c r="AK4" i="17"/>
  <c r="AJ4" i="18" s="1"/>
  <c r="BE6" i="17"/>
  <c r="BG7" i="16"/>
  <c r="BG74" i="16" s="1"/>
  <c r="AI172" i="11"/>
  <c r="AI28" i="5"/>
  <c r="X167" i="11"/>
  <c r="W19" i="15" s="1"/>
  <c r="H643" i="32" s="1"/>
  <c r="X27" i="5"/>
  <c r="H594" i="32" s="1"/>
  <c r="AI39" i="5" l="1"/>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75" i="16" s="1"/>
  <c r="AM5" i="16"/>
  <c r="BF6" i="17"/>
  <c r="BH7" i="16"/>
  <c r="BH74" i="16" s="1"/>
  <c r="AJ169" i="11"/>
  <c r="Y164" i="11"/>
  <c r="AJ191" i="11" l="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13" i="19" s="1"/>
  <c r="AL5" i="5"/>
  <c r="AK5" i="15" s="1"/>
  <c r="AK13" i="15" s="1"/>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76" i="16"/>
  <c r="AK51" i="19"/>
  <c r="AO10" i="14"/>
  <c r="AK10" i="19"/>
  <c r="AJ5" i="18"/>
  <c r="AJ8" i="18" s="1"/>
  <c r="AK8" i="17"/>
  <c r="BI7" i="16"/>
  <c r="BI74" i="16" s="1"/>
  <c r="BG6" i="17"/>
  <c r="BE6" i="18"/>
  <c r="AL4" i="17"/>
  <c r="AK4" i="18" s="1"/>
  <c r="AM6" i="16"/>
  <c r="AJ187" i="11"/>
  <c r="AK184" i="11" s="1"/>
  <c r="AJ31" i="5"/>
  <c r="AK10" i="5"/>
  <c r="AL11" i="6"/>
  <c r="AL10" i="10"/>
  <c r="AJ32" i="5" l="1"/>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J74" i="16" s="1"/>
  <c r="BH6" i="17"/>
  <c r="BF6" i="18"/>
  <c r="AN5" i="16"/>
  <c r="AL5" i="17"/>
  <c r="AM10" i="16"/>
  <c r="AM54" i="16" s="1"/>
  <c r="AM75" i="16" s="1"/>
  <c r="AK10" i="11"/>
  <c r="AK192" i="11" l="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51" i="19" s="1"/>
  <c r="AM4" i="11"/>
  <c r="AM6" i="4"/>
  <c r="AN6" i="2" s="1"/>
  <c r="AM14" i="4"/>
  <c r="AM53" i="4" s="1"/>
  <c r="AN4" i="4"/>
  <c r="AO4" i="2" s="1"/>
  <c r="AM5" i="19"/>
  <c r="AM13" i="19" s="1"/>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76" i="16"/>
  <c r="AL78" i="5"/>
  <c r="AM4" i="17"/>
  <c r="AL4" i="18" s="1"/>
  <c r="AN6" i="16"/>
  <c r="AL8" i="17"/>
  <c r="AK5" i="18"/>
  <c r="AK8" i="18" s="1"/>
  <c r="BG6" i="18"/>
  <c r="BK7" i="16"/>
  <c r="BK74" i="16" s="1"/>
  <c r="BI6" i="17"/>
  <c r="AK187" i="11"/>
  <c r="AL184" i="11" s="1"/>
  <c r="Z167" i="11"/>
  <c r="Y19" i="15" s="1"/>
  <c r="Z27" i="5"/>
  <c r="AK197" i="11" l="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75" i="16" s="1"/>
  <c r="AO5" i="16"/>
  <c r="BH6" i="18"/>
  <c r="BL7" i="16"/>
  <c r="BL74" i="16" s="1"/>
  <c r="BJ6" i="17"/>
  <c r="AA164" i="11"/>
  <c r="AA165" i="11"/>
  <c r="AL157" i="11"/>
  <c r="AL176" i="11" l="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51" i="19" s="1"/>
  <c r="AL9" i="11"/>
  <c r="AN6" i="4"/>
  <c r="AN23" i="10"/>
  <c r="AN21" i="6"/>
  <c r="AN19" i="10" s="1"/>
  <c r="AO6" i="6"/>
  <c r="AO13" i="6" s="1"/>
  <c r="AN14" i="4"/>
  <c r="AN23" i="4" s="1"/>
  <c r="AN9" i="6"/>
  <c r="AN5" i="19"/>
  <c r="AN13" i="19" s="1"/>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M5" i="15" s="1"/>
  <c r="AM13" i="15" s="1"/>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76" i="16"/>
  <c r="BI6" i="18"/>
  <c r="AN4" i="17"/>
  <c r="AM4" i="18" s="1"/>
  <c r="AO6" i="16"/>
  <c r="BM7" i="16"/>
  <c r="BM74" i="16" s="1"/>
  <c r="BK6" i="17"/>
  <c r="AM8" i="17"/>
  <c r="AL5" i="18"/>
  <c r="AL8" i="18" s="1"/>
  <c r="AL31" i="5"/>
  <c r="AL192" i="11"/>
  <c r="AM189" i="11" s="1"/>
  <c r="AL32" i="5"/>
  <c r="AA167" i="11"/>
  <c r="Z19" i="15" s="1"/>
  <c r="I643" i="32" s="1"/>
  <c r="AA27" i="5"/>
  <c r="I594" i="32" s="1"/>
  <c r="AM196" i="11" l="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N74" i="16" s="1"/>
  <c r="BJ6" i="18"/>
  <c r="AO10" i="16"/>
  <c r="AO54" i="16" s="1"/>
  <c r="AO75" i="16" s="1"/>
  <c r="AP5" i="16"/>
  <c r="AN5" i="17"/>
  <c r="AB164" i="11"/>
  <c r="AB165" i="11"/>
  <c r="AM186" i="11"/>
  <c r="AO44" i="10"/>
  <c r="AO45" i="10"/>
  <c r="AO47" i="10"/>
  <c r="AO48" i="10"/>
  <c r="AO49" i="10"/>
  <c r="AO52" i="10"/>
  <c r="AO50" i="10"/>
  <c r="AO53" i="10"/>
  <c r="AO46" i="10"/>
  <c r="AM176" i="11" l="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13" i="19" s="1"/>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76" i="16"/>
  <c r="AJ31" i="15"/>
  <c r="AL16" i="11"/>
  <c r="AN51" i="19"/>
  <c r="AN8" i="17"/>
  <c r="AM5" i="18"/>
  <c r="AM8" i="18" s="1"/>
  <c r="BK6" i="18"/>
  <c r="AO4" i="17"/>
  <c r="AN4" i="18" s="1"/>
  <c r="AP6" i="16"/>
  <c r="BM6" i="17"/>
  <c r="BO7" i="16"/>
  <c r="BO74" i="16" s="1"/>
  <c r="AM28" i="5"/>
  <c r="AM192" i="11"/>
  <c r="AN189" i="11" s="1"/>
  <c r="AN169" i="11"/>
  <c r="AM187" i="11"/>
  <c r="AN184" i="11" s="1"/>
  <c r="AM31" i="5"/>
  <c r="AB167" i="11"/>
  <c r="AA19" i="15" s="1"/>
  <c r="AB27" i="5"/>
  <c r="AN196" i="11" l="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75" i="16" s="1"/>
  <c r="AQ5" i="16"/>
  <c r="BL6" i="18"/>
  <c r="BP7" i="16"/>
  <c r="BP74" i="16" s="1"/>
  <c r="BN6" i="17"/>
  <c r="AC164" i="11"/>
  <c r="AN10" i="11" l="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51" i="19" s="1"/>
  <c r="AO97" i="11"/>
  <c r="AO17" i="11"/>
  <c r="AO69" i="5" s="1"/>
  <c r="AO245" i="11"/>
  <c r="AO235" i="11"/>
  <c r="AN7" i="15"/>
  <c r="AO7" i="11"/>
  <c r="AT5" i="14"/>
  <c r="AT15" i="14" s="1"/>
  <c r="AP5" i="19"/>
  <c r="AP13" i="19" s="1"/>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76" i="16"/>
  <c r="AN172" i="11"/>
  <c r="AN187" i="11"/>
  <c r="AO184" i="11" s="1"/>
  <c r="AN32" i="5"/>
  <c r="BM6" i="18"/>
  <c r="AQ6" i="16"/>
  <c r="AP4" i="17"/>
  <c r="AO4" i="18" s="1"/>
  <c r="BO6" i="17"/>
  <c r="BQ7" i="16"/>
  <c r="BQ74" i="16" s="1"/>
  <c r="AN5" i="18"/>
  <c r="AN8" i="18" s="1"/>
  <c r="AO8" i="17"/>
  <c r="AN177" i="11"/>
  <c r="AO174" i="11" s="1"/>
  <c r="AN29" i="5"/>
  <c r="AC167" i="11"/>
  <c r="AB19" i="15" s="1"/>
  <c r="AC27" i="5"/>
  <c r="AP33" i="6"/>
  <c r="AO175" i="11"/>
  <c r="AO196" i="11" l="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BR74" i="16" s="1"/>
  <c r="AQ10" i="16"/>
  <c r="AQ54" i="16" s="1"/>
  <c r="AQ75" i="16" s="1"/>
  <c r="AP5" i="17"/>
  <c r="AR5" i="16"/>
  <c r="BN6" i="18"/>
  <c r="AD164" i="11"/>
  <c r="AO176" i="11"/>
  <c r="AO177" i="11" s="1"/>
  <c r="AP174" i="11" s="1"/>
  <c r="AP17" i="11"/>
  <c r="AP97" i="11"/>
  <c r="AP48" i="6" l="1"/>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13" i="19" s="1"/>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76" i="16"/>
  <c r="AM19" i="11"/>
  <c r="AP75" i="5"/>
  <c r="AP78" i="5"/>
  <c r="AP81" i="5"/>
  <c r="AP140" i="11"/>
  <c r="AP51" i="19"/>
  <c r="AP8" i="17"/>
  <c r="AO5" i="18"/>
  <c r="AO8" i="18" s="1"/>
  <c r="BO6" i="18"/>
  <c r="BQ6" i="17"/>
  <c r="BS7" i="16"/>
  <c r="BS74" i="16" s="1"/>
  <c r="AQ4" i="17"/>
  <c r="AP4" i="18" s="1"/>
  <c r="AR6" i="16"/>
  <c r="AO29" i="5"/>
  <c r="AP69" i="5"/>
  <c r="AO187" i="11"/>
  <c r="AP184" i="11" s="1"/>
  <c r="AO31" i="5"/>
  <c r="AD167" i="11"/>
  <c r="AC19" i="15" s="1"/>
  <c r="J643" i="32" s="1"/>
  <c r="AD27" i="5"/>
  <c r="J594" i="32" s="1"/>
  <c r="AP145" i="11"/>
  <c r="AP214" i="11"/>
  <c r="AO42" i="5" l="1"/>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T74" i="16" s="1"/>
  <c r="BR6" i="17"/>
  <c r="AS5" i="16"/>
  <c r="AQ5" i="17"/>
  <c r="AR10" i="16"/>
  <c r="AR54" i="16" s="1"/>
  <c r="AR75" i="16" s="1"/>
  <c r="AE164" i="11"/>
  <c r="AP157" i="11"/>
  <c r="AP11" i="11" l="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3" i="19" s="1"/>
  <c r="AR14" i="4"/>
  <c r="AR5" i="5"/>
  <c r="AR6" i="4"/>
  <c r="AV5" i="14"/>
  <c r="AV15" i="14" s="1"/>
  <c r="AS4" i="4"/>
  <c r="AR7" i="4"/>
  <c r="AS6" i="6"/>
  <c r="AS5" i="10"/>
  <c r="AS14" i="10" s="1"/>
  <c r="AS36" i="10" s="1"/>
  <c r="AQ87" i="11"/>
  <c r="AQ88" i="11" s="1"/>
  <c r="AQ57" i="11"/>
  <c r="AQ90" i="5" s="1"/>
  <c r="AQ51" i="19" s="1"/>
  <c r="AQ27" i="11"/>
  <c r="AQ17" i="11"/>
  <c r="AQ69" i="5" s="1"/>
  <c r="AQ37" i="11"/>
  <c r="AQ81" i="5" s="1"/>
  <c r="AQ97" i="11"/>
  <c r="AQ32" i="11"/>
  <c r="AP191" i="11"/>
  <c r="DS6" i="26"/>
  <c r="AP68" i="11"/>
  <c r="AP102" i="5" s="1"/>
  <c r="AP27" i="19" s="1"/>
  <c r="BX4" i="26"/>
  <c r="BX5" i="26" s="1"/>
  <c r="BW8" i="26"/>
  <c r="AN18" i="11"/>
  <c r="AN70" i="5" s="1"/>
  <c r="AN68" i="5" s="1"/>
  <c r="AR76" i="16"/>
  <c r="BQ6" i="18"/>
  <c r="AP5" i="18"/>
  <c r="AP8" i="18" s="1"/>
  <c r="AQ8" i="17"/>
  <c r="AS6" i="16"/>
  <c r="AR4" i="17"/>
  <c r="AQ4" i="18" s="1"/>
  <c r="BS6" i="17"/>
  <c r="BU7" i="16"/>
  <c r="BU74" i="16" s="1"/>
  <c r="AP187" i="11"/>
  <c r="AQ184" i="11" s="1"/>
  <c r="AP31" i="5"/>
  <c r="AE167" i="11"/>
  <c r="AD19" i="15" s="1"/>
  <c r="AE27" i="5"/>
  <c r="AP29" i="5" l="1"/>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75" i="16" s="1"/>
  <c r="AT5" i="16"/>
  <c r="AR5" i="17"/>
  <c r="BV7" i="16"/>
  <c r="BV74" i="16" s="1"/>
  <c r="BT6" i="17"/>
  <c r="BR6" i="18"/>
  <c r="AF164" i="11"/>
  <c r="AQ176" i="11" l="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51" i="19" s="1"/>
  <c r="AR87" i="11"/>
  <c r="AR88" i="11" s="1"/>
  <c r="AR6" i="11"/>
  <c r="AQ6" i="15"/>
  <c r="AR4" i="15"/>
  <c r="AS4" i="11"/>
  <c r="AT5" i="2"/>
  <c r="AT14" i="2" s="1"/>
  <c r="AW5" i="14"/>
  <c r="AW15" i="14" s="1"/>
  <c r="AS5" i="19"/>
  <c r="AS13" i="19" s="1"/>
  <c r="AQ11" i="11"/>
  <c r="AP11" i="15"/>
  <c r="AQ10" i="11"/>
  <c r="AP10" i="15"/>
  <c r="AP9" i="15"/>
  <c r="AQ9" i="11"/>
  <c r="DU6" i="26"/>
  <c r="AQ68" i="11"/>
  <c r="AQ102" i="5" s="1"/>
  <c r="AQ27" i="19" s="1"/>
  <c r="BZ4" i="26"/>
  <c r="BZ5" i="26" s="1"/>
  <c r="BY8" i="26"/>
  <c r="AM31" i="15"/>
  <c r="AO16" i="11"/>
  <c r="AS76" i="16"/>
  <c r="BW7" i="16"/>
  <c r="BW74" i="16" s="1"/>
  <c r="BU6" i="17"/>
  <c r="AQ5" i="18"/>
  <c r="AQ8" i="18" s="1"/>
  <c r="AR8" i="17"/>
  <c r="AT6" i="16"/>
  <c r="AS4" i="17"/>
  <c r="AR4" i="18" s="1"/>
  <c r="BS6" i="18"/>
  <c r="AQ187" i="11"/>
  <c r="AR184" i="11" s="1"/>
  <c r="AF167" i="11"/>
  <c r="AE19" i="15" s="1"/>
  <c r="AF27" i="5"/>
  <c r="AS33" i="6"/>
  <c r="AR175" i="11"/>
  <c r="AR196" i="11" l="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AR34" i="11"/>
  <c r="AS31" i="11" s="1"/>
  <c r="AS110" i="11" s="1"/>
  <c r="AT49" i="6" s="1"/>
  <c r="BT6" i="18"/>
  <c r="BX7" i="16"/>
  <c r="BX74" i="16" s="1"/>
  <c r="BV6" i="17"/>
  <c r="AT10" i="16"/>
  <c r="AT54" i="16" s="1"/>
  <c r="AT75" i="16" s="1"/>
  <c r="AU5" i="16"/>
  <c r="AS5" i="17"/>
  <c r="AG164" i="11"/>
  <c r="AT45" i="10"/>
  <c r="AT23" i="2" l="1"/>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T13" i="19" s="1"/>
  <c r="AU4" i="4"/>
  <c r="AT7" i="4"/>
  <c r="AU6" i="6"/>
  <c r="AU13" i="6" s="1"/>
  <c r="AT5" i="5"/>
  <c r="AS5" i="15" s="1"/>
  <c r="AS13" i="15" s="1"/>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51" i="19" s="1"/>
  <c r="AS87" i="11"/>
  <c r="AS88" i="11" s="1"/>
  <c r="AQ10" i="15"/>
  <c r="AR10" i="11"/>
  <c r="AR11" i="11"/>
  <c r="AQ11" i="15"/>
  <c r="AR9" i="11"/>
  <c r="AQ9" i="15"/>
  <c r="AR68" i="11"/>
  <c r="AR102" i="5" s="1"/>
  <c r="AR27" i="19" s="1"/>
  <c r="AO19" i="11"/>
  <c r="AN31" i="15" s="1"/>
  <c r="CB4" i="26"/>
  <c r="CB5" i="26" s="1"/>
  <c r="CA8" i="26"/>
  <c r="AT76" i="16"/>
  <c r="AR177" i="11"/>
  <c r="AS174" i="11" s="1"/>
  <c r="BW6" i="17"/>
  <c r="BY7" i="16"/>
  <c r="BY74" i="16" s="1"/>
  <c r="AS8" i="17"/>
  <c r="AR5" i="18"/>
  <c r="AR8" i="18" s="1"/>
  <c r="AT4" i="17"/>
  <c r="AS4" i="18" s="1"/>
  <c r="AU6" i="16"/>
  <c r="BU6" i="18"/>
  <c r="AR187" i="11"/>
  <c r="AS184" i="11" s="1"/>
  <c r="AR31" i="5"/>
  <c r="AG167" i="11"/>
  <c r="AF19" i="15" s="1"/>
  <c r="K643" i="32" s="1"/>
  <c r="AG27" i="5"/>
  <c r="K594" i="32" s="1"/>
  <c r="AU6" i="10" l="1"/>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U21" i="6"/>
  <c r="AU19" i="10" s="1"/>
  <c r="AS250" i="11"/>
  <c r="AS251" i="11" s="1"/>
  <c r="AS252" i="11" s="1"/>
  <c r="AT249" i="11" s="1"/>
  <c r="AS247" i="11"/>
  <c r="AT244" i="11" s="1"/>
  <c r="AT72" i="11"/>
  <c r="AT106" i="5" s="1"/>
  <c r="AP16" i="11"/>
  <c r="AP18" i="11" s="1"/>
  <c r="AP70" i="5" s="1"/>
  <c r="AP68" i="5" s="1"/>
  <c r="CC4" i="26"/>
  <c r="CC5" i="26" s="1"/>
  <c r="CB8" i="26"/>
  <c r="AT6" i="11"/>
  <c r="AS6" i="15"/>
  <c r="AT57" i="11"/>
  <c r="AT90" i="5" s="1"/>
  <c r="AT8" i="19"/>
  <c r="AU10" i="16"/>
  <c r="AU54" i="16" s="1"/>
  <c r="AU75" i="16" s="1"/>
  <c r="AT5" i="17"/>
  <c r="AV5" i="16"/>
  <c r="BZ7" i="16"/>
  <c r="BZ74" i="16" s="1"/>
  <c r="BX6" i="17"/>
  <c r="BV6" i="18"/>
  <c r="AH164" i="11"/>
  <c r="AU45" i="10"/>
  <c r="AU49" i="10"/>
  <c r="AU46" i="10"/>
  <c r="AU50" i="10"/>
  <c r="AU52" i="10"/>
  <c r="AU24" i="10"/>
  <c r="AU25" i="10"/>
  <c r="AU44" i="10"/>
  <c r="AT47" i="4"/>
  <c r="AT11" i="4" s="1"/>
  <c r="AU11" i="2" s="1"/>
  <c r="AT25" i="4"/>
  <c r="AT46" i="4"/>
  <c r="AT10" i="4" s="1"/>
  <c r="AU10" i="2" s="1"/>
  <c r="AU47" i="10" l="1"/>
  <c r="AT26" i="4"/>
  <c r="AT45" i="4"/>
  <c r="AT9" i="4" s="1"/>
  <c r="AU9" i="2" s="1"/>
  <c r="AU21" i="2"/>
  <c r="AU23" i="2"/>
  <c r="AU30" i="2"/>
  <c r="AT17" i="11"/>
  <c r="AT97" i="11"/>
  <c r="AT214" i="11" s="1"/>
  <c r="AU8" i="10"/>
  <c r="AU9" i="6"/>
  <c r="AX8" i="14"/>
  <c r="AT8" i="5"/>
  <c r="AT8" i="11" s="1"/>
  <c r="AU53" i="10"/>
  <c r="AS10" i="11"/>
  <c r="AT27" i="11"/>
  <c r="AT75" i="5" s="1"/>
  <c r="AT32" i="11"/>
  <c r="AU7" i="4"/>
  <c r="AV7" i="2" s="1"/>
  <c r="AU14" i="4"/>
  <c r="AU29" i="4" s="1"/>
  <c r="AU31" i="10"/>
  <c r="AU36" i="6" s="1"/>
  <c r="AU28" i="10"/>
  <c r="AU27" i="10"/>
  <c r="AT170" i="11" s="1"/>
  <c r="AU26" i="10"/>
  <c r="AU31" i="6" s="1"/>
  <c r="AU25" i="2"/>
  <c r="AU22" i="10"/>
  <c r="AU27" i="6" s="1"/>
  <c r="AU24" i="2"/>
  <c r="AT67" i="11"/>
  <c r="AT101" i="5" s="1"/>
  <c r="AV6" i="6"/>
  <c r="AV13" i="6" s="1"/>
  <c r="AU5" i="5"/>
  <c r="AT5" i="15" s="1"/>
  <c r="AT13" i="15" s="1"/>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U13" i="19" s="1"/>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76" i="16"/>
  <c r="AT78" i="5"/>
  <c r="AS177" i="11"/>
  <c r="AT174" i="11" s="1"/>
  <c r="AT51" i="19"/>
  <c r="AX10" i="14"/>
  <c r="AT10" i="19"/>
  <c r="AX11" i="14"/>
  <c r="AT11" i="19"/>
  <c r="AX9" i="14"/>
  <c r="AT9" i="19"/>
  <c r="AZ4" i="14"/>
  <c r="AV4" i="19"/>
  <c r="AS187" i="11"/>
  <c r="AT184" i="11" s="1"/>
  <c r="AS5" i="18"/>
  <c r="AS8" i="18" s="1"/>
  <c r="AT8" i="17"/>
  <c r="BW6" i="18"/>
  <c r="CA7" i="16"/>
  <c r="CA74" i="16" s="1"/>
  <c r="BY6" i="17"/>
  <c r="AV6" i="16"/>
  <c r="AU4" i="17"/>
  <c r="AT4" i="18" s="1"/>
  <c r="AU30" i="6"/>
  <c r="AT26" i="5"/>
  <c r="AU29" i="6"/>
  <c r="AT25" i="5"/>
  <c r="AT69" i="5"/>
  <c r="AH167" i="11"/>
  <c r="AG19" i="15" s="1"/>
  <c r="AH27" i="5"/>
  <c r="AU33" i="6"/>
  <c r="AT175" i="11"/>
  <c r="AU35" i="6"/>
  <c r="AT185" i="11"/>
  <c r="AT145" i="11"/>
  <c r="AV5" i="4"/>
  <c r="AW5" i="2" s="1"/>
  <c r="AW14" i="2" s="1"/>
  <c r="AW4" i="10"/>
  <c r="AW5" i="6"/>
  <c r="AV4" i="5"/>
  <c r="AT9" i="5"/>
  <c r="AU10" i="6"/>
  <c r="AU9" i="10"/>
  <c r="AU18" i="4"/>
  <c r="AU37" i="4"/>
  <c r="AU38" i="4" s="1"/>
  <c r="AU39" i="4" s="1"/>
  <c r="AU11" i="6"/>
  <c r="AT10" i="5"/>
  <c r="AU10" i="10"/>
  <c r="AT11" i="5"/>
  <c r="AU12" i="6"/>
  <c r="AU11" i="10"/>
  <c r="AU7" i="19" l="1"/>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U6" i="11"/>
  <c r="AT9" i="11"/>
  <c r="AS9" i="15"/>
  <c r="AU7" i="11"/>
  <c r="AS10" i="15"/>
  <c r="AV4" i="11"/>
  <c r="AU4" i="15"/>
  <c r="AZ5" i="14"/>
  <c r="AZ15" i="14" s="1"/>
  <c r="AV5" i="19"/>
  <c r="CB7" i="16"/>
  <c r="CB74" i="16" s="1"/>
  <c r="BZ6" i="17"/>
  <c r="BX6" i="18"/>
  <c r="AT10" i="11"/>
  <c r="AW5" i="16"/>
  <c r="AU5" i="17"/>
  <c r="AV10" i="16"/>
  <c r="AV54" i="16" s="1"/>
  <c r="AV75" i="16" s="1"/>
  <c r="AI164" i="11"/>
  <c r="AT176" i="11"/>
  <c r="AT29" i="5" s="1"/>
  <c r="AT186" i="11"/>
  <c r="AT31" i="5" s="1"/>
  <c r="AT157" i="11"/>
  <c r="AV7" i="4"/>
  <c r="AW7" i="2" s="1"/>
  <c r="AW4" i="4"/>
  <c r="AX4" i="2" s="1"/>
  <c r="AV6" i="4"/>
  <c r="AW6" i="2" s="1"/>
  <c r="AV14" i="4"/>
  <c r="AW6" i="6"/>
  <c r="AW13" i="6" s="1"/>
  <c r="AW5" i="10"/>
  <c r="AW14" i="10" s="1"/>
  <c r="AV5" i="5"/>
  <c r="AU5" i="15" s="1"/>
  <c r="AU13" i="15" s="1"/>
  <c r="AV25" i="10" l="1"/>
  <c r="AV30" i="6" s="1"/>
  <c r="AU8" i="5"/>
  <c r="AV9" i="6"/>
  <c r="AV22" i="10"/>
  <c r="AV28" i="10"/>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5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U175" i="11"/>
  <c r="AV33" i="6"/>
  <c r="AT251" i="11"/>
  <c r="AT68" i="11" s="1"/>
  <c r="AT102" i="5" s="1"/>
  <c r="AT27" i="19" s="1"/>
  <c r="AU246" i="11"/>
  <c r="AQ19" i="11"/>
  <c r="AP31" i="15" s="1"/>
  <c r="CF4" i="26"/>
  <c r="CF5" i="26" s="1"/>
  <c r="CE8" i="26"/>
  <c r="AV76" i="16"/>
  <c r="AW16" i="6"/>
  <c r="AW60" i="6" s="1"/>
  <c r="AU8" i="11"/>
  <c r="AT8" i="15"/>
  <c r="AV13" i="19"/>
  <c r="AY11" i="14"/>
  <c r="AU11" i="19"/>
  <c r="AY10" i="14"/>
  <c r="AZ7" i="14"/>
  <c r="AV7" i="19"/>
  <c r="AY9" i="14"/>
  <c r="AU9" i="19"/>
  <c r="AZ6" i="14"/>
  <c r="AV6" i="19"/>
  <c r="BA4" i="14"/>
  <c r="AW4" i="19"/>
  <c r="AT5" i="18"/>
  <c r="AT8" i="18" s="1"/>
  <c r="AU8" i="17"/>
  <c r="BY6" i="18"/>
  <c r="AV4" i="17"/>
  <c r="AU4" i="18" s="1"/>
  <c r="AW6" i="16"/>
  <c r="CC7" i="16"/>
  <c r="CC74" i="16" s="1"/>
  <c r="CA6" i="17"/>
  <c r="AT172" i="11"/>
  <c r="AT28" i="5"/>
  <c r="AT187" i="11"/>
  <c r="AU184" i="11" s="1"/>
  <c r="AV27" i="6"/>
  <c r="AU23" i="5"/>
  <c r="AT177" i="11"/>
  <c r="AU174" i="11" s="1"/>
  <c r="AU26" i="5"/>
  <c r="AI167" i="11"/>
  <c r="AH19" i="15" s="1"/>
  <c r="AI27" i="5"/>
  <c r="AV54" i="4"/>
  <c r="AV52" i="4"/>
  <c r="AV55" i="4"/>
  <c r="AV53" i="4"/>
  <c r="AV31" i="6"/>
  <c r="AU166" i="11"/>
  <c r="AW36" i="10"/>
  <c r="AU11" i="5"/>
  <c r="AV11" i="10"/>
  <c r="AV12" i="6"/>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32" i="6" l="1"/>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75" i="16" s="1"/>
  <c r="CD7" i="16"/>
  <c r="CD74" i="16" s="1"/>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5" i="15" s="1"/>
  <c r="AV13" i="15" s="1"/>
  <c r="AV17" i="11"/>
  <c r="AV97" i="11"/>
  <c r="AV45" i="4"/>
  <c r="AV9" i="4" s="1"/>
  <c r="AW9" i="2" s="1"/>
  <c r="AV25" i="4"/>
  <c r="AV46" i="4"/>
  <c r="AV10" i="4" s="1"/>
  <c r="AW10" i="2" s="1"/>
  <c r="AV26" i="4"/>
  <c r="AV47" i="4"/>
  <c r="AV11" i="4" s="1"/>
  <c r="AW11" i="2" s="1"/>
  <c r="AV27" i="4"/>
  <c r="AW9" i="6"/>
  <c r="AV8" i="5"/>
  <c r="AW8" i="10"/>
  <c r="AU197" i="11" l="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76" i="16"/>
  <c r="AR19" i="11"/>
  <c r="AX16" i="6"/>
  <c r="AX60" i="6" s="1"/>
  <c r="AV78" i="5"/>
  <c r="AV28" i="11"/>
  <c r="AV75" i="5"/>
  <c r="BA99" i="14"/>
  <c r="AV8" i="11"/>
  <c r="AU8" i="15"/>
  <c r="AV140" i="11"/>
  <c r="AV5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E74" i="16" s="1"/>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AV39" i="5" l="1"/>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F74" i="16" s="1"/>
  <c r="CD6" i="17"/>
  <c r="AV10" i="11"/>
  <c r="AX10" i="16"/>
  <c r="AX54" i="16" s="1"/>
  <c r="AX75"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W5" i="15" s="1"/>
  <c r="AW13" i="15" s="1"/>
  <c r="AY5" i="10"/>
  <c r="AY14" i="10" s="1"/>
  <c r="AY6" i="6"/>
  <c r="AY13" i="6" s="1"/>
  <c r="AV34" i="11" l="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76" i="16"/>
  <c r="AS18" i="11"/>
  <c r="AS70" i="5" s="1"/>
  <c r="AS68" i="5" s="1"/>
  <c r="AY16" i="6"/>
  <c r="AY60" i="6" s="1"/>
  <c r="AW28" i="11"/>
  <c r="AW75" i="5"/>
  <c r="AW33" i="11"/>
  <c r="AW78" i="5"/>
  <c r="BB104" i="14"/>
  <c r="AW8" i="11"/>
  <c r="AV8" i="15"/>
  <c r="AW140" i="11"/>
  <c r="AW5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CG74" i="16" s="1"/>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176" i="11" l="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51" i="19" s="1"/>
  <c r="AX87" i="11"/>
  <c r="AX88" i="11" s="1"/>
  <c r="BC5" i="14"/>
  <c r="BC15" i="14" s="1"/>
  <c r="AY5" i="19"/>
  <c r="BB8" i="14"/>
  <c r="AX8" i="19"/>
  <c r="CD6" i="18"/>
  <c r="AW10" i="11"/>
  <c r="AY10" i="16"/>
  <c r="AY54" i="16" s="1"/>
  <c r="AY75" i="16" s="1"/>
  <c r="AZ5" i="16"/>
  <c r="AX5" i="17"/>
  <c r="CH7" i="16"/>
  <c r="CH74" i="16" s="1"/>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AW177" i="11" l="1"/>
  <c r="AX174" i="11" s="1"/>
  <c r="AW29" i="5"/>
  <c r="AW111" i="11"/>
  <c r="AW43" i="5" s="1"/>
  <c r="AW192" i="11"/>
  <c r="AX189" i="11" s="1"/>
  <c r="AW32" i="5"/>
  <c r="AY28" i="6"/>
  <c r="AX24" i="5"/>
  <c r="AW68" i="11"/>
  <c r="AW102" i="5" s="1"/>
  <c r="AW27" i="19" s="1"/>
  <c r="AX246" i="11"/>
  <c r="AT16" i="11"/>
  <c r="AT18" i="11" s="1"/>
  <c r="AT70" i="5" s="1"/>
  <c r="AT68" i="5" s="1"/>
  <c r="CL4" i="26"/>
  <c r="CL5" i="26" s="1"/>
  <c r="CK8" i="26"/>
  <c r="AY76"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I74" i="16" s="1"/>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AW112" i="11" l="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CJ74" i="16" s="1"/>
  <c r="AY5" i="17"/>
  <c r="BA5" i="16"/>
  <c r="AZ10" i="16"/>
  <c r="AZ54" i="16" s="1"/>
  <c r="AZ75"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5" i="15" s="1"/>
  <c r="AY13" i="15" s="1"/>
  <c r="AY27" i="4"/>
  <c r="AY45" i="4"/>
  <c r="AY9" i="4" s="1"/>
  <c r="AZ9" i="2" s="1"/>
  <c r="AY46" i="4"/>
  <c r="AY10" i="4" s="1"/>
  <c r="AZ10" i="2" s="1"/>
  <c r="AY47" i="4"/>
  <c r="AY11" i="4" s="1"/>
  <c r="AZ11" i="2" s="1"/>
  <c r="AY26" i="4"/>
  <c r="AY25" i="4"/>
  <c r="AZ8" i="10"/>
  <c r="AZ9" i="6"/>
  <c r="AY8" i="5"/>
  <c r="AY17" i="11"/>
  <c r="AY97" i="11"/>
  <c r="AX43" i="5" l="1"/>
  <c r="AX32" i="5"/>
  <c r="AX192" i="11"/>
  <c r="AY189" i="11" s="1"/>
  <c r="AX177" i="11"/>
  <c r="AY174" i="11" s="1"/>
  <c r="AX29" i="5"/>
  <c r="AZ31" i="6"/>
  <c r="AY166" i="11"/>
  <c r="AN165" i="11" s="1"/>
  <c r="AX68" i="11"/>
  <c r="AX102" i="5" s="1"/>
  <c r="AX27" i="19" s="1"/>
  <c r="AY246" i="11"/>
  <c r="AU16" i="11"/>
  <c r="AU18" i="11" s="1"/>
  <c r="AU70" i="5" s="1"/>
  <c r="AU68" i="5" s="1"/>
  <c r="CN4" i="26"/>
  <c r="CN5" i="26" s="1"/>
  <c r="CM8" i="26"/>
  <c r="AZ76" i="16"/>
  <c r="BA16" i="6"/>
  <c r="BA60" i="6" s="1"/>
  <c r="AY28" i="11"/>
  <c r="AY75" i="5"/>
  <c r="AY111" i="11"/>
  <c r="AY106" i="11"/>
  <c r="AY33" i="11"/>
  <c r="AY79" i="5" s="1"/>
  <c r="AY77" i="5" s="1"/>
  <c r="AY38" i="11"/>
  <c r="AY82" i="5" s="1"/>
  <c r="AY80" i="5" s="1"/>
  <c r="BD99" i="14"/>
  <c r="AY8" i="11"/>
  <c r="AX8" i="15"/>
  <c r="AY140" i="11"/>
  <c r="AY51" i="19"/>
  <c r="BD104" i="14"/>
  <c r="AZ13" i="19"/>
  <c r="BD7" i="14"/>
  <c r="AZ7" i="19"/>
  <c r="BC10" i="14"/>
  <c r="AY10" i="19"/>
  <c r="BC9" i="14"/>
  <c r="AY9" i="19"/>
  <c r="BE4" i="14"/>
  <c r="BA4" i="19"/>
  <c r="BC11" i="14"/>
  <c r="AY11" i="19"/>
  <c r="BD6" i="14"/>
  <c r="AZ6" i="19"/>
  <c r="AX187" i="11"/>
  <c r="AY184" i="11" s="1"/>
  <c r="AX5" i="18"/>
  <c r="AX8" i="18" s="1"/>
  <c r="AY8" i="17"/>
  <c r="CK7" i="16"/>
  <c r="CK74" i="16" s="1"/>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AY176" i="11" l="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L74" i="16" s="1"/>
  <c r="CJ6" i="17"/>
  <c r="AY10" i="11"/>
  <c r="AY171" i="11"/>
  <c r="AY28" i="5" s="1"/>
  <c r="BA10" i="16"/>
  <c r="BA54" i="16" s="1"/>
  <c r="BA75"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5" i="15" s="1"/>
  <c r="AZ13" i="15" s="1"/>
  <c r="AZ46" i="4"/>
  <c r="AZ10" i="4" s="1"/>
  <c r="BA10" i="2" s="1"/>
  <c r="AZ45" i="4"/>
  <c r="AZ9" i="4" s="1"/>
  <c r="BA9" i="2" s="1"/>
  <c r="AZ47" i="4"/>
  <c r="AZ11" i="4" s="1"/>
  <c r="BA11" i="2" s="1"/>
  <c r="AZ27" i="4"/>
  <c r="AZ26" i="4"/>
  <c r="AZ25" i="4"/>
  <c r="AY177" i="11" l="1"/>
  <c r="AZ174" i="11" s="1"/>
  <c r="AY29" i="5"/>
  <c r="AZ25" i="5"/>
  <c r="BA29" i="6"/>
  <c r="AY68" i="11"/>
  <c r="AY102" i="5" s="1"/>
  <c r="AY27" i="19" s="1"/>
  <c r="AV16" i="11"/>
  <c r="AV18" i="11" s="1"/>
  <c r="AV70" i="5" s="1"/>
  <c r="AV68" i="5" s="1"/>
  <c r="AZ246" i="11"/>
  <c r="CP4" i="26"/>
  <c r="CP5" i="26" s="1"/>
  <c r="CO8" i="26"/>
  <c r="BA76" i="16"/>
  <c r="BB16" i="6"/>
  <c r="BB60" i="6" s="1"/>
  <c r="AZ38" i="11"/>
  <c r="AZ82" i="5" s="1"/>
  <c r="AZ33" i="11"/>
  <c r="AZ78" i="5"/>
  <c r="AZ81" i="5"/>
  <c r="AZ28" i="11"/>
  <c r="AZ75" i="5"/>
  <c r="AZ111" i="11"/>
  <c r="AZ106" i="11"/>
  <c r="BE99" i="14"/>
  <c r="AZ8" i="11"/>
  <c r="AY8" i="15"/>
  <c r="AZ140" i="11"/>
  <c r="AY187" i="11"/>
  <c r="AZ184" i="11" s="1"/>
  <c r="AZ51" i="19"/>
  <c r="BE104" i="14"/>
  <c r="BA13" i="19"/>
  <c r="BD10" i="14"/>
  <c r="AZ10" i="19"/>
  <c r="BD9" i="14"/>
  <c r="AZ9" i="19"/>
  <c r="BD11" i="14"/>
  <c r="AZ11" i="19"/>
  <c r="BE7" i="14"/>
  <c r="BA7" i="19"/>
  <c r="BF4" i="14"/>
  <c r="BB4" i="19"/>
  <c r="BE6" i="14"/>
  <c r="BA6" i="19"/>
  <c r="AY172" i="11"/>
  <c r="CK6" i="17"/>
  <c r="CM7" i="16"/>
  <c r="CM74" i="16" s="1"/>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AZ176" i="11" l="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75" i="16" s="1"/>
  <c r="BC5" i="16"/>
  <c r="AZ10" i="11"/>
  <c r="CN7" i="16"/>
  <c r="CN74" i="16" s="1"/>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AZ29" i="5" l="1"/>
  <c r="BA25" i="5"/>
  <c r="AZ68" i="11"/>
  <c r="AZ102" i="5" s="1"/>
  <c r="AZ27" i="19" s="1"/>
  <c r="BA246" i="11"/>
  <c r="AW16" i="11"/>
  <c r="AW18" i="11" s="1"/>
  <c r="AW70" i="5" s="1"/>
  <c r="AW68" i="5" s="1"/>
  <c r="CR4" i="26"/>
  <c r="CR5" i="26" s="1"/>
  <c r="CQ8" i="26"/>
  <c r="BB76" i="16"/>
  <c r="BC16" i="6"/>
  <c r="BC60" i="6" s="1"/>
  <c r="BA33" i="11"/>
  <c r="BA78" i="5"/>
  <c r="BA28" i="11"/>
  <c r="BA75" i="5"/>
  <c r="BA111" i="11"/>
  <c r="BA106" i="11"/>
  <c r="BA38" i="11"/>
  <c r="BA39" i="11" s="1"/>
  <c r="BB36" i="11" s="1"/>
  <c r="BF104" i="14"/>
  <c r="BA8" i="11"/>
  <c r="AZ8" i="15"/>
  <c r="AZ187" i="11"/>
  <c r="BA184" i="11" s="1"/>
  <c r="BF99" i="14"/>
  <c r="BA140" i="11"/>
  <c r="BA51" i="19"/>
  <c r="BB13" i="19"/>
  <c r="BF7" i="14"/>
  <c r="BB7" i="19"/>
  <c r="BG4" i="14"/>
  <c r="BC4" i="19"/>
  <c r="AZ28" i="5"/>
  <c r="AZ192" i="11"/>
  <c r="BA189" i="11" s="1"/>
  <c r="BE11" i="14"/>
  <c r="BA11" i="19"/>
  <c r="BF6" i="14"/>
  <c r="BB6" i="19"/>
  <c r="BE9" i="14"/>
  <c r="BA9" i="19"/>
  <c r="BE10" i="14"/>
  <c r="BA10" i="19"/>
  <c r="CK6" i="18"/>
  <c r="BC6" i="16"/>
  <c r="BB4" i="17"/>
  <c r="BA4" i="18" s="1"/>
  <c r="CO7" i="16"/>
  <c r="CO74" i="16" s="1"/>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BB245" i="11" l="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75" i="16" s="1"/>
  <c r="CL6" i="18"/>
  <c r="CP7" i="16"/>
  <c r="CP74" i="16" s="1"/>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B5" i="15" s="1"/>
  <c r="BB13" i="15" s="1"/>
  <c r="BD5" i="10"/>
  <c r="BD14" i="10" s="1"/>
  <c r="BB97" i="11"/>
  <c r="BB17" i="11"/>
  <c r="BB175" i="11" l="1"/>
  <c r="BB176" i="11" s="1"/>
  <c r="BB29" i="5" s="1"/>
  <c r="BA68" i="11"/>
  <c r="BA102" i="5" s="1"/>
  <c r="BA27" i="19" s="1"/>
  <c r="AX16" i="11"/>
  <c r="AX18" i="11" s="1"/>
  <c r="AX70" i="5" s="1"/>
  <c r="AX68" i="5" s="1"/>
  <c r="BB250" i="11"/>
  <c r="BB251" i="11" s="1"/>
  <c r="BB252" i="11" s="1"/>
  <c r="BC249" i="11" s="1"/>
  <c r="CT4" i="26"/>
  <c r="CT5" i="26" s="1"/>
  <c r="CS8" i="26"/>
  <c r="BC76" i="16"/>
  <c r="BD16" i="6"/>
  <c r="BD60" i="6" s="1"/>
  <c r="BB33" i="11"/>
  <c r="BB78" i="5"/>
  <c r="BB28" i="11"/>
  <c r="BB75" i="5"/>
  <c r="BB111" i="11"/>
  <c r="BB106" i="11"/>
  <c r="BB81" i="5"/>
  <c r="BG104" i="14"/>
  <c r="BA187" i="11"/>
  <c r="BB184" i="11" s="1"/>
  <c r="BB8" i="11"/>
  <c r="BA8" i="15"/>
  <c r="BB39" i="11"/>
  <c r="BC36" i="11" s="1"/>
  <c r="BB82" i="5"/>
  <c r="BB140" i="11"/>
  <c r="BB51" i="19"/>
  <c r="BA32" i="5"/>
  <c r="BG99" i="14"/>
  <c r="BC13" i="19"/>
  <c r="BH4" i="14"/>
  <c r="BD4" i="19"/>
  <c r="BG6" i="14"/>
  <c r="BC6" i="19"/>
  <c r="BF10" i="14"/>
  <c r="BB10" i="19"/>
  <c r="BF11" i="14"/>
  <c r="BB11" i="19"/>
  <c r="BG7" i="14"/>
  <c r="BC7" i="19"/>
  <c r="BF9" i="14"/>
  <c r="BB9" i="19"/>
  <c r="CQ7" i="16"/>
  <c r="CQ74" i="16" s="1"/>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BC245" i="11" l="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75" i="16" s="1"/>
  <c r="CN6" i="18"/>
  <c r="CP6" i="17"/>
  <c r="CR7" i="16"/>
  <c r="CR74" i="16" s="1"/>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BC5" i="15" s="1"/>
  <c r="BC13" i="15" s="1"/>
  <c r="BB247" i="11" l="1"/>
  <c r="BC244" i="11" s="1"/>
  <c r="BB68" i="11"/>
  <c r="BB102" i="5" s="1"/>
  <c r="BB27" i="19" s="1"/>
  <c r="AY16" i="11"/>
  <c r="AY18" i="11" s="1"/>
  <c r="AY70" i="5" s="1"/>
  <c r="AY68" i="5" s="1"/>
  <c r="CV4" i="26"/>
  <c r="CV5" i="26" s="1"/>
  <c r="CU8" i="26"/>
  <c r="BD76" i="16"/>
  <c r="BE16" i="6"/>
  <c r="BE60" i="6" s="1"/>
  <c r="BC28" i="11"/>
  <c r="BC75" i="5"/>
  <c r="BC33" i="11"/>
  <c r="BC78" i="5"/>
  <c r="BC111" i="11"/>
  <c r="BC106" i="11"/>
  <c r="BC38" i="11"/>
  <c r="BC82" i="5" s="1"/>
  <c r="BC80" i="5" s="1"/>
  <c r="BH99" i="14"/>
  <c r="BB31" i="5"/>
  <c r="BH104" i="14"/>
  <c r="BC8" i="11"/>
  <c r="BB8" i="15"/>
  <c r="BC140" i="11"/>
  <c r="BC51" i="19"/>
  <c r="BD13" i="19"/>
  <c r="BH6" i="14"/>
  <c r="BD6" i="19"/>
  <c r="BH7" i="14"/>
  <c r="BD7" i="19"/>
  <c r="BI4" i="14"/>
  <c r="BE4" i="19"/>
  <c r="BG10" i="14"/>
  <c r="BC10" i="19"/>
  <c r="BG11" i="14"/>
  <c r="BC11" i="19"/>
  <c r="BG9" i="14"/>
  <c r="BC9" i="19"/>
  <c r="BB28" i="5"/>
  <c r="BB5" i="18"/>
  <c r="BB8" i="18" s="1"/>
  <c r="BC8" i="17"/>
  <c r="CO6" i="18"/>
  <c r="BD4" i="17"/>
  <c r="BC4" i="18" s="1"/>
  <c r="BE6" i="16"/>
  <c r="CS7" i="16"/>
  <c r="CS74" i="16" s="1"/>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BD245" i="11" l="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51" i="19" s="1"/>
  <c r="BD87" i="11"/>
  <c r="BD88" i="11" s="1"/>
  <c r="BH8" i="14"/>
  <c r="BD8" i="19"/>
  <c r="BI5" i="14"/>
  <c r="BI15" i="14" s="1"/>
  <c r="BE5" i="19"/>
  <c r="BC10" i="11"/>
  <c r="BE10" i="16"/>
  <c r="BE54" i="16" s="1"/>
  <c r="BE75" i="16" s="1"/>
  <c r="BF5" i="16"/>
  <c r="BD5" i="17"/>
  <c r="CP6" i="18"/>
  <c r="CR6" i="17"/>
  <c r="CT7" i="16"/>
  <c r="CT74" i="16" s="1"/>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BE32" i="6" l="1"/>
  <c r="BD246" i="11"/>
  <c r="BC251" i="11"/>
  <c r="BC68" i="11" s="1"/>
  <c r="BC102" i="5" s="1"/>
  <c r="BC27" i="19" s="1"/>
  <c r="CX4" i="26"/>
  <c r="CX5" i="26" s="1"/>
  <c r="CW8" i="26"/>
  <c r="AX31" i="15"/>
  <c r="AZ16" i="11"/>
  <c r="BE76"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CU74" i="16" s="1"/>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BE245" i="11" l="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V74" i="16" s="1"/>
  <c r="CT6" i="17"/>
  <c r="BE5" i="17"/>
  <c r="BF10" i="16"/>
  <c r="BF54" i="16" s="1"/>
  <c r="BF75"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E5" i="15" s="1"/>
  <c r="BE13" i="15" s="1"/>
  <c r="BG6" i="6"/>
  <c r="BG13" i="6" s="1"/>
  <c r="BG5" i="10"/>
  <c r="BG14" i="10" s="1"/>
  <c r="BE26" i="4"/>
  <c r="BE47" i="4"/>
  <c r="BE11" i="4" s="1"/>
  <c r="BF11" i="2" s="1"/>
  <c r="BE45" i="4"/>
  <c r="BE9" i="4" s="1"/>
  <c r="BF9" i="2" s="1"/>
  <c r="BE46" i="4"/>
  <c r="BE10" i="4" s="1"/>
  <c r="BF10" i="2" s="1"/>
  <c r="BE25" i="4"/>
  <c r="BE27" i="4"/>
  <c r="BE17" i="11"/>
  <c r="BE97" i="11"/>
  <c r="BF9" i="6"/>
  <c r="BE8" i="5"/>
  <c r="BF8" i="10"/>
  <c r="BD251" i="11" l="1"/>
  <c r="BD252" i="11" s="1"/>
  <c r="BE249" i="11" s="1"/>
  <c r="BE246" i="11"/>
  <c r="CZ4" i="26"/>
  <c r="CZ5" i="26" s="1"/>
  <c r="CY8" i="26"/>
  <c r="AZ19" i="11"/>
  <c r="BF76" i="16"/>
  <c r="BG16" i="6"/>
  <c r="BG60" i="6" s="1"/>
  <c r="BE28" i="11"/>
  <c r="BE75" i="5"/>
  <c r="BE33" i="11"/>
  <c r="BE78" i="5"/>
  <c r="BE111" i="11"/>
  <c r="BE106" i="11"/>
  <c r="BE38" i="11"/>
  <c r="BE39" i="11" s="1"/>
  <c r="BF36" i="11" s="1"/>
  <c r="BJ104" i="14"/>
  <c r="BJ99" i="14"/>
  <c r="BE8" i="11"/>
  <c r="BD8" i="15"/>
  <c r="BE140" i="11"/>
  <c r="BE51" i="19"/>
  <c r="BF13" i="19"/>
  <c r="BK4" i="14"/>
  <c r="BG4" i="19"/>
  <c r="BJ7" i="14"/>
  <c r="BF7" i="19"/>
  <c r="BI10" i="14"/>
  <c r="BE10" i="19"/>
  <c r="BJ6" i="14"/>
  <c r="BF6" i="19"/>
  <c r="BI9" i="14"/>
  <c r="BE9" i="19"/>
  <c r="BI11" i="14"/>
  <c r="BE11" i="19"/>
  <c r="CU6" i="17"/>
  <c r="CW7" i="16"/>
  <c r="CW74" i="16" s="1"/>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BF245" i="11" l="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X74" i="16" s="1"/>
  <c r="CV6" i="17"/>
  <c r="BG10" i="16"/>
  <c r="BG54" i="16" s="1"/>
  <c r="BG75"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F5" i="15" s="1"/>
  <c r="BF13" i="15" s="1"/>
  <c r="BH6" i="6"/>
  <c r="BH13" i="6" s="1"/>
  <c r="BG27" i="6" l="1"/>
  <c r="BF23" i="5"/>
  <c r="BE68" i="11"/>
  <c r="BE102" i="5" s="1"/>
  <c r="BE27" i="19" s="1"/>
  <c r="BF246" i="11"/>
  <c r="DB4" i="26"/>
  <c r="DB5" i="26" s="1"/>
  <c r="DA8" i="26"/>
  <c r="BA18" i="11"/>
  <c r="BA70" i="5" s="1"/>
  <c r="BA68" i="5" s="1"/>
  <c r="BG76" i="16"/>
  <c r="BH16" i="6"/>
  <c r="BH60" i="6" s="1"/>
  <c r="BF28" i="11"/>
  <c r="BF75" i="5"/>
  <c r="BF33" i="11"/>
  <c r="BF78" i="5"/>
  <c r="BF111" i="11"/>
  <c r="BF106" i="11"/>
  <c r="BF38" i="11"/>
  <c r="BF39" i="11" s="1"/>
  <c r="BG36" i="11" s="1"/>
  <c r="BK99" i="14"/>
  <c r="BF8" i="11"/>
  <c r="BE8" i="15"/>
  <c r="BF140" i="11"/>
  <c r="BF51" i="19"/>
  <c r="BK104" i="14"/>
  <c r="BG13" i="19"/>
  <c r="BK6" i="14"/>
  <c r="BG6" i="19"/>
  <c r="BK7" i="14"/>
  <c r="BG7" i="19"/>
  <c r="BL4" i="14"/>
  <c r="BH4" i="19"/>
  <c r="BJ11" i="14"/>
  <c r="BF11" i="19"/>
  <c r="BJ9" i="14"/>
  <c r="BF9" i="19"/>
  <c r="BJ10" i="14"/>
  <c r="BF10" i="19"/>
  <c r="BH6" i="16"/>
  <c r="BG4" i="17"/>
  <c r="BF4" i="18" s="1"/>
  <c r="BF8" i="17"/>
  <c r="BE5" i="18"/>
  <c r="BE8" i="18" s="1"/>
  <c r="CU6" i="18"/>
  <c r="CW6" i="17"/>
  <c r="CY7" i="16"/>
  <c r="CY74" i="16" s="1"/>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BG245" i="11" l="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CZ74" i="16" s="1"/>
  <c r="BH10" i="16"/>
  <c r="BH54" i="16" s="1"/>
  <c r="BH75"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BH27" i="6" l="1"/>
  <c r="BG23" i="5"/>
  <c r="BG246" i="11"/>
  <c r="BF251" i="11"/>
  <c r="BB16" i="11"/>
  <c r="BB18" i="11" s="1"/>
  <c r="BB70" i="5" s="1"/>
  <c r="BB68" i="5" s="1"/>
  <c r="DD4" i="26"/>
  <c r="DD5" i="26" s="1"/>
  <c r="DC8" i="26"/>
  <c r="BH76" i="16"/>
  <c r="BI16" i="6"/>
  <c r="BI60" i="6" s="1"/>
  <c r="BG33" i="11"/>
  <c r="BG78" i="5"/>
  <c r="BG28" i="11"/>
  <c r="BG75" i="5"/>
  <c r="BG111" i="11"/>
  <c r="BG106" i="11"/>
  <c r="BG81" i="5"/>
  <c r="BG80" i="5" s="1"/>
  <c r="BL99" i="14"/>
  <c r="BG8" i="11"/>
  <c r="BF8" i="15"/>
  <c r="BG39" i="11"/>
  <c r="BH36" i="11" s="1"/>
  <c r="BG140" i="11"/>
  <c r="BG51" i="19"/>
  <c r="BF28" i="5"/>
  <c r="BL104" i="14"/>
  <c r="BH13" i="19"/>
  <c r="BL6" i="14"/>
  <c r="BH6" i="19"/>
  <c r="BK10" i="14"/>
  <c r="BG10" i="19"/>
  <c r="BK11" i="14"/>
  <c r="BG11" i="19"/>
  <c r="BK9" i="14"/>
  <c r="BG9" i="19"/>
  <c r="BM4" i="14"/>
  <c r="BI4" i="19"/>
  <c r="BL7" i="14"/>
  <c r="BH7" i="19"/>
  <c r="DA7" i="16"/>
  <c r="DA74" i="16" s="1"/>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BH245" i="11" l="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75" i="16" s="1"/>
  <c r="BJ5" i="16"/>
  <c r="CX6" i="18"/>
  <c r="BG10" i="11"/>
  <c r="CZ6" i="17"/>
  <c r="DB7" i="16"/>
  <c r="DB74" i="16" s="1"/>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H5" i="15" s="1"/>
  <c r="BH13" i="15" s="1"/>
  <c r="BJ5" i="10"/>
  <c r="BJ14" i="10" s="1"/>
  <c r="BH24" i="5" l="1"/>
  <c r="BG251" i="11"/>
  <c r="BG252" i="11" s="1"/>
  <c r="BH249" i="11" s="1"/>
  <c r="BC16" i="11"/>
  <c r="BC18" i="11" s="1"/>
  <c r="BC70" i="5" s="1"/>
  <c r="BC68" i="5" s="1"/>
  <c r="DF4" i="26"/>
  <c r="DF5" i="26" s="1"/>
  <c r="DE8" i="26"/>
  <c r="BI76" i="16"/>
  <c r="BJ16" i="6"/>
  <c r="BJ60" i="6" s="1"/>
  <c r="BH33" i="11"/>
  <c r="BH78" i="5"/>
  <c r="BH28" i="11"/>
  <c r="BH75" i="5"/>
  <c r="BH111" i="11"/>
  <c r="BH106" i="11"/>
  <c r="BH81" i="5"/>
  <c r="BH80" i="5" s="1"/>
  <c r="BM104" i="14"/>
  <c r="BH8" i="11"/>
  <c r="BG8" i="15"/>
  <c r="BH39" i="11"/>
  <c r="BI36" i="11" s="1"/>
  <c r="BH140" i="11"/>
  <c r="BH51" i="19"/>
  <c r="BM99" i="14"/>
  <c r="BI13" i="19"/>
  <c r="BL11" i="14"/>
  <c r="BH11" i="19"/>
  <c r="BN4" i="14"/>
  <c r="BJ4" i="19"/>
  <c r="BM6" i="14"/>
  <c r="BI6" i="19"/>
  <c r="BL9" i="14"/>
  <c r="BH9" i="19"/>
  <c r="BM7" i="14"/>
  <c r="BI7" i="19"/>
  <c r="BL10" i="14"/>
  <c r="BH10" i="19"/>
  <c r="DA6" i="17"/>
  <c r="DC7" i="16"/>
  <c r="DC74" i="16" s="1"/>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BI245" i="11" l="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75" i="16" s="1"/>
  <c r="BK5" i="16"/>
  <c r="BI5" i="17"/>
  <c r="DD7" i="16"/>
  <c r="DD74" i="16" s="1"/>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I5" i="15" s="1"/>
  <c r="BI13" i="15" s="1"/>
  <c r="BK5" i="10"/>
  <c r="BK14" i="10" s="1"/>
  <c r="BI175" i="11" l="1"/>
  <c r="BI176" i="11" s="1"/>
  <c r="BI177" i="11" s="1"/>
  <c r="BJ174" i="11" s="1"/>
  <c r="BJ33" i="6"/>
  <c r="BH68" i="11"/>
  <c r="BH102" i="5" s="1"/>
  <c r="BH27" i="19" s="1"/>
  <c r="BI246" i="11"/>
  <c r="BD16" i="11"/>
  <c r="BD18" i="11" s="1"/>
  <c r="BD70" i="5" s="1"/>
  <c r="BD68" i="5" s="1"/>
  <c r="DH4" i="26"/>
  <c r="DH5" i="26" s="1"/>
  <c r="DG8" i="26"/>
  <c r="BJ76" i="16"/>
  <c r="BK16" i="6"/>
  <c r="BK60" i="6" s="1"/>
  <c r="BI28" i="11"/>
  <c r="BI75" i="5"/>
  <c r="BI33" i="11"/>
  <c r="BI78" i="5"/>
  <c r="BI111" i="11"/>
  <c r="BI106" i="11"/>
  <c r="BI38" i="11"/>
  <c r="BI82" i="5" s="1"/>
  <c r="BI80" i="5" s="1"/>
  <c r="BN99" i="14"/>
  <c r="BI8" i="11"/>
  <c r="BH8" i="15"/>
  <c r="BI140" i="11"/>
  <c r="BI51" i="19"/>
  <c r="BN104" i="14"/>
  <c r="BH187" i="11"/>
  <c r="BI184" i="11" s="1"/>
  <c r="BJ13" i="19"/>
  <c r="BN7" i="14"/>
  <c r="BJ7" i="19"/>
  <c r="BN6" i="14"/>
  <c r="BJ6" i="19"/>
  <c r="BO4" i="14"/>
  <c r="BK4" i="19"/>
  <c r="BM10" i="14"/>
  <c r="BI10" i="19"/>
  <c r="BM11" i="14"/>
  <c r="BI11" i="19"/>
  <c r="BM9" i="14"/>
  <c r="BI9" i="19"/>
  <c r="BH29" i="5"/>
  <c r="DC6" i="17"/>
  <c r="DE7" i="16"/>
  <c r="DE74" i="16" s="1"/>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BJ245" i="11" l="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51" i="19" s="1"/>
  <c r="BJ87" i="11"/>
  <c r="BJ88" i="11" s="1"/>
  <c r="BN8" i="14"/>
  <c r="BJ8" i="19"/>
  <c r="BO5" i="14"/>
  <c r="BO15" i="14" s="1"/>
  <c r="BK5" i="19"/>
  <c r="DF7" i="16"/>
  <c r="DF74" i="16" s="1"/>
  <c r="DD6" i="17"/>
  <c r="BI10" i="11"/>
  <c r="DB6" i="18"/>
  <c r="BJ5" i="17"/>
  <c r="BK10" i="16"/>
  <c r="BK54" i="16" s="1"/>
  <c r="BK75"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J5" i="15" s="1"/>
  <c r="BJ13" i="15" s="1"/>
  <c r="BL5" i="10"/>
  <c r="BL14" i="10" s="1"/>
  <c r="BJ26" i="4"/>
  <c r="BJ27" i="4"/>
  <c r="BJ47" i="4"/>
  <c r="BJ11" i="4" s="1"/>
  <c r="BK11" i="2" s="1"/>
  <c r="BJ45" i="4"/>
  <c r="BJ9" i="4" s="1"/>
  <c r="BK9" i="2" s="1"/>
  <c r="BJ46" i="4"/>
  <c r="BJ10" i="4" s="1"/>
  <c r="BK10" i="2" s="1"/>
  <c r="BJ25" i="4"/>
  <c r="BK9" i="6"/>
  <c r="BJ8" i="5"/>
  <c r="BK8" i="10"/>
  <c r="BJ25" i="5" l="1"/>
  <c r="BI68" i="11"/>
  <c r="BI102" i="5" s="1"/>
  <c r="BI27" i="19" s="1"/>
  <c r="BJ246" i="11"/>
  <c r="BE16" i="11"/>
  <c r="BE18" i="11" s="1"/>
  <c r="BE70" i="5" s="1"/>
  <c r="BE68" i="5" s="1"/>
  <c r="DJ4" i="26"/>
  <c r="DJ5" i="26" s="1"/>
  <c r="DI8" i="26"/>
  <c r="BK76"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G74" i="16" s="1"/>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BK245" i="11" l="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75" i="16" s="1"/>
  <c r="BM5" i="16"/>
  <c r="BJ10" i="11"/>
  <c r="DD6" i="18"/>
  <c r="DH7" i="16"/>
  <c r="DH74" i="16" s="1"/>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K5" i="15" s="1"/>
  <c r="BK13" i="15" s="1"/>
  <c r="BM5" i="10"/>
  <c r="BM14" i="10" s="1"/>
  <c r="BK97" i="11"/>
  <c r="BK17" i="11"/>
  <c r="BK8" i="5"/>
  <c r="BL9" i="6"/>
  <c r="BL8" i="10"/>
  <c r="BL32" i="6" l="1"/>
  <c r="BK170" i="11"/>
  <c r="BJ68" i="11"/>
  <c r="BJ102" i="5" s="1"/>
  <c r="BJ27" i="19" s="1"/>
  <c r="BF16" i="11"/>
  <c r="BF18" i="11" s="1"/>
  <c r="BF70" i="5" s="1"/>
  <c r="BF68" i="5" s="1"/>
  <c r="DL4" i="26"/>
  <c r="DL5" i="26" s="1"/>
  <c r="DK8" i="26"/>
  <c r="BL76" i="16"/>
  <c r="BM16" i="6"/>
  <c r="BM60" i="6" s="1"/>
  <c r="BK33" i="11"/>
  <c r="BK78" i="5"/>
  <c r="BK28" i="11"/>
  <c r="BK75" i="5"/>
  <c r="BK111" i="11"/>
  <c r="BK106" i="11"/>
  <c r="BK38" i="11"/>
  <c r="BK82" i="5" s="1"/>
  <c r="BK80" i="5" s="1"/>
  <c r="BP104" i="14"/>
  <c r="BK8" i="11"/>
  <c r="BJ8" i="15"/>
  <c r="BP99" i="14"/>
  <c r="BK140" i="11"/>
  <c r="BK51" i="19"/>
  <c r="BL13" i="19"/>
  <c r="BP6" i="14"/>
  <c r="BL6" i="19"/>
  <c r="BP7" i="14"/>
  <c r="BL7" i="19"/>
  <c r="BO11" i="14"/>
  <c r="BK11" i="19"/>
  <c r="BQ4" i="14"/>
  <c r="BM4" i="19"/>
  <c r="BO10" i="14"/>
  <c r="BK10" i="19"/>
  <c r="BO9" i="14"/>
  <c r="BK9" i="19"/>
  <c r="BM6" i="16"/>
  <c r="BL4" i="17"/>
  <c r="BK4" i="18" s="1"/>
  <c r="BJ5" i="18"/>
  <c r="BJ8" i="18" s="1"/>
  <c r="BK8" i="17"/>
  <c r="DG6" i="17"/>
  <c r="DI7" i="16"/>
  <c r="DI74" i="16" s="1"/>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BL245" i="11" l="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J74" i="16" s="1"/>
  <c r="DH6" i="17"/>
  <c r="DF6" i="18"/>
  <c r="BK10" i="11"/>
  <c r="BN5" i="16"/>
  <c r="BL5" i="17"/>
  <c r="BM10" i="16"/>
  <c r="BM54" i="16" s="1"/>
  <c r="BM75"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L5" i="15" s="1"/>
  <c r="BL13" i="15" s="1"/>
  <c r="BN6" i="6"/>
  <c r="BN13" i="6" s="1"/>
  <c r="BL17" i="11"/>
  <c r="BL97" i="11"/>
  <c r="BL25" i="5" l="1"/>
  <c r="BK247" i="11"/>
  <c r="BL244" i="11" s="1"/>
  <c r="BK68" i="11"/>
  <c r="BK102" i="5" s="1"/>
  <c r="BK27" i="19" s="1"/>
  <c r="BL250" i="11"/>
  <c r="BL251" i="11" s="1"/>
  <c r="BL252" i="11" s="1"/>
  <c r="BM249" i="11" s="1"/>
  <c r="DN4" i="26"/>
  <c r="DN5" i="26" s="1"/>
  <c r="DM8" i="26"/>
  <c r="BE31" i="15"/>
  <c r="BG16" i="11"/>
  <c r="BM76" i="16"/>
  <c r="BN16" i="6"/>
  <c r="BN60" i="6" s="1"/>
  <c r="BL33" i="11"/>
  <c r="BL78" i="5"/>
  <c r="BL28" i="11"/>
  <c r="BL75" i="5"/>
  <c r="BL111" i="11"/>
  <c r="BL38" i="11"/>
  <c r="BL39" i="11" s="1"/>
  <c r="BM36" i="11" s="1"/>
  <c r="BL106" i="11"/>
  <c r="BL81" i="5"/>
  <c r="BQ104" i="14"/>
  <c r="BL8" i="11"/>
  <c r="BK8" i="15"/>
  <c r="BL140" i="11"/>
  <c r="BL51" i="19"/>
  <c r="BQ99" i="14"/>
  <c r="BM13" i="19"/>
  <c r="BQ6" i="14"/>
  <c r="BM6" i="19"/>
  <c r="BQ7" i="14"/>
  <c r="BM7" i="19"/>
  <c r="BP10" i="14"/>
  <c r="BL10" i="19"/>
  <c r="BR4" i="14"/>
  <c r="BN4" i="19"/>
  <c r="BP9" i="14"/>
  <c r="BL9" i="19"/>
  <c r="BP11" i="14"/>
  <c r="BL11" i="19"/>
  <c r="BM4" i="17"/>
  <c r="BL4" i="18" s="1"/>
  <c r="BN6" i="16"/>
  <c r="DG6" i="18"/>
  <c r="DI6" i="17"/>
  <c r="DK7" i="16"/>
  <c r="DK74" i="16" s="1"/>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BM245" i="11" l="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L74" i="16" s="1"/>
  <c r="DJ6" i="17"/>
  <c r="BM5" i="17"/>
  <c r="BO5" i="16"/>
  <c r="BN10" i="16"/>
  <c r="BN54" i="16" s="1"/>
  <c r="BN75"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5" i="15" s="1"/>
  <c r="BM13" i="15" s="1"/>
  <c r="BM17" i="11"/>
  <c r="BM97" i="11"/>
  <c r="BN8" i="10"/>
  <c r="BM8" i="5"/>
  <c r="BN9" i="6"/>
  <c r="BM27" i="4"/>
  <c r="BM46" i="4"/>
  <c r="BM10" i="4" s="1"/>
  <c r="BN10" i="2" s="1"/>
  <c r="BM47" i="4"/>
  <c r="BM11" i="4" s="1"/>
  <c r="BN11" i="2" s="1"/>
  <c r="BM25" i="4"/>
  <c r="BM45" i="4"/>
  <c r="BM9" i="4" s="1"/>
  <c r="BN9" i="2" s="1"/>
  <c r="BM26" i="4"/>
  <c r="BN32" i="6" l="1"/>
  <c r="BM170" i="11"/>
  <c r="BL247" i="11"/>
  <c r="BM244" i="11" s="1"/>
  <c r="BL68" i="11"/>
  <c r="BL102" i="5" s="1"/>
  <c r="BL27" i="19" s="1"/>
  <c r="BG19" i="11"/>
  <c r="BF31" i="15" s="1"/>
  <c r="DP4" i="26"/>
  <c r="DP5" i="26" s="1"/>
  <c r="DO8" i="26"/>
  <c r="BN76" i="16"/>
  <c r="BO16" i="6"/>
  <c r="BO60" i="6" s="1"/>
  <c r="BM28" i="11"/>
  <c r="BM75" i="5"/>
  <c r="BM33" i="11"/>
  <c r="BM78" i="5"/>
  <c r="BM38" i="11"/>
  <c r="BM39" i="11" s="1"/>
  <c r="BN36" i="11" s="1"/>
  <c r="BM111" i="11"/>
  <c r="BM106" i="11"/>
  <c r="BR99" i="14"/>
  <c r="BM8" i="11"/>
  <c r="BL8" i="15"/>
  <c r="BR104" i="14"/>
  <c r="BM140" i="11"/>
  <c r="BM51" i="19"/>
  <c r="BN13" i="19"/>
  <c r="BS4" i="14"/>
  <c r="BO4" i="19"/>
  <c r="BQ11" i="14"/>
  <c r="BM11" i="19"/>
  <c r="BR7" i="14"/>
  <c r="BN7" i="19"/>
  <c r="BQ10" i="14"/>
  <c r="BM10" i="19"/>
  <c r="BR6" i="14"/>
  <c r="BN6" i="19"/>
  <c r="BQ9" i="14"/>
  <c r="BM9" i="19"/>
  <c r="DI6" i="18"/>
  <c r="DK6" i="17"/>
  <c r="DM7" i="16"/>
  <c r="DM74" i="16" s="1"/>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BN245" i="11" l="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75" i="16" s="1"/>
  <c r="BP5" i="16"/>
  <c r="DL6" i="17"/>
  <c r="DN7" i="16"/>
  <c r="DN74" i="16" s="1"/>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N5" i="15" s="1"/>
  <c r="BN13" i="15" s="1"/>
  <c r="BP6" i="6"/>
  <c r="BP13" i="6" s="1"/>
  <c r="BP5" i="10"/>
  <c r="BP14" i="10" s="1"/>
  <c r="BN97" i="11"/>
  <c r="BN17" i="11"/>
  <c r="BO32" i="6" l="1"/>
  <c r="BN170" i="11"/>
  <c r="BM247" i="11"/>
  <c r="BN244" i="11" s="1"/>
  <c r="BM68" i="11"/>
  <c r="BM102" i="5" s="1"/>
  <c r="BM27" i="19" s="1"/>
  <c r="BH19" i="11"/>
  <c r="BG31" i="15" s="1"/>
  <c r="DR4" i="26"/>
  <c r="DR5" i="26" s="1"/>
  <c r="DQ8" i="26"/>
  <c r="BO76" i="16"/>
  <c r="BP16" i="6"/>
  <c r="BP60" i="6" s="1"/>
  <c r="BN33" i="11"/>
  <c r="BN78" i="5"/>
  <c r="BN28" i="11"/>
  <c r="BN75" i="5"/>
  <c r="BN111" i="11"/>
  <c r="BN81" i="5"/>
  <c r="BN106" i="11"/>
  <c r="BS99" i="14"/>
  <c r="BN8" i="11"/>
  <c r="BM8" i="15"/>
  <c r="BN39" i="11"/>
  <c r="BO36" i="11" s="1"/>
  <c r="BN82" i="5"/>
  <c r="BN140" i="11"/>
  <c r="BN51" i="19"/>
  <c r="BS104" i="14"/>
  <c r="BO13" i="19"/>
  <c r="BT4" i="14"/>
  <c r="BP4" i="19"/>
  <c r="BS6" i="14"/>
  <c r="BO6" i="19"/>
  <c r="BS7" i="14"/>
  <c r="BO7" i="19"/>
  <c r="BR9" i="14"/>
  <c r="BN9" i="19"/>
  <c r="BR11" i="14"/>
  <c r="BN11" i="19"/>
  <c r="BR10" i="14"/>
  <c r="BN10" i="19"/>
  <c r="DO7" i="16"/>
  <c r="DO74" i="16" s="1"/>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BO245" i="11" l="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75" i="16" s="1"/>
  <c r="BQ5" i="16"/>
  <c r="BN10" i="11"/>
  <c r="DL6" i="18"/>
  <c r="DP7" i="16"/>
  <c r="DP74" i="16" s="1"/>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O5" i="15" s="1"/>
  <c r="BO13" i="15" s="1"/>
  <c r="BQ6" i="6"/>
  <c r="BQ13" i="6" s="1"/>
  <c r="BQ5" i="10"/>
  <c r="BQ14" i="10" s="1"/>
  <c r="BO46" i="4"/>
  <c r="BO10" i="4" s="1"/>
  <c r="BP10" i="2" s="1"/>
  <c r="BO25" i="4"/>
  <c r="BO26" i="4"/>
  <c r="BO27" i="4"/>
  <c r="BO45" i="4"/>
  <c r="BO9" i="4" s="1"/>
  <c r="BP9" i="2" s="1"/>
  <c r="BO47" i="4"/>
  <c r="BO11" i="4" s="1"/>
  <c r="BP11" i="2" s="1"/>
  <c r="BO25" i="5" l="1"/>
  <c r="BN247" i="11"/>
  <c r="BO244" i="11" s="1"/>
  <c r="BN68" i="11"/>
  <c r="BN102" i="5" s="1"/>
  <c r="BN27" i="19" s="1"/>
  <c r="BI19" i="11"/>
  <c r="BJ16" i="11" s="1"/>
  <c r="DT4" i="26"/>
  <c r="DT5" i="26" s="1"/>
  <c r="DS8" i="26"/>
  <c r="BP76" i="16"/>
  <c r="BQ16" i="6"/>
  <c r="BQ60" i="6" s="1"/>
  <c r="BO33" i="11"/>
  <c r="BO78" i="5"/>
  <c r="BO28" i="11"/>
  <c r="BO75" i="5"/>
  <c r="BO111" i="11"/>
  <c r="BO106" i="11"/>
  <c r="BO38" i="11"/>
  <c r="BO82" i="5" s="1"/>
  <c r="BO80" i="5" s="1"/>
  <c r="BT104" i="14"/>
  <c r="BO8" i="11"/>
  <c r="BN8" i="15"/>
  <c r="BO140" i="11"/>
  <c r="BO51" i="19"/>
  <c r="BT99" i="14"/>
  <c r="BP13" i="19"/>
  <c r="BS11" i="14"/>
  <c r="BO11" i="19"/>
  <c r="BU4" i="14"/>
  <c r="BQ4" i="19"/>
  <c r="BS9" i="14"/>
  <c r="BO9" i="19"/>
  <c r="BT6" i="14"/>
  <c r="BP6" i="19"/>
  <c r="BS10" i="14"/>
  <c r="BO10" i="19"/>
  <c r="BT7" i="14"/>
  <c r="BP7" i="19"/>
  <c r="BN187" i="11"/>
  <c r="BO184" i="11" s="1"/>
  <c r="BQ6" i="16"/>
  <c r="BP4" i="17"/>
  <c r="BO4" i="18" s="1"/>
  <c r="DM6" i="18"/>
  <c r="DO6" i="17"/>
  <c r="DQ7" i="16"/>
  <c r="DQ74" i="16" s="1"/>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BP245" i="11" l="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51" i="19" s="1"/>
  <c r="BP87" i="11"/>
  <c r="BP88" i="11" s="1"/>
  <c r="BU5" i="14"/>
  <c r="BU15" i="14" s="1"/>
  <c r="BQ5" i="19"/>
  <c r="BT8" i="14"/>
  <c r="BP8" i="19"/>
  <c r="DP6" i="17"/>
  <c r="DR7" i="16"/>
  <c r="DR74" i="16" s="1"/>
  <c r="BO10" i="11"/>
  <c r="BR5" i="16"/>
  <c r="BP5" i="17"/>
  <c r="BQ10" i="16"/>
  <c r="BQ54" i="16" s="1"/>
  <c r="BQ75"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P5" i="15" s="1"/>
  <c r="BP13" i="15" s="1"/>
  <c r="BR5" i="10"/>
  <c r="BR14" i="10" s="1"/>
  <c r="BR6" i="6"/>
  <c r="BR13" i="6" s="1"/>
  <c r="BP17" i="11"/>
  <c r="BP97" i="11"/>
  <c r="BQ31" i="6" l="1"/>
  <c r="BP166" i="11"/>
  <c r="BE165" i="11" s="1"/>
  <c r="BE27" i="5" s="1"/>
  <c r="BO68" i="11"/>
  <c r="BO102" i="5" s="1"/>
  <c r="BO27" i="19" s="1"/>
  <c r="BP246" i="11"/>
  <c r="BJ19" i="11"/>
  <c r="BI31" i="15" s="1"/>
  <c r="DV4" i="26"/>
  <c r="DV5" i="26" s="1"/>
  <c r="DV8" i="26" s="1"/>
  <c r="DU8" i="26"/>
  <c r="BQ76"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DS74" i="16" s="1"/>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BQ245" i="11" l="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T74" i="16" s="1"/>
  <c r="DP6" i="18"/>
  <c r="BP10" i="11"/>
  <c r="BR10" i="16"/>
  <c r="BR54" i="16" s="1"/>
  <c r="BR75"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Q5" i="15" s="1"/>
  <c r="BQ13" i="15" s="1"/>
  <c r="BS5" i="10"/>
  <c r="BS14" i="10" s="1"/>
  <c r="BS6" i="6"/>
  <c r="BS13" i="6" s="1"/>
  <c r="BQ170" i="11" l="1"/>
  <c r="BP68" i="11"/>
  <c r="BP102" i="5" s="1"/>
  <c r="BP27" i="19" s="1"/>
  <c r="BQ246" i="11"/>
  <c r="BK19" i="11"/>
  <c r="BJ31" i="15" s="1"/>
  <c r="BR76" i="16"/>
  <c r="BS16" i="6"/>
  <c r="BS60" i="6" s="1"/>
  <c r="BQ28" i="11"/>
  <c r="BQ75" i="5"/>
  <c r="BQ33" i="11"/>
  <c r="BQ78" i="5"/>
  <c r="BQ111" i="11"/>
  <c r="BQ106" i="11"/>
  <c r="BQ81" i="5"/>
  <c r="BV104" i="14"/>
  <c r="BQ8" i="11"/>
  <c r="BP8" i="15"/>
  <c r="BO169" i="11"/>
  <c r="BO171" i="11" s="1"/>
  <c r="BO28" i="5" s="1"/>
  <c r="BV99" i="14"/>
  <c r="BQ39" i="11"/>
  <c r="BR36" i="11" s="1"/>
  <c r="BQ82" i="5"/>
  <c r="BQ140" i="11"/>
  <c r="BQ51" i="19"/>
  <c r="BR13" i="19"/>
  <c r="BW4" i="14"/>
  <c r="BS4" i="19"/>
  <c r="BV7" i="14"/>
  <c r="BR7" i="19"/>
  <c r="BV6" i="14"/>
  <c r="BR6" i="19"/>
  <c r="BU9" i="14"/>
  <c r="BQ9" i="19"/>
  <c r="BU11" i="14"/>
  <c r="BQ11" i="19"/>
  <c r="BU10" i="14"/>
  <c r="BQ10" i="19"/>
  <c r="DS6" i="17"/>
  <c r="DU7" i="16"/>
  <c r="DU74" i="16" s="1"/>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BR245" i="11" l="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DV74" i="16" s="1"/>
  <c r="BT5" i="16"/>
  <c r="BR5" i="17"/>
  <c r="BS10" i="16"/>
  <c r="BS54" i="16" s="1"/>
  <c r="BS75"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R5" i="15" s="1"/>
  <c r="BR13" i="15" s="1"/>
  <c r="BT5" i="10"/>
  <c r="BT14" i="10" s="1"/>
  <c r="BR32" i="4"/>
  <c r="BR38" i="4"/>
  <c r="BR45" i="4"/>
  <c r="BR9" i="4" s="1"/>
  <c r="BS9" i="2" s="1"/>
  <c r="BR47" i="4"/>
  <c r="BR11" i="4" s="1"/>
  <c r="BS11" i="2" s="1"/>
  <c r="BR46" i="4"/>
  <c r="BR10" i="4" s="1"/>
  <c r="BS10" i="2" s="1"/>
  <c r="BR26" i="4"/>
  <c r="BR27" i="4"/>
  <c r="BR25" i="4"/>
  <c r="BS35" i="6" l="1"/>
  <c r="BR185" i="11"/>
  <c r="BR186" i="11" s="1"/>
  <c r="BR31" i="5" s="1"/>
  <c r="BQ68" i="11"/>
  <c r="BQ102" i="5" s="1"/>
  <c r="BQ27" i="19" s="1"/>
  <c r="BR246" i="11"/>
  <c r="BS76" i="16"/>
  <c r="BL19" i="11"/>
  <c r="BT16" i="6"/>
  <c r="BT60" i="6" s="1"/>
  <c r="BR33" i="11"/>
  <c r="BR78" i="5"/>
  <c r="BR28" i="11"/>
  <c r="BR75" i="5"/>
  <c r="BR111" i="11"/>
  <c r="BR106" i="11"/>
  <c r="BR38" i="11"/>
  <c r="BR82" i="5" s="1"/>
  <c r="BR80" i="5" s="1"/>
  <c r="BW99" i="14"/>
  <c r="BR8" i="11"/>
  <c r="BQ8" i="15"/>
  <c r="BP169" i="11"/>
  <c r="BP171" i="11" s="1"/>
  <c r="BP28" i="5" s="1"/>
  <c r="BW104" i="14"/>
  <c r="BR140" i="11"/>
  <c r="BR51" i="19"/>
  <c r="BS13" i="19"/>
  <c r="BV11" i="14"/>
  <c r="BR11" i="19"/>
  <c r="BV9" i="14"/>
  <c r="BR9" i="19"/>
  <c r="BQ31" i="5"/>
  <c r="BV10" i="14"/>
  <c r="BR10" i="19"/>
  <c r="BW7" i="14"/>
  <c r="BS7" i="19"/>
  <c r="BX4" i="14"/>
  <c r="BT4" i="19"/>
  <c r="BW6" i="14"/>
  <c r="BS6" i="19"/>
  <c r="DS6" i="18"/>
  <c r="BQ192" i="11"/>
  <c r="BR189" i="11" s="1"/>
  <c r="DU6" i="17"/>
  <c r="DW7" i="16"/>
  <c r="DW74" i="16" s="1"/>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BS245" i="11" l="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75"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5" i="15" s="1"/>
  <c r="BS13" i="15" s="1"/>
  <c r="BS32" i="4"/>
  <c r="BS97" i="11"/>
  <c r="BS17" i="11"/>
  <c r="BS26" i="4"/>
  <c r="BS25" i="4"/>
  <c r="BS47" i="4"/>
  <c r="BS11" i="4" s="1"/>
  <c r="BT11" i="2" s="1"/>
  <c r="BS45" i="4"/>
  <c r="BS9" i="4" s="1"/>
  <c r="BT9" i="2" s="1"/>
  <c r="BS46" i="4"/>
  <c r="BS10" i="4" s="1"/>
  <c r="BT10" i="2" s="1"/>
  <c r="BS27" i="4"/>
  <c r="BS38" i="4"/>
  <c r="BT8" i="10"/>
  <c r="BS8" i="5"/>
  <c r="BT9" i="6"/>
  <c r="BT28" i="6" l="1"/>
  <c r="BS24" i="5"/>
  <c r="BR68" i="11"/>
  <c r="BR102" i="5" s="1"/>
  <c r="BR27" i="19" s="1"/>
  <c r="BS246" i="11"/>
  <c r="BT76" i="16"/>
  <c r="BM18" i="11"/>
  <c r="BM70" i="5" s="1"/>
  <c r="BM68" i="5" s="1"/>
  <c r="BU16" i="6"/>
  <c r="BU60" i="6" s="1"/>
  <c r="BS33" i="11"/>
  <c r="BS78" i="5"/>
  <c r="BS28" i="11"/>
  <c r="BS75" i="5"/>
  <c r="BS111" i="11"/>
  <c r="BS38" i="11"/>
  <c r="BS82" i="5" s="1"/>
  <c r="BS106" i="11"/>
  <c r="BS81" i="5"/>
  <c r="BX104" i="14"/>
  <c r="BS8" i="11"/>
  <c r="BR8" i="15"/>
  <c r="BS140" i="11"/>
  <c r="BS5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75"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5" i="15" s="1"/>
  <c r="BT13" i="15" s="1"/>
  <c r="BT32" i="4"/>
  <c r="BT97" i="11"/>
  <c r="BT17" i="11"/>
  <c r="BT38" i="4"/>
  <c r="BT25" i="5" l="1"/>
  <c r="BU29" i="6"/>
  <c r="BS68" i="11"/>
  <c r="BS102" i="5" s="1"/>
  <c r="BS27" i="19" s="1"/>
  <c r="BT246" i="11"/>
  <c r="BU76" i="16"/>
  <c r="BL31" i="15"/>
  <c r="BN16" i="11"/>
  <c r="BV16" i="6"/>
  <c r="BV60" i="6" s="1"/>
  <c r="BT28" i="11"/>
  <c r="BT76" i="5" s="1"/>
  <c r="BT75" i="5"/>
  <c r="BT33" i="11"/>
  <c r="BT78" i="5"/>
  <c r="BT38" i="11"/>
  <c r="BT82" i="5" s="1"/>
  <c r="BT80" i="5" s="1"/>
  <c r="BT111" i="11"/>
  <c r="BT106" i="11"/>
  <c r="BY99" i="14"/>
  <c r="BT8" i="11"/>
  <c r="BS8" i="15"/>
  <c r="BS32" i="5"/>
  <c r="BT140" i="11"/>
  <c r="BT5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75"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5" i="15" s="1"/>
  <c r="BU13" i="15" s="1"/>
  <c r="BU38" i="4"/>
  <c r="BU17" i="11"/>
  <c r="BU97" i="11"/>
  <c r="BU32" i="4"/>
  <c r="BV32" i="6" l="1"/>
  <c r="BU170" i="11"/>
  <c r="BT68" i="11"/>
  <c r="BT102" i="5" s="1"/>
  <c r="BT27" i="19" s="1"/>
  <c r="BU250" i="11"/>
  <c r="BU251" i="11" s="1"/>
  <c r="BU252" i="11" s="1"/>
  <c r="BV249" i="11" s="1"/>
  <c r="BN19" i="11"/>
  <c r="BV76" i="16"/>
  <c r="BW16" i="6"/>
  <c r="BW60" i="6" s="1"/>
  <c r="BU33" i="11"/>
  <c r="BU78" i="5"/>
  <c r="BU28" i="11"/>
  <c r="BU75" i="5"/>
  <c r="BU111" i="11"/>
  <c r="BU106" i="11"/>
  <c r="BU38" i="11"/>
  <c r="BU39" i="11" s="1"/>
  <c r="BV36" i="11" s="1"/>
  <c r="BZ104" i="14"/>
  <c r="BU8" i="11"/>
  <c r="BT8" i="15"/>
  <c r="BZ99" i="14"/>
  <c r="BU140" i="11"/>
  <c r="BU5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51" i="19" s="1"/>
  <c r="BV87" i="11"/>
  <c r="BV88" i="11" s="1"/>
  <c r="BZ8" i="14"/>
  <c r="BV8" i="19"/>
  <c r="CA5" i="14"/>
  <c r="CA15" i="14" s="1"/>
  <c r="BW5" i="19"/>
  <c r="BX5" i="16"/>
  <c r="BW10" i="16"/>
  <c r="BW54" i="16" s="1"/>
  <c r="BW75"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V5" i="15" s="1"/>
  <c r="BV13" i="15" s="1"/>
  <c r="BX6" i="6"/>
  <c r="BX13" i="6" s="1"/>
  <c r="BX5" i="10"/>
  <c r="BX14" i="10" s="1"/>
  <c r="BW9" i="6"/>
  <c r="BV8" i="5"/>
  <c r="BW8" i="10"/>
  <c r="BU247" i="11" l="1"/>
  <c r="BV244" i="11" s="1"/>
  <c r="BU68" i="11"/>
  <c r="BU102" i="5" s="1"/>
  <c r="BU27" i="19" s="1"/>
  <c r="BO18" i="11"/>
  <c r="BO70" i="5" s="1"/>
  <c r="BO68" i="5" s="1"/>
  <c r="BW76"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75"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W5" i="15" s="1"/>
  <c r="BW13" i="15" s="1"/>
  <c r="BY5" i="10"/>
  <c r="BY14" i="10" s="1"/>
  <c r="BY6" i="6"/>
  <c r="BY13" i="6" s="1"/>
  <c r="BW8" i="5"/>
  <c r="BX8" i="10"/>
  <c r="BX9" i="6"/>
  <c r="BX27" i="6" l="1"/>
  <c r="BW23" i="5"/>
  <c r="BV68" i="11"/>
  <c r="BV102" i="5" s="1"/>
  <c r="BV27" i="19" s="1"/>
  <c r="BW250" i="11"/>
  <c r="BW251" i="11" s="1"/>
  <c r="BW252" i="11" s="1"/>
  <c r="BX249" i="11" s="1"/>
  <c r="BP16" i="11"/>
  <c r="BP18" i="11" s="1"/>
  <c r="BP70" i="5" s="1"/>
  <c r="BP68" i="5" s="1"/>
  <c r="BX76" i="16"/>
  <c r="BY16" i="6"/>
  <c r="BY60" i="6" s="1"/>
  <c r="BW33" i="11"/>
  <c r="BW78" i="5"/>
  <c r="BW28" i="11"/>
  <c r="BW75" i="5"/>
  <c r="BW111" i="11"/>
  <c r="BW106" i="11"/>
  <c r="BW38" i="11"/>
  <c r="BW82" i="5" s="1"/>
  <c r="BW80" i="5" s="1"/>
  <c r="CB104" i="14"/>
  <c r="BW8" i="11"/>
  <c r="BV8" i="15"/>
  <c r="BW140" i="11"/>
  <c r="BW5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75"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X5" i="15" s="1"/>
  <c r="BX13" i="15" s="1"/>
  <c r="BZ5" i="10"/>
  <c r="BZ14" i="10" s="1"/>
  <c r="BZ6" i="6"/>
  <c r="BZ13" i="6" s="1"/>
  <c r="BX8" i="5"/>
  <c r="BY9" i="6"/>
  <c r="BY8" i="10"/>
  <c r="BX46" i="4"/>
  <c r="BX10" i="4" s="1"/>
  <c r="BY10" i="2" s="1"/>
  <c r="BX27" i="4"/>
  <c r="BX25" i="4"/>
  <c r="BX26" i="4"/>
  <c r="BX47" i="4"/>
  <c r="BX11" i="4" s="1"/>
  <c r="BY11" i="2" s="1"/>
  <c r="BX45" i="4"/>
  <c r="BX9" i="4" s="1"/>
  <c r="BY9" i="2" s="1"/>
  <c r="BX17" i="11"/>
  <c r="BX97" i="11"/>
  <c r="BY35" i="6" l="1"/>
  <c r="BX185" i="11"/>
  <c r="BW247" i="11"/>
  <c r="BX244" i="11" s="1"/>
  <c r="BW68" i="11"/>
  <c r="BW102" i="5" s="1"/>
  <c r="BW27" i="19" s="1"/>
  <c r="BO31" i="15"/>
  <c r="BY76"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5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75"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BY5" i="15" s="1"/>
  <c r="BY13" i="15" s="1"/>
  <c r="CA5" i="10"/>
  <c r="CA14" i="10" s="1"/>
  <c r="BY17" i="11"/>
  <c r="BY97" i="11"/>
  <c r="BY26" i="4"/>
  <c r="BY27" i="4"/>
  <c r="BY25" i="4"/>
  <c r="BY46" i="4"/>
  <c r="BY10" i="4" s="1"/>
  <c r="BZ10" i="2" s="1"/>
  <c r="BY47" i="4"/>
  <c r="BY11" i="4" s="1"/>
  <c r="BZ11" i="2" s="1"/>
  <c r="BY45" i="4"/>
  <c r="BY9" i="4" s="1"/>
  <c r="BZ9" i="2" s="1"/>
  <c r="BZ8" i="10"/>
  <c r="BY8" i="5"/>
  <c r="BZ9" i="6"/>
  <c r="BX187" i="11" l="1"/>
  <c r="BY184" i="11" s="1"/>
  <c r="BX31" i="5"/>
  <c r="BZ27" i="6"/>
  <c r="BY23" i="5"/>
  <c r="BX68" i="11"/>
  <c r="BX102" i="5" s="1"/>
  <c r="BX27" i="19" s="1"/>
  <c r="BY246" i="11"/>
  <c r="BP31" i="15"/>
  <c r="BZ76" i="16"/>
  <c r="BR18" i="11"/>
  <c r="BR70" i="5" s="1"/>
  <c r="BR68" i="5" s="1"/>
  <c r="CA16" i="6"/>
  <c r="CA60" i="6" s="1"/>
  <c r="BY33" i="11"/>
  <c r="BY78" i="5"/>
  <c r="BY28" i="11"/>
  <c r="BY75" i="5"/>
  <c r="BY111" i="11"/>
  <c r="BY106" i="11"/>
  <c r="BY81" i="5"/>
  <c r="CD99" i="14"/>
  <c r="BY8" i="11"/>
  <c r="BX8" i="15"/>
  <c r="CD104" i="14"/>
  <c r="BY39" i="11"/>
  <c r="BZ36" i="11" s="1"/>
  <c r="BY82" i="5"/>
  <c r="BY140" i="11"/>
  <c r="BY5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75"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BZ5" i="15" s="1"/>
  <c r="BZ13" i="15" s="1"/>
  <c r="CB5" i="10"/>
  <c r="CB14" i="10" s="1"/>
  <c r="BZ17" i="11"/>
  <c r="BZ97" i="11"/>
  <c r="BZ46" i="4"/>
  <c r="BZ10" i="4" s="1"/>
  <c r="CA10" i="2" s="1"/>
  <c r="BZ25" i="4"/>
  <c r="BZ45" i="4"/>
  <c r="BZ9" i="4" s="1"/>
  <c r="CA9" i="2" s="1"/>
  <c r="BZ26" i="4"/>
  <c r="BZ47" i="4"/>
  <c r="BZ11" i="4" s="1"/>
  <c r="CA11" i="2" s="1"/>
  <c r="BZ27" i="4"/>
  <c r="CA27" i="6" l="1"/>
  <c r="BZ23" i="5"/>
  <c r="BY68" i="11"/>
  <c r="BY102" i="5" s="1"/>
  <c r="BY27" i="19" s="1"/>
  <c r="BZ246" i="11"/>
  <c r="BS16" i="11"/>
  <c r="BS18" i="11" s="1"/>
  <c r="BS70" i="5" s="1"/>
  <c r="BS68" i="5" s="1"/>
  <c r="CA76" i="16"/>
  <c r="CB16" i="6"/>
  <c r="CB60" i="6" s="1"/>
  <c r="BZ33" i="11"/>
  <c r="BZ78" i="5"/>
  <c r="BZ28" i="11"/>
  <c r="BZ75" i="5"/>
  <c r="BZ111" i="11"/>
  <c r="BZ106" i="11"/>
  <c r="BZ81" i="5"/>
  <c r="CE99" i="14"/>
  <c r="BZ8" i="11"/>
  <c r="BY8" i="15"/>
  <c r="CE104" i="14"/>
  <c r="BZ39" i="11"/>
  <c r="CA36" i="11" s="1"/>
  <c r="BZ82" i="5"/>
  <c r="BZ140" i="11"/>
  <c r="BZ5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75"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s="1"/>
  <c r="CA13" i="15" s="1"/>
  <c r="CA25" i="5" l="1"/>
  <c r="BZ68" i="11"/>
  <c r="BZ102" i="5" s="1"/>
  <c r="BZ27" i="19" s="1"/>
  <c r="BT16" i="11"/>
  <c r="BT18" i="11" s="1"/>
  <c r="BT70" i="5" s="1"/>
  <c r="BT68" i="5" s="1"/>
  <c r="CA246" i="11"/>
  <c r="CB76" i="16"/>
  <c r="CC16" i="6"/>
  <c r="CC60" i="6" s="1"/>
  <c r="CA33" i="11"/>
  <c r="CA78" i="5"/>
  <c r="CA28" i="11"/>
  <c r="CA75" i="5"/>
  <c r="CA111" i="11"/>
  <c r="CA106" i="11"/>
  <c r="CA38" i="11"/>
  <c r="CA39" i="11" s="1"/>
  <c r="CB36" i="11" s="1"/>
  <c r="CF104" i="14"/>
  <c r="CA8" i="11"/>
  <c r="BZ8" i="15"/>
  <c r="BW169" i="11"/>
  <c r="BW171" i="11" s="1"/>
  <c r="BW28" i="5" s="1"/>
  <c r="CF99" i="14"/>
  <c r="CA140" i="11"/>
  <c r="CA5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51" i="19" s="1"/>
  <c r="CB87" i="11"/>
  <c r="CB88" i="11" s="1"/>
  <c r="CG5" i="14"/>
  <c r="CG15" i="14" s="1"/>
  <c r="CC5" i="19"/>
  <c r="CF8" i="14"/>
  <c r="CB8" i="19"/>
  <c r="BW172" i="11"/>
  <c r="CB5" i="17"/>
  <c r="CC10" i="16"/>
  <c r="CC54" i="16" s="1"/>
  <c r="CC75"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B5" i="15" s="1"/>
  <c r="CB13" i="15" s="1"/>
  <c r="CD5" i="10"/>
  <c r="CD14" i="10" s="1"/>
  <c r="CB166" i="11" l="1"/>
  <c r="BQ165" i="11" s="1"/>
  <c r="BQ27" i="5" s="1"/>
  <c r="CC31" i="6"/>
  <c r="CB246" i="11"/>
  <c r="CA251" i="11"/>
  <c r="BU16" i="11"/>
  <c r="BU18" i="11" s="1"/>
  <c r="BU70" i="5" s="1"/>
  <c r="BU68" i="5" s="1"/>
  <c r="CC76"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75"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5" i="15" s="1"/>
  <c r="CC13" i="15" s="1"/>
  <c r="CC17" i="11"/>
  <c r="CC97" i="11"/>
  <c r="CC24" i="5" l="1"/>
  <c r="CD28" i="6"/>
  <c r="CB251" i="11"/>
  <c r="CB68" i="11" s="1"/>
  <c r="CB102" i="5" s="1"/>
  <c r="CB27" i="19" s="1"/>
  <c r="CC246" i="11"/>
  <c r="BV16" i="11"/>
  <c r="BV18" i="11" s="1"/>
  <c r="BV70" i="5" s="1"/>
  <c r="BV68" i="5" s="1"/>
  <c r="CD76" i="16"/>
  <c r="CE16" i="6"/>
  <c r="CE60" i="6" s="1"/>
  <c r="CC33" i="11"/>
  <c r="CC78" i="5"/>
  <c r="CC28" i="11"/>
  <c r="CC75" i="5"/>
  <c r="CC111" i="11"/>
  <c r="CC106" i="11"/>
  <c r="CC38" i="11"/>
  <c r="CC39" i="11" s="1"/>
  <c r="CD36" i="11" s="1"/>
  <c r="CH104" i="14"/>
  <c r="CC8" i="11"/>
  <c r="CB8" i="15"/>
  <c r="CC140" i="11"/>
  <c r="CC5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75"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D5" i="15" s="1"/>
  <c r="CD13" i="15" s="1"/>
  <c r="CF5" i="10"/>
  <c r="CF14" i="10" s="1"/>
  <c r="CD25" i="4"/>
  <c r="CD26" i="4"/>
  <c r="CD46" i="4"/>
  <c r="CD10" i="4" s="1"/>
  <c r="CE10" i="2" s="1"/>
  <c r="CD45" i="4"/>
  <c r="CD9" i="4" s="1"/>
  <c r="CE9" i="2" s="1"/>
  <c r="CD47" i="4"/>
  <c r="CD11" i="4" s="1"/>
  <c r="CE11" i="2" s="1"/>
  <c r="CD27" i="4"/>
  <c r="CE8" i="10"/>
  <c r="CD8" i="5"/>
  <c r="CE9" i="6"/>
  <c r="CD17" i="11"/>
  <c r="CD97" i="11"/>
  <c r="CC251" i="11" l="1"/>
  <c r="CC68" i="11" s="1"/>
  <c r="CC102" i="5" s="1"/>
  <c r="CC27" i="19" s="1"/>
  <c r="CD246" i="11"/>
  <c r="BU31" i="15"/>
  <c r="CE76"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5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75"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E5" i="15" s="1"/>
  <c r="CE13" i="15" s="1"/>
  <c r="CG5" i="10"/>
  <c r="CG14" i="10" s="1"/>
  <c r="CE45" i="4"/>
  <c r="CE9" i="4" s="1"/>
  <c r="CF9" i="2" s="1"/>
  <c r="CE25" i="4"/>
  <c r="CE27" i="4"/>
  <c r="CE46" i="4"/>
  <c r="CE10" i="4" s="1"/>
  <c r="CF10" i="2" s="1"/>
  <c r="CE26" i="4"/>
  <c r="CE47" i="4"/>
  <c r="CE11" i="4" s="1"/>
  <c r="CF11" i="2" s="1"/>
  <c r="CE17" i="11"/>
  <c r="CE97" i="11"/>
  <c r="CF9" i="6"/>
  <c r="CE8" i="5"/>
  <c r="CF8" i="10"/>
  <c r="CE166" i="11" l="1"/>
  <c r="BT165" i="11" s="1"/>
  <c r="CF31" i="6"/>
  <c r="CD251" i="11"/>
  <c r="CD252" i="11" s="1"/>
  <c r="CE249" i="11" s="1"/>
  <c r="BX16" i="11"/>
  <c r="BX18" i="11" s="1"/>
  <c r="BX70" i="5" s="1"/>
  <c r="BX68" i="5" s="1"/>
  <c r="CF76" i="16"/>
  <c r="CG16" i="6"/>
  <c r="CG60" i="6" s="1"/>
  <c r="CE28" i="11"/>
  <c r="CE75" i="5"/>
  <c r="CE33" i="11"/>
  <c r="CE78" i="5"/>
  <c r="CE111" i="11"/>
  <c r="CE106" i="11"/>
  <c r="CE81" i="5"/>
  <c r="CE80" i="5" s="1"/>
  <c r="CJ104" i="14"/>
  <c r="CE8" i="11"/>
  <c r="CD8" i="15"/>
  <c r="CE39" i="11"/>
  <c r="CF36" i="11" s="1"/>
  <c r="CJ99" i="14"/>
  <c r="CE140" i="11"/>
  <c r="CE5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75"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F5" i="15" s="1"/>
  <c r="CF13" i="15" s="1"/>
  <c r="CH5" i="10"/>
  <c r="CH14" i="10" s="1"/>
  <c r="CF46" i="4"/>
  <c r="CF10" i="4" s="1"/>
  <c r="CG10" i="2" s="1"/>
  <c r="CF47" i="4"/>
  <c r="CF11" i="4" s="1"/>
  <c r="CG11" i="2" s="1"/>
  <c r="CF27" i="4"/>
  <c r="CF25" i="4"/>
  <c r="CF45" i="4"/>
  <c r="CF9" i="4" s="1"/>
  <c r="CG9" i="2" s="1"/>
  <c r="CF26" i="4"/>
  <c r="CF190" i="11" l="1"/>
  <c r="CF191" i="11" s="1"/>
  <c r="CF32" i="5" s="1"/>
  <c r="CG36" i="6"/>
  <c r="CE247" i="11"/>
  <c r="CF244" i="11" s="1"/>
  <c r="CE68" i="11"/>
  <c r="CE102" i="5" s="1"/>
  <c r="CE27" i="19" s="1"/>
  <c r="BY16" i="11"/>
  <c r="BY18" i="11" s="1"/>
  <c r="BY70" i="5" s="1"/>
  <c r="BY68" i="5" s="1"/>
  <c r="CG76" i="16"/>
  <c r="CH16" i="6"/>
  <c r="CH60" i="6" s="1"/>
  <c r="CF81" i="5"/>
  <c r="CF80" i="5" s="1"/>
  <c r="CF28" i="11"/>
  <c r="CF76" i="5" s="1"/>
  <c r="CF75" i="5"/>
  <c r="CF33" i="11"/>
  <c r="CF78" i="5"/>
  <c r="CF111" i="11"/>
  <c r="CF106" i="11"/>
  <c r="CK104" i="14"/>
  <c r="CF8" i="11"/>
  <c r="CE8" i="15"/>
  <c r="CF39" i="11"/>
  <c r="CG36" i="11" s="1"/>
  <c r="CK99" i="14"/>
  <c r="CF140" i="11"/>
  <c r="CF5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75"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5" i="15" s="1"/>
  <c r="CG13" i="15" s="1"/>
  <c r="CG45" i="4"/>
  <c r="CG9" i="4" s="1"/>
  <c r="CH9" i="2" s="1"/>
  <c r="CG46" i="4"/>
  <c r="CG10" i="4" s="1"/>
  <c r="CH10" i="2" s="1"/>
  <c r="CG25" i="4"/>
  <c r="CG47" i="4"/>
  <c r="CG11" i="4" s="1"/>
  <c r="CH11" i="2" s="1"/>
  <c r="CG27" i="4"/>
  <c r="CG26" i="4"/>
  <c r="CH8" i="10"/>
  <c r="CG8" i="5"/>
  <c r="CH9" i="6"/>
  <c r="CG97" i="11"/>
  <c r="CG17" i="11"/>
  <c r="CH29" i="6" l="1"/>
  <c r="CG25" i="5"/>
  <c r="CF247" i="11"/>
  <c r="CG244" i="11" s="1"/>
  <c r="CF68" i="11"/>
  <c r="CF102" i="5" s="1"/>
  <c r="CF27" i="19" s="1"/>
  <c r="BZ16" i="11"/>
  <c r="BZ18" i="11" s="1"/>
  <c r="CH76" i="16"/>
  <c r="CI16" i="6"/>
  <c r="CI60" i="6" s="1"/>
  <c r="CG33" i="11"/>
  <c r="CG78" i="5"/>
  <c r="CG28" i="11"/>
  <c r="CG75" i="5"/>
  <c r="CG111" i="11"/>
  <c r="CG106" i="11"/>
  <c r="CG38" i="11"/>
  <c r="CG82" i="5" s="1"/>
  <c r="CG80" i="5" s="1"/>
  <c r="CL99" i="14"/>
  <c r="CG8" i="11"/>
  <c r="CF8" i="15"/>
  <c r="CB169" i="11"/>
  <c r="CB171" i="11" s="1"/>
  <c r="CB28" i="5" s="1"/>
  <c r="CL104" i="14"/>
  <c r="CG140" i="11"/>
  <c r="CG5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51" i="19" s="1"/>
  <c r="CH87" i="11"/>
  <c r="CH88" i="11" s="1"/>
  <c r="CM5" i="14"/>
  <c r="CM15" i="14" s="1"/>
  <c r="CI5" i="19"/>
  <c r="CL8" i="14"/>
  <c r="CH8" i="19"/>
  <c r="CH5" i="17"/>
  <c r="CI10" i="16"/>
  <c r="CI54" i="16" s="1"/>
  <c r="CI75"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5" i="15" s="1"/>
  <c r="CH13" i="15" s="1"/>
  <c r="CH45" i="4"/>
  <c r="CH9" i="4" s="1"/>
  <c r="CI9" i="2" s="1"/>
  <c r="CH46" i="4"/>
  <c r="CH10" i="4" s="1"/>
  <c r="CI10" i="2" s="1"/>
  <c r="CH47" i="4"/>
  <c r="CH11" i="4" s="1"/>
  <c r="CI11" i="2" s="1"/>
  <c r="CH25" i="4"/>
  <c r="CH26" i="4"/>
  <c r="CH27" i="4"/>
  <c r="CH97" i="11"/>
  <c r="CH17" i="11"/>
  <c r="CI29" i="6" l="1"/>
  <c r="CH25" i="5"/>
  <c r="CG68" i="11"/>
  <c r="CG102" i="5" s="1"/>
  <c r="CG27" i="19" s="1"/>
  <c r="CH250" i="11"/>
  <c r="CH251" i="11" s="1"/>
  <c r="CH252" i="11" s="1"/>
  <c r="CI249" i="11" s="1"/>
  <c r="BY31" i="15"/>
  <c r="CA18" i="11"/>
  <c r="CA70" i="5" s="1"/>
  <c r="CA68" i="5" s="1"/>
  <c r="CI76"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75"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I5" i="15" s="1"/>
  <c r="CI13" i="15" s="1"/>
  <c r="CK5" i="10"/>
  <c r="CK14" i="10" s="1"/>
  <c r="CK6" i="6"/>
  <c r="CK13" i="6" s="1"/>
  <c r="CI97" i="11"/>
  <c r="CI17" i="11"/>
  <c r="CI8" i="5"/>
  <c r="CJ8" i="10"/>
  <c r="CJ9" i="6"/>
  <c r="CJ28" i="6" l="1"/>
  <c r="CI24" i="5"/>
  <c r="CH68" i="11"/>
  <c r="CH102" i="5" s="1"/>
  <c r="CH27" i="19" s="1"/>
  <c r="BZ31" i="15"/>
  <c r="CI246" i="11"/>
  <c r="CB18" i="11"/>
  <c r="CB70" i="5" s="1"/>
  <c r="CB68" i="5" s="1"/>
  <c r="CJ76" i="16"/>
  <c r="CK16" i="6"/>
  <c r="CK60" i="6" s="1"/>
  <c r="CI33" i="11"/>
  <c r="CI78" i="5"/>
  <c r="CI28" i="11"/>
  <c r="CI75" i="5"/>
  <c r="CI111" i="11"/>
  <c r="CI106" i="11"/>
  <c r="CI81" i="5"/>
  <c r="CN99" i="14"/>
  <c r="CN104" i="14"/>
  <c r="CI8" i="11"/>
  <c r="CH8" i="15"/>
  <c r="CD169" i="11"/>
  <c r="CD171" i="11" s="1"/>
  <c r="CD28" i="5" s="1"/>
  <c r="CI39" i="11"/>
  <c r="CJ36" i="11" s="1"/>
  <c r="CI82" i="5"/>
  <c r="CI140" i="11"/>
  <c r="CI5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75"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5" i="15" s="1"/>
  <c r="CJ13" i="15" s="1"/>
  <c r="CJ46" i="4"/>
  <c r="CJ10" i="4" s="1"/>
  <c r="CK10" i="2" s="1"/>
  <c r="CJ27" i="4"/>
  <c r="CJ47" i="4"/>
  <c r="CJ11" i="4" s="1"/>
  <c r="CK11" i="2" s="1"/>
  <c r="CJ45" i="4"/>
  <c r="CJ9" i="4" s="1"/>
  <c r="CK9" i="2" s="1"/>
  <c r="CJ26" i="4"/>
  <c r="CJ25" i="4"/>
  <c r="CK8" i="10"/>
  <c r="CJ8" i="5"/>
  <c r="CK9" i="6"/>
  <c r="CJ97" i="11"/>
  <c r="CJ17" i="11"/>
  <c r="CJ23" i="5" l="1"/>
  <c r="CI68" i="11"/>
  <c r="CI102" i="5" s="1"/>
  <c r="CI27" i="19" s="1"/>
  <c r="CJ246" i="11"/>
  <c r="CC16" i="11"/>
  <c r="CC18" i="11" s="1"/>
  <c r="CC70" i="5" s="1"/>
  <c r="CC68" i="5" s="1"/>
  <c r="CK76" i="16"/>
  <c r="CL16" i="6"/>
  <c r="CL60" i="6" s="1"/>
  <c r="CJ33" i="11"/>
  <c r="CJ78" i="5"/>
  <c r="CJ28" i="11"/>
  <c r="CJ75" i="5"/>
  <c r="CJ111" i="11"/>
  <c r="CJ106" i="11"/>
  <c r="CJ81" i="5"/>
  <c r="CO104" i="14"/>
  <c r="CJ8" i="11"/>
  <c r="CI8" i="15"/>
  <c r="CE169" i="11"/>
  <c r="CE171" i="11" s="1"/>
  <c r="CE28" i="5" s="1"/>
  <c r="CO99" i="14"/>
  <c r="CJ39" i="11"/>
  <c r="CK36" i="11" s="1"/>
  <c r="CJ82" i="5"/>
  <c r="CJ140" i="11"/>
  <c r="CJ5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75"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5" i="15" s="1"/>
  <c r="CK13" i="15" s="1"/>
  <c r="CK17" i="11"/>
  <c r="CK97" i="11"/>
  <c r="CL28" i="6" l="1"/>
  <c r="CK24" i="5"/>
  <c r="CJ68" i="11"/>
  <c r="CJ102" i="5" s="1"/>
  <c r="CJ27" i="19" s="1"/>
  <c r="CK246" i="11"/>
  <c r="CD16" i="11"/>
  <c r="CD18" i="11" s="1"/>
  <c r="CD70" i="5" s="1"/>
  <c r="CD68" i="5" s="1"/>
  <c r="CL76" i="16"/>
  <c r="CM16" i="6"/>
  <c r="CM60" i="6" s="1"/>
  <c r="CK33" i="11"/>
  <c r="CK78" i="5"/>
  <c r="CK28" i="11"/>
  <c r="CK75" i="5"/>
  <c r="CK38" i="11"/>
  <c r="CK39" i="11" s="1"/>
  <c r="CL36" i="11" s="1"/>
  <c r="CK111" i="11"/>
  <c r="CK106" i="11"/>
  <c r="CP104" i="14"/>
  <c r="CK8" i="11"/>
  <c r="CJ8" i="15"/>
  <c r="CP99" i="14"/>
  <c r="CK140" i="11"/>
  <c r="CK5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75"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L5" i="15" s="1"/>
  <c r="CL13" i="15" s="1"/>
  <c r="CM9" i="6"/>
  <c r="CL8" i="5"/>
  <c r="CM8" i="10"/>
  <c r="CE16" i="11" l="1"/>
  <c r="CE18" i="11" s="1"/>
  <c r="CE70" i="5" s="1"/>
  <c r="CE68" i="5" s="1"/>
  <c r="CL246" i="11"/>
  <c r="CK251" i="11"/>
  <c r="CM76" i="16"/>
  <c r="CN16" i="6"/>
  <c r="CN60" i="6" s="1"/>
  <c r="CL33" i="11"/>
  <c r="CL78" i="5"/>
  <c r="CL28" i="11"/>
  <c r="CL75" i="5"/>
  <c r="CL38" i="11"/>
  <c r="CL82" i="5" s="1"/>
  <c r="CL80" i="5" s="1"/>
  <c r="CL111" i="11"/>
  <c r="CL106" i="11"/>
  <c r="CQ99" i="14"/>
  <c r="CL8" i="11"/>
  <c r="CK8" i="15"/>
  <c r="CQ104" i="14"/>
  <c r="CK187" i="11"/>
  <c r="CL184" i="11" s="1"/>
  <c r="CL140" i="11"/>
  <c r="CL5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75"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M5" i="15" s="1"/>
  <c r="CM13" i="15" s="1"/>
  <c r="CN9" i="6"/>
  <c r="CN8" i="10"/>
  <c r="CM8" i="5"/>
  <c r="CM17" i="11"/>
  <c r="CM97" i="11"/>
  <c r="CM27" i="4"/>
  <c r="CM26" i="4"/>
  <c r="CM46" i="4"/>
  <c r="CM10" i="4" s="1"/>
  <c r="CN10" i="2" s="1"/>
  <c r="CM25" i="4"/>
  <c r="CM45" i="4"/>
  <c r="CM9" i="4" s="1"/>
  <c r="CN9" i="2" s="1"/>
  <c r="CM47" i="4"/>
  <c r="CM11" i="4" s="1"/>
  <c r="CN11" i="2" s="1"/>
  <c r="CN27" i="6" l="1"/>
  <c r="CM23" i="5"/>
  <c r="CM246" i="11"/>
  <c r="CL251" i="11"/>
  <c r="CN76" i="16"/>
  <c r="CD31" i="15"/>
  <c r="CF16" i="11"/>
  <c r="CO16" i="6"/>
  <c r="CO60" i="6" s="1"/>
  <c r="CM33" i="11"/>
  <c r="CM78" i="5"/>
  <c r="CM28" i="11"/>
  <c r="CM75" i="5"/>
  <c r="CM111" i="11"/>
  <c r="CM106" i="11"/>
  <c r="CM38" i="11"/>
  <c r="CM39" i="11" s="1"/>
  <c r="CN36" i="11" s="1"/>
  <c r="CL31" i="5"/>
  <c r="CR99" i="14"/>
  <c r="CM8" i="11"/>
  <c r="CL8" i="15"/>
  <c r="CR104" i="14"/>
  <c r="CM140" i="11"/>
  <c r="CM5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51" i="19" s="1"/>
  <c r="CN87" i="11"/>
  <c r="CN88" i="11" s="1"/>
  <c r="CR8" i="14"/>
  <c r="CN8" i="19"/>
  <c r="CS5" i="14"/>
  <c r="CS15" i="14" s="1"/>
  <c r="CO5" i="19"/>
  <c r="CN5" i="17"/>
  <c r="CO10" i="16"/>
  <c r="CO54" i="16" s="1"/>
  <c r="CO75"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N5" i="15" s="1"/>
  <c r="CN13" i="15" s="1"/>
  <c r="CP5" i="10"/>
  <c r="CP14" i="10" s="1"/>
  <c r="CN47" i="4"/>
  <c r="CN11" i="4" s="1"/>
  <c r="CO11" i="2" s="1"/>
  <c r="CN45" i="4"/>
  <c r="CN9" i="4" s="1"/>
  <c r="CO9" i="2" s="1"/>
  <c r="CN46" i="4"/>
  <c r="CN10" i="4" s="1"/>
  <c r="CO10" i="2" s="1"/>
  <c r="CN25" i="4"/>
  <c r="CN27" i="4"/>
  <c r="CN26" i="4"/>
  <c r="CN17" i="11"/>
  <c r="CN97" i="11"/>
  <c r="CO35" i="6" l="1"/>
  <c r="CN185" i="11"/>
  <c r="CM251" i="11"/>
  <c r="CM68" i="11" s="1"/>
  <c r="CM102" i="5" s="1"/>
  <c r="CM27" i="19" s="1"/>
  <c r="CN246" i="11"/>
  <c r="CF19" i="11"/>
  <c r="CO76"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75"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O5" i="15" s="1"/>
  <c r="CO13" i="15" s="1"/>
  <c r="CQ6" i="6"/>
  <c r="CQ13" i="6" s="1"/>
  <c r="CQ5" i="10"/>
  <c r="CQ14" i="10" s="1"/>
  <c r="CP9" i="6"/>
  <c r="CO8" i="5"/>
  <c r="CP8" i="10"/>
  <c r="CT104" i="14" l="1"/>
  <c r="CO246" i="11"/>
  <c r="CN251" i="11"/>
  <c r="CP76" i="16"/>
  <c r="CG18" i="11"/>
  <c r="CG70" i="5" s="1"/>
  <c r="CG68" i="5" s="1"/>
  <c r="CQ16" i="6"/>
  <c r="CQ60" i="6" s="1"/>
  <c r="CO28" i="11"/>
  <c r="CO75" i="5"/>
  <c r="CO33" i="11"/>
  <c r="CO78" i="5"/>
  <c r="CO111" i="11"/>
  <c r="CO106" i="11"/>
  <c r="CO38" i="11"/>
  <c r="CO82" i="5" s="1"/>
  <c r="CO80" i="5" s="1"/>
  <c r="CT99" i="14"/>
  <c r="CO8" i="11"/>
  <c r="CN8" i="15"/>
  <c r="CI169" i="11"/>
  <c r="CI171" i="11" s="1"/>
  <c r="CI28" i="5" s="1"/>
  <c r="CO140" i="11"/>
  <c r="CO5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75"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P5" i="15" s="1"/>
  <c r="CP13" i="15" s="1"/>
  <c r="CR5" i="10"/>
  <c r="CR14" i="10" s="1"/>
  <c r="CQ8" i="10"/>
  <c r="CQ9" i="6"/>
  <c r="CP8" i="5"/>
  <c r="CP97" i="11"/>
  <c r="CP17" i="11"/>
  <c r="CQ35" i="6" l="1"/>
  <c r="CO251" i="11"/>
  <c r="CO252" i="11" s="1"/>
  <c r="CP249" i="11" s="1"/>
  <c r="CH16" i="11"/>
  <c r="CH18" i="11" s="1"/>
  <c r="CH70" i="5" s="1"/>
  <c r="CH68" i="5" s="1"/>
  <c r="CP246" i="11"/>
  <c r="CQ76" i="16"/>
  <c r="CR16" i="6"/>
  <c r="CR60" i="6" s="1"/>
  <c r="CP38" i="11"/>
  <c r="CP33" i="11"/>
  <c r="CP78" i="5"/>
  <c r="CP28" i="11"/>
  <c r="CP75" i="5"/>
  <c r="CP111" i="11"/>
  <c r="CP106" i="11"/>
  <c r="CP81" i="5"/>
  <c r="CU104" i="14"/>
  <c r="CP8" i="11"/>
  <c r="CO8" i="15"/>
  <c r="CJ169" i="11"/>
  <c r="CJ171" i="11" s="1"/>
  <c r="CJ28" i="5" s="1"/>
  <c r="CU99" i="14"/>
  <c r="CP140" i="11"/>
  <c r="CP5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75"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Q5" i="15" s="1"/>
  <c r="CQ13" i="15" s="1"/>
  <c r="CS6" i="6"/>
  <c r="CS13" i="6" s="1"/>
  <c r="CS5" i="10"/>
  <c r="CS14" i="10" s="1"/>
  <c r="CR9" i="6"/>
  <c r="CQ8" i="5"/>
  <c r="CR8" i="10"/>
  <c r="CQ25" i="4"/>
  <c r="CQ26" i="4"/>
  <c r="CQ27" i="4"/>
  <c r="CQ45" i="4"/>
  <c r="CQ9" i="4" s="1"/>
  <c r="CR9" i="2" s="1"/>
  <c r="CQ47" i="4"/>
  <c r="CQ11" i="4" s="1"/>
  <c r="CR11" i="2" s="1"/>
  <c r="CQ46" i="4"/>
  <c r="CQ10" i="4" s="1"/>
  <c r="CR10" i="2" s="1"/>
  <c r="CR27" i="6" l="1"/>
  <c r="CQ23" i="5"/>
  <c r="CP68" i="11"/>
  <c r="CP102" i="5" s="1"/>
  <c r="CP27" i="19" s="1"/>
  <c r="CQ246" i="11"/>
  <c r="CI16" i="11"/>
  <c r="CI18" i="11" s="1"/>
  <c r="CI70" i="5" s="1"/>
  <c r="CI68" i="5" s="1"/>
  <c r="CQ38" i="11"/>
  <c r="CQ82" i="5" s="1"/>
  <c r="CR76" i="16"/>
  <c r="CS16" i="6"/>
  <c r="CS60" i="6" s="1"/>
  <c r="CQ33" i="11"/>
  <c r="CQ78" i="5"/>
  <c r="CQ28" i="11"/>
  <c r="CQ75" i="5"/>
  <c r="CQ111" i="11"/>
  <c r="CQ106" i="11"/>
  <c r="CQ81" i="5"/>
  <c r="CV104" i="14"/>
  <c r="CQ8" i="11"/>
  <c r="CP8" i="15"/>
  <c r="CK169" i="11"/>
  <c r="CK171" i="11" s="1"/>
  <c r="CK28" i="5" s="1"/>
  <c r="CV99" i="14"/>
  <c r="CQ140" i="11"/>
  <c r="CQ5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75"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R5" i="15" s="1"/>
  <c r="CR13" i="15" s="1"/>
  <c r="CT5" i="10"/>
  <c r="CT14" i="10" s="1"/>
  <c r="CR45" i="4"/>
  <c r="CR9" i="4" s="1"/>
  <c r="CS9" i="2" s="1"/>
  <c r="CR47" i="4"/>
  <c r="CR11" i="4" s="1"/>
  <c r="CS11" i="2" s="1"/>
  <c r="CR46" i="4"/>
  <c r="CR10" i="4" s="1"/>
  <c r="CS10" i="2" s="1"/>
  <c r="CR26" i="4"/>
  <c r="CR25" i="4"/>
  <c r="CR27" i="4"/>
  <c r="CS30" i="6" l="1"/>
  <c r="CR26" i="5"/>
  <c r="CQ68" i="11"/>
  <c r="CQ102" i="5" s="1"/>
  <c r="CQ27" i="19" s="1"/>
  <c r="CR246" i="11"/>
  <c r="CJ16" i="11"/>
  <c r="CJ18" i="11" s="1"/>
  <c r="CJ70" i="5" s="1"/>
  <c r="CJ68" i="5" s="1"/>
  <c r="CS76" i="16"/>
  <c r="CT16" i="6"/>
  <c r="CT60" i="6" s="1"/>
  <c r="CR33" i="11"/>
  <c r="CR78" i="5"/>
  <c r="CR28" i="11"/>
  <c r="CR75" i="5"/>
  <c r="CR111" i="11"/>
  <c r="CR106" i="11"/>
  <c r="CR38" i="11"/>
  <c r="CR82" i="5" s="1"/>
  <c r="CR80" i="5" s="1"/>
  <c r="CW99" i="14"/>
  <c r="CW104" i="14"/>
  <c r="CR8" i="11"/>
  <c r="CQ8" i="15"/>
  <c r="CR140" i="11"/>
  <c r="CR5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75"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S5" i="15" s="1"/>
  <c r="CS13" i="15" s="1"/>
  <c r="CU5" i="10"/>
  <c r="CU14" i="10" s="1"/>
  <c r="CU6" i="6"/>
  <c r="CU13" i="6" s="1"/>
  <c r="CT8" i="10"/>
  <c r="CS8" i="5"/>
  <c r="CT9" i="6"/>
  <c r="CS17" i="11"/>
  <c r="CS97" i="11"/>
  <c r="CS46" i="4"/>
  <c r="CS10" i="4" s="1"/>
  <c r="CT10" i="2" s="1"/>
  <c r="CS26" i="4"/>
  <c r="CS27" i="4"/>
  <c r="CS45" i="4"/>
  <c r="CS9" i="4" s="1"/>
  <c r="CT9" i="2" s="1"/>
  <c r="CS47" i="4"/>
  <c r="CS11" i="4" s="1"/>
  <c r="CT11" i="2" s="1"/>
  <c r="CS25" i="4"/>
  <c r="CT29" i="6" l="1"/>
  <c r="CS25" i="5"/>
  <c r="CR68" i="11"/>
  <c r="CR102" i="5" s="1"/>
  <c r="CR27" i="19" s="1"/>
  <c r="CT76" i="16"/>
  <c r="CI31" i="15"/>
  <c r="CK16" i="11"/>
  <c r="CU16" i="6"/>
  <c r="CU60" i="6" s="1"/>
  <c r="CS33" i="11"/>
  <c r="CS78" i="5"/>
  <c r="CS28" i="11"/>
  <c r="CS75" i="5"/>
  <c r="CS38" i="11"/>
  <c r="CS82" i="5" s="1"/>
  <c r="CS111" i="11"/>
  <c r="CS106" i="11"/>
  <c r="CS81" i="5"/>
  <c r="CX99" i="14"/>
  <c r="CS8" i="11"/>
  <c r="CR8" i="15"/>
  <c r="CS140" i="11"/>
  <c r="CS5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51" i="19" s="1"/>
  <c r="CT87" i="11"/>
  <c r="CT88" i="11" s="1"/>
  <c r="CX8" i="14"/>
  <c r="CT8" i="19"/>
  <c r="CY5" i="14"/>
  <c r="CY15" i="14" s="1"/>
  <c r="CU5" i="19"/>
  <c r="CT5" i="17"/>
  <c r="CU10" i="16"/>
  <c r="CU54" i="16" s="1"/>
  <c r="CU75"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T5" i="15" s="1"/>
  <c r="CT13" i="15" s="1"/>
  <c r="CU9" i="6"/>
  <c r="CT8" i="5"/>
  <c r="CU8" i="10"/>
  <c r="CT25" i="4"/>
  <c r="CT45" i="4"/>
  <c r="CT9" i="4" s="1"/>
  <c r="CU9" i="2" s="1"/>
  <c r="CT26" i="4"/>
  <c r="CT46" i="4"/>
  <c r="CT10" i="4" s="1"/>
  <c r="CU10" i="2" s="1"/>
  <c r="CT47" i="4"/>
  <c r="CT11" i="4" s="1"/>
  <c r="CU11" i="2" s="1"/>
  <c r="CT27" i="4"/>
  <c r="CT26" i="5" l="1"/>
  <c r="CS247" i="11"/>
  <c r="CT244" i="11" s="1"/>
  <c r="CS68" i="11"/>
  <c r="CS102" i="5" s="1"/>
  <c r="CS27" i="19" s="1"/>
  <c r="CT250" i="11"/>
  <c r="CT251" i="11" s="1"/>
  <c r="CT252" i="11" s="1"/>
  <c r="CU249" i="11" s="1"/>
  <c r="CK19" i="11"/>
  <c r="CL16" i="11" s="1"/>
  <c r="CU76"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75"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U5" i="15" s="1"/>
  <c r="CU13" i="15" s="1"/>
  <c r="CW5" i="10"/>
  <c r="CW14" i="10" s="1"/>
  <c r="CU97" i="11"/>
  <c r="CU17" i="11"/>
  <c r="CU27" i="4"/>
  <c r="CU46" i="4"/>
  <c r="CU10" i="4" s="1"/>
  <c r="CV10" i="2" s="1"/>
  <c r="CU26" i="4"/>
  <c r="CU25" i="4"/>
  <c r="CU47" i="4"/>
  <c r="CU11" i="4" s="1"/>
  <c r="CV11" i="2" s="1"/>
  <c r="CU45" i="4"/>
  <c r="CU9" i="4" s="1"/>
  <c r="CV9" i="2" s="1"/>
  <c r="CU190" i="11" l="1"/>
  <c r="CT247" i="11"/>
  <c r="CU244" i="11" s="1"/>
  <c r="CT68" i="11"/>
  <c r="CT102" i="5" s="1"/>
  <c r="CT27" i="19" s="1"/>
  <c r="CL19" i="11"/>
  <c r="CK31" i="15" s="1"/>
  <c r="CV76" i="16"/>
  <c r="CW16" i="6"/>
  <c r="CW60" i="6" s="1"/>
  <c r="CU33" i="11"/>
  <c r="CU78" i="5"/>
  <c r="CU28" i="11"/>
  <c r="CU75" i="5"/>
  <c r="CU111" i="11"/>
  <c r="CU106" i="11"/>
  <c r="CU81" i="5"/>
  <c r="CZ99" i="14"/>
  <c r="CU8" i="11"/>
  <c r="CT8" i="15"/>
  <c r="CN169" i="11"/>
  <c r="CN171" i="11" s="1"/>
  <c r="CN28" i="5" s="1"/>
  <c r="CZ104" i="14"/>
  <c r="CU39" i="11"/>
  <c r="CV36" i="11" s="1"/>
  <c r="CU82" i="5"/>
  <c r="CU140" i="11"/>
  <c r="CU5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75"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V5" i="15" s="1"/>
  <c r="CV13" i="15" s="1"/>
  <c r="CX6" i="6"/>
  <c r="CX13" i="6" s="1"/>
  <c r="CX5" i="10"/>
  <c r="CX14" i="10" s="1"/>
  <c r="CV97" i="11"/>
  <c r="CV17" i="11"/>
  <c r="CU192" i="11" l="1"/>
  <c r="CV189" i="11" s="1"/>
  <c r="CU32" i="5"/>
  <c r="CV166" i="11"/>
  <c r="CK165" i="11" s="1"/>
  <c r="CK27" i="5" s="1"/>
  <c r="CW31" i="6"/>
  <c r="CU68" i="11"/>
  <c r="CU102" i="5" s="1"/>
  <c r="CU27" i="19" s="1"/>
  <c r="CV250" i="11"/>
  <c r="CV251" i="11" s="1"/>
  <c r="CV252" i="11" s="1"/>
  <c r="CW249" i="11" s="1"/>
  <c r="CM19" i="11"/>
  <c r="CN16" i="11" s="1"/>
  <c r="CW76" i="16"/>
  <c r="CX16" i="6"/>
  <c r="CX60" i="6" s="1"/>
  <c r="CV33" i="11"/>
  <c r="CV78" i="5"/>
  <c r="CV28" i="11"/>
  <c r="CV75" i="5"/>
  <c r="CV111" i="11"/>
  <c r="CV106" i="11"/>
  <c r="CV38" i="11"/>
  <c r="CV39" i="11" s="1"/>
  <c r="CW36" i="11" s="1"/>
  <c r="DA99" i="14"/>
  <c r="CV8" i="11"/>
  <c r="CU8" i="15"/>
  <c r="CO169" i="11"/>
  <c r="CO171" i="11" s="1"/>
  <c r="CO28" i="5" s="1"/>
  <c r="DA104" i="14"/>
  <c r="CV140" i="11"/>
  <c r="CV5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75"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W5" i="15" s="1"/>
  <c r="CW13" i="15" s="1"/>
  <c r="CY5" i="10"/>
  <c r="CY14" i="10" s="1"/>
  <c r="CY6" i="6"/>
  <c r="CY13" i="6" s="1"/>
  <c r="CW8" i="5"/>
  <c r="CX9" i="6"/>
  <c r="CX8" i="10"/>
  <c r="CW17" i="11"/>
  <c r="CW97" i="11"/>
  <c r="CW26" i="5" l="1"/>
  <c r="CX30" i="6"/>
  <c r="CV247" i="11"/>
  <c r="CW244" i="11" s="1"/>
  <c r="CN19" i="11"/>
  <c r="CM31" i="15" s="1"/>
  <c r="CX76" i="16"/>
  <c r="CY16" i="6"/>
  <c r="CY60" i="6" s="1"/>
  <c r="CW33" i="11"/>
  <c r="CW78" i="5"/>
  <c r="CW28" i="11"/>
  <c r="CW75" i="5"/>
  <c r="CW111" i="11"/>
  <c r="CW106" i="11"/>
  <c r="CW81" i="5"/>
  <c r="DB104" i="14"/>
  <c r="CW8" i="11"/>
  <c r="CV8" i="15"/>
  <c r="DB99" i="14"/>
  <c r="CW39" i="11"/>
  <c r="CX36" i="11" s="1"/>
  <c r="CW82" i="5"/>
  <c r="CW140" i="11"/>
  <c r="CW5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75"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X5" i="15" s="1"/>
  <c r="CX13" i="15" s="1"/>
  <c r="CZ5" i="10"/>
  <c r="CZ14" i="10" s="1"/>
  <c r="CY9" i="6"/>
  <c r="CX8" i="5"/>
  <c r="CY8" i="10"/>
  <c r="CX17" i="11"/>
  <c r="CX97" i="11"/>
  <c r="CW68" i="11" l="1"/>
  <c r="CW102" i="5" s="1"/>
  <c r="CW27" i="19" s="1"/>
  <c r="CO19" i="11"/>
  <c r="CN31" i="15" s="1"/>
  <c r="CY76" i="16"/>
  <c r="CZ16" i="6"/>
  <c r="CZ60" i="6" s="1"/>
  <c r="CX33" i="11"/>
  <c r="CX78" i="5"/>
  <c r="CX28" i="11"/>
  <c r="CX75" i="5"/>
  <c r="CX111" i="11"/>
  <c r="CX106" i="11"/>
  <c r="CX81" i="5"/>
  <c r="CY36" i="6"/>
  <c r="DC99" i="14"/>
  <c r="CX8" i="11"/>
  <c r="CW8" i="15"/>
  <c r="CX39" i="11"/>
  <c r="CY36" i="11" s="1"/>
  <c r="CX82" i="5"/>
  <c r="CX140" i="11"/>
  <c r="CX5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75"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CY5" i="15" s="1"/>
  <c r="CY13" i="15" s="1"/>
  <c r="DA5" i="10"/>
  <c r="DA14" i="10" s="1"/>
  <c r="CY26" i="4"/>
  <c r="CY46" i="4"/>
  <c r="CY10" i="4" s="1"/>
  <c r="CZ10" i="2" s="1"/>
  <c r="CY27" i="4"/>
  <c r="CY47" i="4"/>
  <c r="CY11" i="4" s="1"/>
  <c r="CZ11" i="2" s="1"/>
  <c r="CY25" i="4"/>
  <c r="CY45" i="4"/>
  <c r="CY9" i="4" s="1"/>
  <c r="CZ9" i="2" s="1"/>
  <c r="CY97" i="11"/>
  <c r="CY17" i="11"/>
  <c r="CZ31" i="6" l="1"/>
  <c r="CX247" i="11"/>
  <c r="CY244" i="11" s="1"/>
  <c r="CX251" i="11"/>
  <c r="CX68" i="11" s="1"/>
  <c r="CX102" i="5" s="1"/>
  <c r="CX27" i="19" s="1"/>
  <c r="CP19" i="11"/>
  <c r="CO31" i="15" s="1"/>
  <c r="CZ76" i="16"/>
  <c r="DA16" i="6"/>
  <c r="DA60" i="6" s="1"/>
  <c r="CY33" i="11"/>
  <c r="CY78" i="5"/>
  <c r="CY28" i="11"/>
  <c r="CY75" i="5"/>
  <c r="CY111" i="11"/>
  <c r="CY106" i="11"/>
  <c r="CY81" i="5"/>
  <c r="DD104" i="14"/>
  <c r="CY8" i="11"/>
  <c r="CX8" i="15"/>
  <c r="DD99" i="14"/>
  <c r="CY39" i="11"/>
  <c r="CZ36" i="11" s="1"/>
  <c r="CY82" i="5"/>
  <c r="CY140" i="11"/>
  <c r="CY5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51" i="19" s="1"/>
  <c r="CZ87" i="11"/>
  <c r="CZ88" i="11" s="1"/>
  <c r="DD8" i="14"/>
  <c r="CZ8" i="19"/>
  <c r="DE5" i="14"/>
  <c r="DE15" i="14" s="1"/>
  <c r="DA5" i="19"/>
  <c r="CZ5" i="17"/>
  <c r="DA10" i="16"/>
  <c r="DA54" i="16" s="1"/>
  <c r="DA75"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5" i="15" s="1"/>
  <c r="CZ13" i="15" s="1"/>
  <c r="CZ47" i="4"/>
  <c r="CZ11" i="4" s="1"/>
  <c r="DA11" i="2" s="1"/>
  <c r="CZ27" i="4"/>
  <c r="CZ45" i="4"/>
  <c r="CZ9" i="4" s="1"/>
  <c r="DA9" i="2" s="1"/>
  <c r="CZ25" i="4"/>
  <c r="CZ26" i="4"/>
  <c r="CZ46" i="4"/>
  <c r="CZ10" i="4" s="1"/>
  <c r="DA10" i="2" s="1"/>
  <c r="DA8" i="10"/>
  <c r="DA9" i="6"/>
  <c r="CZ8" i="5"/>
  <c r="DA30" i="6" l="1"/>
  <c r="CZ26" i="5"/>
  <c r="CY251" i="11"/>
  <c r="CY252" i="11" s="1"/>
  <c r="CZ249" i="11" s="1"/>
  <c r="CZ246" i="11"/>
  <c r="CQ19" i="11"/>
  <c r="CR16" i="11" s="1"/>
  <c r="DA76"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75"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5" i="15" s="1"/>
  <c r="DA13" i="15" s="1"/>
  <c r="DA17" i="11"/>
  <c r="DA97" i="11"/>
  <c r="DA24" i="5" l="1"/>
  <c r="DB28" i="6"/>
  <c r="CZ68" i="11"/>
  <c r="CZ102" i="5" s="1"/>
  <c r="CZ27" i="19" s="1"/>
  <c r="DA246" i="11"/>
  <c r="CR19" i="11"/>
  <c r="CQ31" i="15" s="1"/>
  <c r="DB76" i="16"/>
  <c r="DC16" i="6"/>
  <c r="DC60" i="6" s="1"/>
  <c r="DA28" i="11"/>
  <c r="DA75" i="5"/>
  <c r="DA33" i="11"/>
  <c r="DA78" i="5"/>
  <c r="DA111" i="11"/>
  <c r="DA106" i="11"/>
  <c r="DA81" i="5"/>
  <c r="DF99" i="14"/>
  <c r="DA8" i="11"/>
  <c r="CZ8" i="15"/>
  <c r="DF104" i="14"/>
  <c r="DA39" i="11"/>
  <c r="DB36" i="11" s="1"/>
  <c r="DA82" i="5"/>
  <c r="DA140" i="11"/>
  <c r="DA5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75"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s="1"/>
  <c r="DB13" i="15" s="1"/>
  <c r="DB25" i="5" l="1"/>
  <c r="DB246" i="11"/>
  <c r="DA251" i="11"/>
  <c r="DA68" i="11" s="1"/>
  <c r="DA102" i="5" s="1"/>
  <c r="DA27" i="19" s="1"/>
  <c r="CS19" i="11"/>
  <c r="CR31" i="15" s="1"/>
  <c r="DC76" i="16"/>
  <c r="DD16" i="6"/>
  <c r="DD60" i="6" s="1"/>
  <c r="DB28" i="11"/>
  <c r="DB75" i="5"/>
  <c r="DB33" i="11"/>
  <c r="DB78" i="5"/>
  <c r="DB111" i="11"/>
  <c r="DB106" i="11"/>
  <c r="DB81" i="5"/>
  <c r="DG104" i="14"/>
  <c r="DB8" i="11"/>
  <c r="DA8" i="15"/>
  <c r="DG99" i="14"/>
  <c r="DB39" i="11"/>
  <c r="DC36" i="11" s="1"/>
  <c r="DB82" i="5"/>
  <c r="DB140" i="11"/>
  <c r="DB5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75"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C5" i="15" s="1"/>
  <c r="DC13" i="15" s="1"/>
  <c r="DE5" i="10"/>
  <c r="DE14" i="10" s="1"/>
  <c r="DC17" i="11"/>
  <c r="DC97" i="11"/>
  <c r="DD30" i="6" l="1"/>
  <c r="DC26" i="5"/>
  <c r="DB251" i="11"/>
  <c r="DB68" i="11" s="1"/>
  <c r="DB102" i="5" s="1"/>
  <c r="DB27" i="19" s="1"/>
  <c r="DC246" i="11"/>
  <c r="CT19" i="11"/>
  <c r="CS31" i="15" s="1"/>
  <c r="DD76" i="16"/>
  <c r="DE16" i="6"/>
  <c r="DE60" i="6" s="1"/>
  <c r="DC33" i="11"/>
  <c r="DC78" i="5"/>
  <c r="DC28" i="11"/>
  <c r="DC75" i="5"/>
  <c r="DC111" i="11"/>
  <c r="DC106" i="11"/>
  <c r="DC81" i="5"/>
  <c r="DH99" i="14"/>
  <c r="DC8" i="11"/>
  <c r="DB8" i="15"/>
  <c r="DC39" i="11"/>
  <c r="DD36" i="11" s="1"/>
  <c r="DC82" i="5"/>
  <c r="DC140" i="11"/>
  <c r="DC5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75"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D5" i="15" s="1"/>
  <c r="DD13" i="15" s="1"/>
  <c r="DF5" i="10"/>
  <c r="DF14" i="10" s="1"/>
  <c r="DD46" i="4"/>
  <c r="DD10" i="4" s="1"/>
  <c r="DE10" i="2" s="1"/>
  <c r="DD27" i="4"/>
  <c r="DD47" i="4"/>
  <c r="DD11" i="4" s="1"/>
  <c r="DE11" i="2" s="1"/>
  <c r="DD25" i="4"/>
  <c r="DD26" i="4"/>
  <c r="DD45" i="4"/>
  <c r="DD9" i="4" s="1"/>
  <c r="DE9" i="2" s="1"/>
  <c r="DD8" i="5"/>
  <c r="DE9" i="6"/>
  <c r="DE8" i="10"/>
  <c r="DD26" i="5" l="1"/>
  <c r="DE30" i="6"/>
  <c r="DC251" i="11"/>
  <c r="DD250" i="11"/>
  <c r="DE76" i="16"/>
  <c r="CU19" i="11"/>
  <c r="DF16" i="6"/>
  <c r="DF60" i="6" s="1"/>
  <c r="DD28" i="11"/>
  <c r="DD75" i="5"/>
  <c r="DD33" i="11"/>
  <c r="DD78" i="5"/>
  <c r="DD111" i="11"/>
  <c r="DD106" i="11"/>
  <c r="DD38" i="11"/>
  <c r="DD39" i="11" s="1"/>
  <c r="DE36" i="11" s="1"/>
  <c r="DI99" i="14"/>
  <c r="DD8" i="11"/>
  <c r="DC8" i="15"/>
  <c r="DD140" i="11"/>
  <c r="DD5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75"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E5" i="15" s="1"/>
  <c r="DE13" i="15" s="1"/>
  <c r="DG5" i="10"/>
  <c r="DG14" i="10" s="1"/>
  <c r="DE25" i="5" l="1"/>
  <c r="DF29" i="6"/>
  <c r="DD247" i="11"/>
  <c r="DE244" i="11" s="1"/>
  <c r="DD68" i="11"/>
  <c r="DD102" i="5" s="1"/>
  <c r="DD27" i="19" s="1"/>
  <c r="CV18" i="11"/>
  <c r="CV70" i="5" s="1"/>
  <c r="CV68" i="5" s="1"/>
  <c r="DF76" i="16"/>
  <c r="DG16" i="6"/>
  <c r="DG60" i="6" s="1"/>
  <c r="DE106" i="11"/>
  <c r="DE33" i="11"/>
  <c r="DE78" i="5"/>
  <c r="DE28" i="11"/>
  <c r="DE75" i="5"/>
  <c r="DE111" i="11"/>
  <c r="DE81" i="5"/>
  <c r="DJ104" i="14"/>
  <c r="DE8" i="11"/>
  <c r="DD8" i="15"/>
  <c r="DD31" i="5"/>
  <c r="DJ99" i="14"/>
  <c r="DE39" i="11"/>
  <c r="DF36" i="11" s="1"/>
  <c r="DE82" i="5"/>
  <c r="DE140" i="11"/>
  <c r="DE5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51" i="19" s="1"/>
  <c r="DF87" i="11"/>
  <c r="DF88" i="11" s="1"/>
  <c r="DE197" i="11"/>
  <c r="DF194" i="11" s="1"/>
  <c r="DK5" i="14"/>
  <c r="DK15" i="14" s="1"/>
  <c r="DG5" i="19"/>
  <c r="DJ8" i="14"/>
  <c r="DF8" i="19"/>
  <c r="DE176" i="11"/>
  <c r="DE177" i="11" s="1"/>
  <c r="DF174" i="11" s="1"/>
  <c r="DF5" i="17"/>
  <c r="DG10" i="16"/>
  <c r="DG54" i="16" s="1"/>
  <c r="DG75"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F5" i="15" s="1"/>
  <c r="DF13" i="15" s="1"/>
  <c r="DH6" i="6"/>
  <c r="DH13" i="6" s="1"/>
  <c r="DH5" i="10"/>
  <c r="DH14" i="10" s="1"/>
  <c r="DF175" i="11" l="1"/>
  <c r="DF176" i="11" s="1"/>
  <c r="DF177" i="11" s="1"/>
  <c r="DG174" i="11" s="1"/>
  <c r="DG33" i="6"/>
  <c r="DE68" i="11"/>
  <c r="DE102" i="5" s="1"/>
  <c r="DE27" i="19" s="1"/>
  <c r="DF246" i="11"/>
  <c r="CU31" i="15"/>
  <c r="DG76"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75"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G5" i="15" s="1"/>
  <c r="DG13" i="15" s="1"/>
  <c r="DI5" i="10"/>
  <c r="DI14" i="10" s="1"/>
  <c r="DI6" i="6"/>
  <c r="DI13" i="6" s="1"/>
  <c r="DG47" i="4"/>
  <c r="DG11" i="4" s="1"/>
  <c r="DH11" i="2" s="1"/>
  <c r="DG46" i="4"/>
  <c r="DG10" i="4" s="1"/>
  <c r="DH10" i="2" s="1"/>
  <c r="DG25" i="4"/>
  <c r="DG26" i="4"/>
  <c r="DG27" i="4"/>
  <c r="DG45" i="4"/>
  <c r="DG9" i="4" s="1"/>
  <c r="DH9" i="2" s="1"/>
  <c r="DH28" i="6" l="1"/>
  <c r="DG24" i="5"/>
  <c r="DF68" i="11"/>
  <c r="DF102" i="5" s="1"/>
  <c r="DF27" i="19" s="1"/>
  <c r="CV31" i="15"/>
  <c r="DG246" i="11"/>
  <c r="CX18" i="11"/>
  <c r="CX70" i="5" s="1"/>
  <c r="CX68" i="5" s="1"/>
  <c r="DH76" i="16"/>
  <c r="DI16" i="6"/>
  <c r="DI60" i="6" s="1"/>
  <c r="DG33" i="11"/>
  <c r="DG78" i="5"/>
  <c r="DG28" i="11"/>
  <c r="DG75" i="5"/>
  <c r="DG38" i="11"/>
  <c r="DG82" i="5" s="1"/>
  <c r="DG111" i="11"/>
  <c r="DG106" i="11"/>
  <c r="DG81" i="5"/>
  <c r="DL99" i="14"/>
  <c r="DG8" i="11"/>
  <c r="DF8" i="15"/>
  <c r="DL104" i="14"/>
  <c r="DG140" i="11"/>
  <c r="DG5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75"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H5" i="15" s="1"/>
  <c r="DH13" i="15" s="1"/>
  <c r="DI8" i="10"/>
  <c r="DI9" i="6"/>
  <c r="DH8" i="5"/>
  <c r="DH46" i="4"/>
  <c r="DH10" i="4" s="1"/>
  <c r="DI10" i="2" s="1"/>
  <c r="DH47" i="4"/>
  <c r="DH11" i="4" s="1"/>
  <c r="DI11" i="2" s="1"/>
  <c r="DH45" i="4"/>
  <c r="DH9" i="4" s="1"/>
  <c r="DI9" i="2" s="1"/>
  <c r="DH25" i="4"/>
  <c r="DH26" i="4"/>
  <c r="DH27" i="4"/>
  <c r="DI29" i="6" l="1"/>
  <c r="DG68" i="11"/>
  <c r="DG102" i="5" s="1"/>
  <c r="DG27" i="19" s="1"/>
  <c r="DH246" i="11"/>
  <c r="CW31" i="15"/>
  <c r="CY16" i="11"/>
  <c r="DI76" i="16"/>
  <c r="DJ16" i="6"/>
  <c r="DJ60" i="6" s="1"/>
  <c r="DH28" i="11"/>
  <c r="DH75" i="5"/>
  <c r="DH33" i="11"/>
  <c r="DH78" i="5"/>
  <c r="DH111" i="11"/>
  <c r="DH106" i="11"/>
  <c r="DH38" i="11"/>
  <c r="DH82" i="5" s="1"/>
  <c r="DH80" i="5" s="1"/>
  <c r="DM99" i="14"/>
  <c r="DH8" i="11"/>
  <c r="DG8" i="15"/>
  <c r="DM104" i="14"/>
  <c r="DH140" i="11"/>
  <c r="DH5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75"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I5" i="15" s="1"/>
  <c r="DI13" i="15" s="1"/>
  <c r="DK6" i="6"/>
  <c r="DK13" i="6" s="1"/>
  <c r="DJ35" i="6" l="1"/>
  <c r="DI185" i="11"/>
  <c r="DH68" i="11"/>
  <c r="DH102" i="5" s="1"/>
  <c r="DH27" i="19" s="1"/>
  <c r="DI246" i="11"/>
  <c r="CY19" i="11"/>
  <c r="CX31" i="15" s="1"/>
  <c r="DJ76" i="16"/>
  <c r="DK16" i="6"/>
  <c r="DK60" i="6" s="1"/>
  <c r="DI33" i="11"/>
  <c r="DI78" i="5"/>
  <c r="DI28" i="11"/>
  <c r="DI75" i="5"/>
  <c r="DI111" i="11"/>
  <c r="DI38" i="11"/>
  <c r="DI39" i="11" s="1"/>
  <c r="DJ36" i="11" s="1"/>
  <c r="DI106" i="11"/>
  <c r="DI81" i="5"/>
  <c r="DN104" i="14"/>
  <c r="DI8" i="11"/>
  <c r="DH8" i="15"/>
  <c r="DN99" i="14"/>
  <c r="DI140" i="11"/>
  <c r="DI5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75"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J5" i="15" s="1"/>
  <c r="DJ13" i="15" s="1"/>
  <c r="DL5" i="10"/>
  <c r="DL14" i="10" s="1"/>
  <c r="DJ25" i="4"/>
  <c r="DJ47" i="4"/>
  <c r="DJ11" i="4" s="1"/>
  <c r="DK11" i="2" s="1"/>
  <c r="DJ26" i="4"/>
  <c r="DJ27" i="4"/>
  <c r="DJ46" i="4"/>
  <c r="DJ10" i="4" s="1"/>
  <c r="DK10" i="2" s="1"/>
  <c r="DJ45" i="4"/>
  <c r="DJ9" i="4" s="1"/>
  <c r="DK9" i="2" s="1"/>
  <c r="DI31" i="5" l="1"/>
  <c r="DI187" i="11"/>
  <c r="DJ184" i="11" s="1"/>
  <c r="DK28" i="6"/>
  <c r="DJ24" i="5"/>
  <c r="DI68" i="11"/>
  <c r="DI102" i="5" s="1"/>
  <c r="DI27" i="19" s="1"/>
  <c r="DJ246" i="11"/>
  <c r="CZ19" i="11"/>
  <c r="CY31" i="15" s="1"/>
  <c r="DK76" i="16"/>
  <c r="DL16" i="6"/>
  <c r="DL60" i="6" s="1"/>
  <c r="DJ33" i="11"/>
  <c r="DJ78" i="5"/>
  <c r="DJ28" i="11"/>
  <c r="DJ75" i="5"/>
  <c r="DJ111" i="11"/>
  <c r="DJ106" i="11"/>
  <c r="DJ81" i="5"/>
  <c r="DO99" i="14"/>
  <c r="DJ8" i="11"/>
  <c r="DI8" i="15"/>
  <c r="DO104" i="14"/>
  <c r="DJ196" i="11"/>
  <c r="DJ39" i="5" s="1"/>
  <c r="DJ39" i="11"/>
  <c r="DK36" i="11" s="1"/>
  <c r="DJ82" i="5"/>
  <c r="DJ140" i="11"/>
  <c r="DJ5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75"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K5" i="15" s="1"/>
  <c r="DK13" i="15" s="1"/>
  <c r="DM5" i="10"/>
  <c r="DM14" i="10" s="1"/>
  <c r="DM6" i="6"/>
  <c r="DM13" i="6" s="1"/>
  <c r="DK97" i="11"/>
  <c r="DK17" i="11"/>
  <c r="DL9" i="6"/>
  <c r="DK8" i="5"/>
  <c r="DL8" i="10"/>
  <c r="DK26" i="4"/>
  <c r="DK27" i="4"/>
  <c r="DK45" i="4"/>
  <c r="DK9" i="4" s="1"/>
  <c r="DL9" i="2" s="1"/>
  <c r="DK25" i="4"/>
  <c r="DK46" i="4"/>
  <c r="DK10" i="4" s="1"/>
  <c r="DL10" i="2" s="1"/>
  <c r="DK47" i="4"/>
  <c r="DK11" i="4" s="1"/>
  <c r="DL11" i="2" s="1"/>
  <c r="DL33" i="6" l="1"/>
  <c r="DK175" i="11"/>
  <c r="DK176" i="11" s="1"/>
  <c r="DJ68" i="11"/>
  <c r="DJ102" i="5" s="1"/>
  <c r="DJ27" i="19" s="1"/>
  <c r="DK246" i="11"/>
  <c r="DA19" i="11"/>
  <c r="DB16" i="11" s="1"/>
  <c r="DL76" i="16"/>
  <c r="DM16" i="6"/>
  <c r="DM60" i="6" s="1"/>
  <c r="DK33" i="11"/>
  <c r="DK78" i="5"/>
  <c r="DK28" i="11"/>
  <c r="DK75" i="5"/>
  <c r="DK111" i="11"/>
  <c r="DK106" i="11"/>
  <c r="DK38" i="11"/>
  <c r="DK82" i="5" s="1"/>
  <c r="DK80" i="5" s="1"/>
  <c r="DP99" i="14"/>
  <c r="DK8" i="11"/>
  <c r="DJ8" i="15"/>
  <c r="DP104" i="14"/>
  <c r="DK196" i="11"/>
  <c r="DK39" i="5" s="1"/>
  <c r="DK140" i="11"/>
  <c r="DK5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51" i="19" s="1"/>
  <c r="DL87" i="11"/>
  <c r="DL88" i="11" s="1"/>
  <c r="DP8" i="14"/>
  <c r="DL8" i="19"/>
  <c r="DQ5" i="14"/>
  <c r="DQ15" i="14" s="1"/>
  <c r="DM5" i="19"/>
  <c r="DN5" i="16"/>
  <c r="DL5" i="17"/>
  <c r="DM10" i="16"/>
  <c r="DM54" i="16" s="1"/>
  <c r="DM75"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5" i="15" s="1"/>
  <c r="DL13" i="15" s="1"/>
  <c r="DL47" i="4"/>
  <c r="DL11" i="4" s="1"/>
  <c r="DM11" i="2" s="1"/>
  <c r="DL46" i="4"/>
  <c r="DL10" i="4" s="1"/>
  <c r="DM10" i="2" s="1"/>
  <c r="DL27" i="4"/>
  <c r="DL45" i="4"/>
  <c r="DL9" i="4" s="1"/>
  <c r="DM9" i="2" s="1"/>
  <c r="DL26" i="4"/>
  <c r="DL25" i="4"/>
  <c r="DL97" i="11"/>
  <c r="DL17" i="11"/>
  <c r="DM9" i="6"/>
  <c r="DL8" i="5"/>
  <c r="DM8" i="10"/>
  <c r="DM29" i="6" l="1"/>
  <c r="DK68" i="11"/>
  <c r="DK102" i="5" s="1"/>
  <c r="DK27" i="19" s="1"/>
  <c r="DL246" i="11"/>
  <c r="DB19" i="11"/>
  <c r="DM76"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75"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M5" i="15" s="1"/>
  <c r="DM13" i="15" s="1"/>
  <c r="DO5" i="10"/>
  <c r="DO14" i="10" s="1"/>
  <c r="DO6" i="6"/>
  <c r="DO13" i="6" s="1"/>
  <c r="DM25" i="4"/>
  <c r="DM46" i="4"/>
  <c r="DM10" i="4" s="1"/>
  <c r="DN10" i="2" s="1"/>
  <c r="DM26" i="4"/>
  <c r="DM47" i="4"/>
  <c r="DM11" i="4" s="1"/>
  <c r="DN11" i="2" s="1"/>
  <c r="DM27" i="4"/>
  <c r="DM45" i="4"/>
  <c r="DM9" i="4" s="1"/>
  <c r="DN9" i="2" s="1"/>
  <c r="DM97" i="11"/>
  <c r="DM17" i="11"/>
  <c r="DM185" i="11" l="1"/>
  <c r="DN35" i="6"/>
  <c r="DL68" i="11"/>
  <c r="DL102" i="5" s="1"/>
  <c r="DL27" i="19" s="1"/>
  <c r="DM246" i="11"/>
  <c r="DC18" i="11"/>
  <c r="DC70" i="5" s="1"/>
  <c r="DC68" i="5" s="1"/>
  <c r="DN76" i="16"/>
  <c r="DO16" i="6"/>
  <c r="DO60" i="6" s="1"/>
  <c r="DM28" i="11"/>
  <c r="DM76" i="5" s="1"/>
  <c r="DM75" i="5"/>
  <c r="DM33" i="11"/>
  <c r="DM78" i="5"/>
  <c r="DM111" i="11"/>
  <c r="DM106" i="11"/>
  <c r="DM38" i="11"/>
  <c r="DM82" i="5" s="1"/>
  <c r="DM80" i="5" s="1"/>
  <c r="DM196" i="11"/>
  <c r="DM39" i="5" s="1"/>
  <c r="DR99" i="14"/>
  <c r="DM8" i="11"/>
  <c r="DL8" i="15"/>
  <c r="DR104" i="14"/>
  <c r="DM140" i="11"/>
  <c r="DM5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75"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5" i="15" s="1"/>
  <c r="DN13" i="15" s="1"/>
  <c r="DN97" i="11"/>
  <c r="DN17" i="11"/>
  <c r="DN27" i="4"/>
  <c r="DN25" i="4"/>
  <c r="DN26" i="4"/>
  <c r="DN47" i="4"/>
  <c r="DN11" i="4" s="1"/>
  <c r="DO11" i="2" s="1"/>
  <c r="DN46" i="4"/>
  <c r="DN10" i="4" s="1"/>
  <c r="DO10" i="2" s="1"/>
  <c r="DN45" i="4"/>
  <c r="DN9" i="4" s="1"/>
  <c r="DO9" i="2" s="1"/>
  <c r="DO9" i="6"/>
  <c r="DN8" i="5"/>
  <c r="DO8" i="10"/>
  <c r="DM187" i="11" l="1"/>
  <c r="DN184" i="11" s="1"/>
  <c r="DM31" i="5"/>
  <c r="DO30" i="6"/>
  <c r="DN26" i="5"/>
  <c r="DM68" i="11"/>
  <c r="DM102" i="5" s="1"/>
  <c r="DM27" i="19" s="1"/>
  <c r="DN246" i="11"/>
  <c r="DD16" i="11"/>
  <c r="DD18" i="11" s="1"/>
  <c r="DD70" i="5" s="1"/>
  <c r="DD68" i="5" s="1"/>
  <c r="DO76" i="16"/>
  <c r="DP16" i="6"/>
  <c r="DP60" i="6" s="1"/>
  <c r="DN33" i="11"/>
  <c r="DN78" i="5"/>
  <c r="DN28" i="11"/>
  <c r="DN75" i="5"/>
  <c r="DN111" i="11"/>
  <c r="DN106" i="11"/>
  <c r="DN38" i="11"/>
  <c r="DN39" i="11" s="1"/>
  <c r="DO36" i="11" s="1"/>
  <c r="DN196" i="11"/>
  <c r="DN39" i="5" s="1"/>
  <c r="DS99" i="14"/>
  <c r="DN8" i="11"/>
  <c r="DM8" i="15"/>
  <c r="DS104" i="14"/>
  <c r="DN140" i="11"/>
  <c r="DN5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75"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O5" i="15" s="1"/>
  <c r="DO13" i="15" s="1"/>
  <c r="DQ6" i="6"/>
  <c r="DQ13" i="6" s="1"/>
  <c r="DP8" i="10"/>
  <c r="DP9" i="6"/>
  <c r="DO8" i="5"/>
  <c r="DP30" i="6" l="1"/>
  <c r="DO26" i="5"/>
  <c r="DN68" i="11"/>
  <c r="DN102" i="5" s="1"/>
  <c r="DN27" i="19" s="1"/>
  <c r="DO246" i="11"/>
  <c r="DC31" i="15"/>
  <c r="DE16" i="11"/>
  <c r="DP76" i="16"/>
  <c r="DQ16" i="6"/>
  <c r="DQ60" i="6" s="1"/>
  <c r="DO196" i="11"/>
  <c r="DO39" i="5" s="1"/>
  <c r="DO28" i="11"/>
  <c r="DO75" i="5"/>
  <c r="DO33" i="11"/>
  <c r="DO78" i="5"/>
  <c r="DO111" i="11"/>
  <c r="DO106" i="11"/>
  <c r="DO38" i="11"/>
  <c r="DO39" i="11" s="1"/>
  <c r="DP36" i="11" s="1"/>
  <c r="DT104" i="14"/>
  <c r="DQ4" i="5"/>
  <c r="DP4" i="15" s="1"/>
  <c r="DR4" i="2"/>
  <c r="DO8" i="11"/>
  <c r="DN8" i="15"/>
  <c r="DT99" i="14"/>
  <c r="DO140" i="11"/>
  <c r="DO5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75"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P25" i="5" l="1"/>
  <c r="DO68" i="11"/>
  <c r="DO102" i="5" s="1"/>
  <c r="DO27" i="19" s="1"/>
  <c r="DP250" i="11"/>
  <c r="DP251" i="11" s="1"/>
  <c r="DP252" i="11" s="1"/>
  <c r="DQ249" i="11" s="1"/>
  <c r="DE19" i="11"/>
  <c r="DF16" i="11" s="1"/>
  <c r="DQ76"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5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75"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29" i="6" l="1"/>
  <c r="DP247" i="11"/>
  <c r="DQ244" i="11" s="1"/>
  <c r="DP68" i="11"/>
  <c r="DP102" i="5" s="1"/>
  <c r="DP27" i="19" s="1"/>
  <c r="DF19" i="11"/>
  <c r="DG16" i="11" s="1"/>
  <c r="DQ196" i="11"/>
  <c r="DQ39" i="5" s="1"/>
  <c r="DR76"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5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75"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R26" i="5" l="1"/>
  <c r="DS30" i="6"/>
  <c r="DR196" i="11"/>
  <c r="DQ68" i="11"/>
  <c r="DQ102" i="5" s="1"/>
  <c r="DQ27" i="19" s="1"/>
  <c r="DG19" i="11"/>
  <c r="DF31" i="15" s="1"/>
  <c r="DS76"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51" i="19"/>
  <c r="DS57" i="11"/>
  <c r="DS90" i="5" s="1"/>
  <c r="DS87" i="11"/>
  <c r="DX5" i="14"/>
  <c r="DX15" i="14" s="1"/>
  <c r="DW8" i="14"/>
  <c r="DS8" i="19"/>
  <c r="DU5" i="16"/>
  <c r="DT10" i="16"/>
  <c r="DT54" i="16" s="1"/>
  <c r="DT75"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S196" i="11" l="1"/>
  <c r="DS170" i="11"/>
  <c r="DT32" i="6"/>
  <c r="DT13" i="19"/>
  <c r="DR247" i="11"/>
  <c r="DS244" i="11" s="1"/>
  <c r="DR68" i="11"/>
  <c r="DR102" i="5" s="1"/>
  <c r="DR27" i="19" s="1"/>
  <c r="DH19" i="11"/>
  <c r="DG31" i="15" s="1"/>
  <c r="DT76"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5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51" i="19" s="1"/>
  <c r="DT87" i="11"/>
  <c r="DX8" i="14"/>
  <c r="DY5" i="14"/>
  <c r="DY15" i="14" s="1"/>
  <c r="DS186" i="11"/>
  <c r="DS31" i="5" s="1"/>
  <c r="DU10" i="16"/>
  <c r="DU54" i="16" s="1"/>
  <c r="DU75"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 i="19" l="1"/>
  <c r="DS68" i="11"/>
  <c r="DS102" i="5" s="1"/>
  <c r="DS27" i="19" s="1"/>
  <c r="DT246" i="11"/>
  <c r="DI19" i="11"/>
  <c r="DJ16" i="11" s="1"/>
  <c r="DU76"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5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75"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 i="19" l="1"/>
  <c r="DT68" i="11"/>
  <c r="DT102" i="5" s="1"/>
  <c r="DT27" i="19" s="1"/>
  <c r="DU246" i="11"/>
  <c r="DJ19" i="11"/>
  <c r="DI31" i="15" s="1"/>
  <c r="DV76"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5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75" i="16" s="1"/>
  <c r="DI171" i="11"/>
  <c r="DI28" i="5" s="1"/>
  <c r="DJ164" i="11"/>
  <c r="DJ165" i="11"/>
  <c r="DW13" i="19" l="1"/>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76"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5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 i="19" l="1"/>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51" i="19" s="1"/>
  <c r="DW9" i="11"/>
  <c r="DV9" i="15"/>
  <c r="DX26" i="4"/>
  <c r="DX46" i="4"/>
  <c r="DX10" i="4" s="1"/>
  <c r="DX45" i="4"/>
  <c r="DX9" i="4" s="1"/>
  <c r="DX25" i="4"/>
  <c r="DX47" i="4"/>
  <c r="DX11" i="4" s="1"/>
  <c r="DX27" i="4"/>
  <c r="DJ172" i="11"/>
  <c r="DW251" i="11" l="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5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 i="19" l="1"/>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3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5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 i="19" l="1"/>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 i="19" l="1"/>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51" i="19"/>
  <c r="EB97" i="11"/>
  <c r="EB22" i="11"/>
  <c r="EB72" i="5" s="1"/>
  <c r="EB17" i="11"/>
  <c r="EB57" i="11"/>
  <c r="EB87" i="11"/>
  <c r="EB88" i="11" s="1"/>
  <c r="EB37" i="11"/>
  <c r="EA187" i="11"/>
  <c r="EB184" i="11" s="1"/>
  <c r="DP27" i="5"/>
  <c r="EB4" i="15"/>
  <c r="EC4" i="11"/>
  <c r="EB38" i="4"/>
  <c r="EB6" i="11"/>
  <c r="EA6" i="15"/>
  <c r="DN164" i="11"/>
  <c r="DN167" i="11" s="1"/>
  <c r="DM19" i="15" s="1"/>
  <c r="DO169" i="11"/>
  <c r="DN28" i="5"/>
  <c r="K41" i="10" l="1"/>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51" i="19"/>
  <c r="EC97" i="11"/>
  <c r="EC17" i="11"/>
  <c r="EC22" i="11"/>
  <c r="EC72" i="5" s="1"/>
  <c r="EC87" i="11"/>
  <c r="EC88" i="11" s="1"/>
  <c r="EC57" i="11"/>
  <c r="EC37" i="11"/>
  <c r="EC8" i="19"/>
  <c r="ED9" i="6"/>
  <c r="ED8" i="2"/>
  <c r="EG8" i="14"/>
  <c r="EC8" i="5"/>
  <c r="ED8" i="10"/>
  <c r="EC32" i="4"/>
  <c r="DP164" i="11"/>
  <c r="DP167" i="11" s="1"/>
  <c r="DO19" i="15" s="1"/>
  <c r="DO172" i="11"/>
  <c r="ED13" i="19" l="1"/>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5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D175" i="11" l="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5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D68" i="11" l="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51" i="19" s="1"/>
  <c r="EF37" i="11"/>
  <c r="EF81" i="5" s="1"/>
  <c r="EE177" i="11"/>
  <c r="EF174" i="11" s="1"/>
  <c r="ED9" i="15"/>
  <c r="EE9" i="11"/>
  <c r="EG30" i="10"/>
  <c r="EE7" i="15"/>
  <c r="EF7" i="11"/>
  <c r="EF4" i="15"/>
  <c r="EG4" i="11"/>
  <c r="EG25" i="2"/>
  <c r="EG22" i="2"/>
  <c r="EG24" i="2"/>
  <c r="EG21" i="2"/>
  <c r="EG23" i="2"/>
  <c r="EG30" i="2"/>
  <c r="EG46" i="10"/>
  <c r="EG23" i="10"/>
  <c r="EE51" i="19"/>
  <c r="DR169" i="11"/>
  <c r="DR171" i="11" s="1"/>
  <c r="DR28" i="5" s="1"/>
  <c r="EG13" i="19" l="1"/>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5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 i="19" l="1"/>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5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 i="19" l="1"/>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5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S71" i="5" l="1"/>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5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J196" i="11" l="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5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K196" i="11" l="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5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L190" i="11" l="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5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 i="19" l="1"/>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5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M68" i="11" l="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5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31" i="6" l="1"/>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51" i="19" s="1"/>
  <c r="EP97" i="11"/>
  <c r="EP17" i="11"/>
  <c r="EP69" i="5" s="1"/>
  <c r="EP37" i="11"/>
  <c r="EP81" i="5" s="1"/>
  <c r="EA172" i="11"/>
  <c r="EA28" i="5"/>
  <c r="U32" i="30" l="1"/>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0" i="16"/>
  <c r="AK80" i="16"/>
  <c r="AM80" i="16"/>
  <c r="AL80" i="16"/>
  <c r="AN80" i="16"/>
  <c r="AP80" i="16"/>
  <c r="AO80" i="16"/>
  <c r="AQ80" i="16"/>
  <c r="AR80" i="16"/>
  <c r="AS80" i="16"/>
  <c r="AT80" i="16"/>
  <c r="AV80" i="16"/>
  <c r="AU80" i="16"/>
  <c r="AW80" i="16"/>
  <c r="AX80" i="16"/>
  <c r="AY80" i="16"/>
  <c r="AZ80" i="16"/>
  <c r="BA80" i="16"/>
  <c r="BB80" i="16"/>
  <c r="BC80" i="16"/>
  <c r="BD80" i="16"/>
  <c r="BE80" i="16"/>
  <c r="BF80" i="16"/>
  <c r="BG80" i="16"/>
  <c r="BH80" i="16"/>
  <c r="BI80" i="16"/>
  <c r="BJ80" i="16"/>
  <c r="BK80" i="16"/>
  <c r="BL80" i="16"/>
  <c r="BN80" i="16"/>
  <c r="BM80" i="16"/>
  <c r="BO80" i="16"/>
  <c r="BP80" i="16"/>
  <c r="BR80" i="16"/>
  <c r="BQ80" i="16"/>
  <c r="BS80" i="16"/>
  <c r="BT80" i="16"/>
  <c r="BU80" i="16"/>
  <c r="BV80" i="16"/>
  <c r="BW80" i="16"/>
  <c r="BX80" i="16"/>
  <c r="BY80" i="16"/>
  <c r="BZ80" i="16"/>
  <c r="CA80" i="16"/>
  <c r="CB80" i="16"/>
  <c r="CD80" i="16"/>
  <c r="CC80" i="16"/>
  <c r="CE80" i="16"/>
  <c r="CG80" i="16"/>
  <c r="CF80" i="16"/>
  <c r="CI80" i="16"/>
  <c r="CH80" i="16"/>
  <c r="CJ80" i="16"/>
  <c r="CK80" i="16"/>
  <c r="CL80" i="16"/>
  <c r="CM80" i="16"/>
  <c r="CN80" i="16"/>
  <c r="CO80" i="16"/>
  <c r="CP80" i="16"/>
  <c r="CQ80" i="16"/>
  <c r="CR80" i="16"/>
  <c r="CS80" i="16"/>
  <c r="CT80" i="16"/>
  <c r="CU80" i="16"/>
  <c r="CV80" i="16"/>
  <c r="CW80" i="16"/>
  <c r="CX80" i="16"/>
  <c r="CY80" i="16"/>
  <c r="CZ80" i="16"/>
  <c r="DA80" i="16"/>
  <c r="DB80" i="16"/>
  <c r="DC80" i="16"/>
  <c r="DD80" i="16"/>
  <c r="DF80" i="16"/>
  <c r="DE80" i="16"/>
  <c r="DG80" i="16"/>
  <c r="DI80" i="16"/>
  <c r="DH80" i="16"/>
  <c r="DJ80" i="16"/>
  <c r="DL80" i="16"/>
  <c r="DK80" i="16"/>
  <c r="DM80" i="16"/>
  <c r="DN80" i="16"/>
  <c r="DO80" i="16"/>
  <c r="DQ80" i="16"/>
  <c r="DP80" i="16"/>
  <c r="DR80" i="16"/>
  <c r="DS80" i="16"/>
  <c r="DT80" i="16"/>
  <c r="DU80" i="16"/>
  <c r="DV80" i="16"/>
  <c r="DW80"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X36" i="35" l="1"/>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Q35" i="30"/>
  <c r="Q33" i="30"/>
  <c r="T35" i="30"/>
  <c r="T33" i="30"/>
  <c r="S33" i="30"/>
  <c r="S35" i="30"/>
  <c r="U35" i="30"/>
  <c r="U33" i="30"/>
  <c r="P33" i="30"/>
  <c r="P35" i="30"/>
  <c r="R33" i="30"/>
  <c r="R35" i="30"/>
  <c r="N33" i="30"/>
  <c r="N35" i="30"/>
  <c r="K32" i="6"/>
  <c r="K29" i="6"/>
  <c r="E11" i="30"/>
  <c r="K30" i="6"/>
  <c r="E14" i="30"/>
  <c r="E22" i="30"/>
  <c r="K31" i="6"/>
  <c r="R6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67" i="19"/>
  <c r="C127" i="21" s="1"/>
  <c r="V6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0" i="16"/>
  <c r="BA27" i="16"/>
  <c r="CT19" i="16"/>
  <c r="BW21" i="16"/>
  <c r="R25" i="16"/>
  <c r="I685" i="32" s="1"/>
  <c r="CX60" i="16"/>
  <c r="AM50" i="16"/>
  <c r="DQ66" i="16"/>
  <c r="AR70" i="16"/>
  <c r="AE35" i="16"/>
  <c r="V703" i="32" s="1"/>
  <c r="CY60" i="16"/>
  <c r="CL50" i="16"/>
  <c r="BS34" i="16"/>
  <c r="DB61" i="16"/>
  <c r="BG31" i="16"/>
  <c r="CY15" i="16"/>
  <c r="BR29" i="16"/>
  <c r="DU66" i="16"/>
  <c r="DV24" i="16"/>
  <c r="CI39" i="16"/>
  <c r="DV38" i="16"/>
  <c r="V25" i="16"/>
  <c r="M685" i="32" s="1"/>
  <c r="BW23" i="16"/>
  <c r="DW48" i="16"/>
  <c r="BZ70"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0" i="16"/>
  <c r="CG71" i="16"/>
  <c r="CY22" i="16"/>
  <c r="AQ39" i="16"/>
  <c r="DC27" i="16"/>
  <c r="AZ19" i="16"/>
  <c r="DO48" i="16"/>
  <c r="AP31" i="16"/>
  <c r="X25" i="16"/>
  <c r="O685" i="32" s="1"/>
  <c r="CH20" i="16"/>
  <c r="R30" i="16"/>
  <c r="I687" i="32" s="1"/>
  <c r="BK47" i="16"/>
  <c r="CY57" i="16"/>
  <c r="DG61" i="16"/>
  <c r="BJ56" i="16"/>
  <c r="BY24" i="16"/>
  <c r="BN24" i="16"/>
  <c r="Y21" i="16"/>
  <c r="P682" i="32" s="1"/>
  <c r="DB20" i="16"/>
  <c r="BL66" i="16"/>
  <c r="DT70" i="16"/>
  <c r="DQ56" i="16"/>
  <c r="AV14" i="16"/>
  <c r="AU31" i="16"/>
  <c r="BL50" i="16"/>
  <c r="M24" i="16"/>
  <c r="AN17" i="16"/>
  <c r="AN16" i="16" s="1"/>
  <c r="BL25" i="16"/>
  <c r="CH19" i="16"/>
  <c r="AT27" i="16"/>
  <c r="BF24" i="16"/>
  <c r="BF28" i="16"/>
  <c r="DK71" i="16"/>
  <c r="DK38" i="16"/>
  <c r="AP56" i="16"/>
  <c r="DE21" i="16"/>
  <c r="CH30" i="16"/>
  <c r="DU56" i="16"/>
  <c r="BO17" i="16"/>
  <c r="BO16" i="16" s="1"/>
  <c r="BI26" i="16"/>
  <c r="CV14" i="16"/>
  <c r="BX22" i="16"/>
  <c r="CQ14" i="16"/>
  <c r="CT57" i="16"/>
  <c r="R17" i="16"/>
  <c r="R16" i="16" s="1"/>
  <c r="CG20" i="16"/>
  <c r="AT35" i="16"/>
  <c r="BS47" i="16"/>
  <c r="CJ29" i="16"/>
  <c r="DA50" i="16"/>
  <c r="BZ48" i="16"/>
  <c r="BD71"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1" i="16"/>
  <c r="BG56" i="16"/>
  <c r="AI23" i="16"/>
  <c r="BH15" i="16"/>
  <c r="DH61" i="16"/>
  <c r="CA24" i="16"/>
  <c r="BZ50" i="16"/>
  <c r="AQ48" i="16"/>
  <c r="DP30" i="16"/>
  <c r="CE60" i="16"/>
  <c r="BP14" i="16"/>
  <c r="AF24" i="16"/>
  <c r="W684" i="32" s="1"/>
  <c r="BU47" i="16"/>
  <c r="DG60" i="16"/>
  <c r="AI35" i="16"/>
  <c r="DU47" i="16"/>
  <c r="BL17" i="16"/>
  <c r="BL16" i="16" s="1"/>
  <c r="AM23" i="16"/>
  <c r="AU50" i="16"/>
  <c r="DM50" i="16"/>
  <c r="DM70" i="16"/>
  <c r="DE61" i="16"/>
  <c r="DD28" i="16"/>
  <c r="DB29" i="16"/>
  <c r="DT31" i="16"/>
  <c r="AV13" i="16"/>
  <c r="AK31" i="16"/>
  <c r="AR14" i="16"/>
  <c r="DB26" i="16"/>
  <c r="DI17" i="16"/>
  <c r="DI16" i="16" s="1"/>
  <c r="BZ24" i="16"/>
  <c r="BP23" i="16"/>
  <c r="CE48" i="16"/>
  <c r="AK70" i="16"/>
  <c r="DC61" i="16"/>
  <c r="CS25" i="16"/>
  <c r="BH66" i="16"/>
  <c r="CD70" i="16"/>
  <c r="AS25" i="16"/>
  <c r="AU26" i="16"/>
  <c r="DC21" i="16"/>
  <c r="S26" i="16"/>
  <c r="AU15" i="16"/>
  <c r="DM19" i="16"/>
  <c r="BP34" i="16"/>
  <c r="CK31" i="16"/>
  <c r="BV23" i="16"/>
  <c r="AU13" i="16"/>
  <c r="BX48" i="16"/>
  <c r="DG71"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0" i="16"/>
  <c r="DD30" i="16"/>
  <c r="CK48" i="16"/>
  <c r="AS60" i="16"/>
  <c r="CJ70"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0" i="16"/>
  <c r="BF33" i="16"/>
  <c r="DW15" i="16"/>
  <c r="DW71" i="16"/>
  <c r="BE48" i="16"/>
  <c r="BA31" i="16"/>
  <c r="X35" i="16"/>
  <c r="O703" i="32" s="1"/>
  <c r="AM25" i="16"/>
  <c r="CP29" i="16"/>
  <c r="BW56" i="16"/>
  <c r="BR31" i="16"/>
  <c r="CM32" i="16"/>
  <c r="BM20" i="16"/>
  <c r="AM26" i="16"/>
  <c r="CO38" i="16"/>
  <c r="BD24" i="16"/>
  <c r="AW26" i="16"/>
  <c r="BK70" i="16"/>
  <c r="CM21" i="16"/>
  <c r="BC50" i="16"/>
  <c r="CY28" i="16"/>
  <c r="CS56" i="16"/>
  <c r="CO24" i="16"/>
  <c r="BU28" i="16"/>
  <c r="AU47" i="16"/>
  <c r="BB61" i="16"/>
  <c r="AX61" i="16"/>
  <c r="CH61" i="16"/>
  <c r="CT26" i="16"/>
  <c r="BK71"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1" i="16"/>
  <c r="AM30" i="16"/>
  <c r="BJ23" i="16"/>
  <c r="CE61" i="16"/>
  <c r="AQ47" i="16"/>
  <c r="DO15" i="16"/>
  <c r="M22" i="16"/>
  <c r="CR13" i="16"/>
  <c r="BW57" i="16"/>
  <c r="DR19" i="16"/>
  <c r="DK22" i="16"/>
  <c r="DD34" i="16"/>
  <c r="BY27" i="16"/>
  <c r="CB17" i="16"/>
  <c r="CB16" i="16" s="1"/>
  <c r="AU60" i="16"/>
  <c r="DQ23" i="16"/>
  <c r="Q22" i="16"/>
  <c r="H683" i="32" s="1"/>
  <c r="CO25" i="16"/>
  <c r="CX21" i="16"/>
  <c r="DR70" i="16"/>
  <c r="M25" i="16"/>
  <c r="BM25" i="16"/>
  <c r="AQ56" i="16"/>
  <c r="CE65" i="16"/>
  <c r="CO21" i="16"/>
  <c r="BX65" i="16"/>
  <c r="DA57" i="16"/>
  <c r="AT19" i="16"/>
  <c r="T24" i="16"/>
  <c r="K684" i="32" s="1"/>
  <c r="CT60" i="16"/>
  <c r="W17" i="16"/>
  <c r="W16" i="16" s="1"/>
  <c r="DS60" i="16"/>
  <c r="BA70"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0" i="16"/>
  <c r="CZ14" i="16"/>
  <c r="DE14" i="16"/>
  <c r="BD47" i="16"/>
  <c r="CK21" i="16"/>
  <c r="X19" i="16"/>
  <c r="O704" i="32" s="1"/>
  <c r="BY65" i="16"/>
  <c r="AW48" i="16"/>
  <c r="CD22" i="16"/>
  <c r="DI26" i="16"/>
  <c r="CN65" i="16"/>
  <c r="DF14" i="16"/>
  <c r="AY47" i="16"/>
  <c r="BU61" i="16"/>
  <c r="CW61" i="16"/>
  <c r="AS57" i="16"/>
  <c r="CZ29" i="16"/>
  <c r="DA21" i="16"/>
  <c r="BB22" i="16"/>
  <c r="DF33" i="16"/>
  <c r="CN66" i="16"/>
  <c r="AZ70"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1" i="16"/>
  <c r="CX31" i="16"/>
  <c r="AW34" i="16"/>
  <c r="BV56" i="16"/>
  <c r="CC48" i="16"/>
  <c r="CA19" i="16"/>
  <c r="BM30" i="16"/>
  <c r="DQ22" i="16"/>
  <c r="CQ29" i="16"/>
  <c r="DT47" i="16"/>
  <c r="M50" i="16"/>
  <c r="CP27" i="16"/>
  <c r="BK39" i="16"/>
  <c r="AL56" i="16"/>
  <c r="CT39" i="16"/>
  <c r="AT70" i="16"/>
  <c r="DD24" i="16"/>
  <c r="DT60" i="16"/>
  <c r="DG27" i="16"/>
  <c r="BB20" i="16"/>
  <c r="CY32" i="16"/>
  <c r="BZ13" i="16"/>
  <c r="BA57" i="16"/>
  <c r="AP39" i="16"/>
  <c r="CZ24" i="16"/>
  <c r="AE21" i="16"/>
  <c r="V682" i="32" s="1"/>
  <c r="AT66" i="16"/>
  <c r="AY22" i="16"/>
  <c r="BB35" i="16"/>
  <c r="BI70" i="16"/>
  <c r="AK61" i="16"/>
  <c r="DS14" i="16"/>
  <c r="DR25" i="16"/>
  <c r="W24" i="16"/>
  <c r="N684" i="32" s="1"/>
  <c r="DM71" i="16"/>
  <c r="AZ22" i="16"/>
  <c r="AX60" i="16"/>
  <c r="DD56" i="16"/>
  <c r="DM24" i="16"/>
  <c r="CA25" i="16"/>
  <c r="CK13" i="16"/>
  <c r="DJ25" i="16"/>
  <c r="DS65" i="16"/>
  <c r="CT29" i="16"/>
  <c r="DI20" i="16"/>
  <c r="AH17" i="16"/>
  <c r="AH16" i="16" s="1"/>
  <c r="AP17" i="16"/>
  <c r="AP16" i="16" s="1"/>
  <c r="BV70"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0" i="16"/>
  <c r="DE50" i="16"/>
  <c r="BX38" i="16"/>
  <c r="DV71"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1" i="16"/>
  <c r="AN20" i="16"/>
  <c r="AP35" i="16"/>
  <c r="CI28" i="16"/>
  <c r="AP14" i="16"/>
  <c r="AY26" i="16"/>
  <c r="AQ17" i="16"/>
  <c r="AQ16" i="16" s="1"/>
  <c r="DC30" i="16"/>
  <c r="CN28" i="16"/>
  <c r="DB71"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1" i="16"/>
  <c r="BT47" i="16"/>
  <c r="CN39" i="16"/>
  <c r="BT56" i="16"/>
  <c r="DM57" i="16"/>
  <c r="AA50" i="16"/>
  <c r="CG23" i="16"/>
  <c r="BL60" i="16"/>
  <c r="BK61" i="16"/>
  <c r="BB33" i="16"/>
  <c r="DC48" i="16"/>
  <c r="AJ30" i="16"/>
  <c r="CN23" i="16"/>
  <c r="BY13" i="16"/>
  <c r="CT15" i="16"/>
  <c r="DO47" i="16"/>
  <c r="CA71" i="16"/>
  <c r="DU32" i="16"/>
  <c r="BS25" i="16"/>
  <c r="CR22" i="16"/>
  <c r="CL22" i="16"/>
  <c r="CG38" i="16"/>
  <c r="AS50" i="16"/>
  <c r="CD56" i="16"/>
  <c r="BP19" i="16"/>
  <c r="DE25" i="16"/>
  <c r="BF70" i="16"/>
  <c r="BF20" i="16"/>
  <c r="P26" i="16"/>
  <c r="CZ15" i="16"/>
  <c r="DQ70" i="16"/>
  <c r="CC50" i="16"/>
  <c r="BM31" i="16"/>
  <c r="CU14" i="16"/>
  <c r="CJ38" i="16"/>
  <c r="AO26" i="16"/>
  <c r="DC32" i="16"/>
  <c r="CX66" i="16"/>
  <c r="AD30" i="16"/>
  <c r="U687" i="32" s="1"/>
  <c r="BF60" i="16"/>
  <c r="Z50" i="16"/>
  <c r="Q27" i="16"/>
  <c r="M30" i="16"/>
  <c r="DP27" i="16"/>
  <c r="X26" i="16"/>
  <c r="CL17" i="16"/>
  <c r="CL16" i="16" s="1"/>
  <c r="CL57" i="16"/>
  <c r="CV21" i="16"/>
  <c r="CX13" i="16"/>
  <c r="DG23" i="16"/>
  <c r="DO71"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0" i="16"/>
  <c r="CJ26" i="16"/>
  <c r="N25" i="16"/>
  <c r="AC27" i="16"/>
  <c r="BA71" i="16"/>
  <c r="DN29" i="16"/>
  <c r="CX17" i="16"/>
  <c r="CX16" i="16" s="1"/>
  <c r="AU66" i="16"/>
  <c r="BJ31" i="16"/>
  <c r="BM17" i="16"/>
  <c r="BM16" i="16" s="1"/>
  <c r="AI25" i="16"/>
  <c r="CX47" i="16"/>
  <c r="BO13" i="16"/>
  <c r="AO29" i="16"/>
  <c r="CQ22" i="16"/>
  <c r="BE31" i="16"/>
  <c r="DD71" i="16"/>
  <c r="CE19" i="16"/>
  <c r="AT20" i="16"/>
  <c r="BC21" i="16"/>
  <c r="AX38" i="16"/>
  <c r="AI19" i="16"/>
  <c r="CV33" i="16"/>
  <c r="DL60" i="16"/>
  <c r="M19" i="16"/>
  <c r="CY48" i="16"/>
  <c r="DF26" i="16"/>
  <c r="CF23" i="16"/>
  <c r="BY57" i="16"/>
  <c r="DA22" i="16"/>
  <c r="BJ22" i="16"/>
  <c r="Z25" i="16"/>
  <c r="Q685" i="32" s="1"/>
  <c r="CU29" i="16"/>
  <c r="DL19" i="16"/>
  <c r="BU21" i="16"/>
  <c r="CD27" i="16"/>
  <c r="CI26" i="16"/>
  <c r="CK39" i="16"/>
  <c r="AS71" i="16"/>
  <c r="DN47" i="16"/>
  <c r="AM21" i="16"/>
  <c r="CH60" i="16"/>
  <c r="CS39" i="16"/>
  <c r="AS66" i="16"/>
  <c r="BN48" i="16"/>
  <c r="AN31" i="16"/>
  <c r="BS31" i="16"/>
  <c r="CZ66" i="16"/>
  <c r="DG24" i="16"/>
  <c r="DT30" i="16"/>
  <c r="DN70"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0" i="16"/>
  <c r="BF57" i="16"/>
  <c r="BQ48" i="16"/>
  <c r="AP50" i="16"/>
  <c r="CY66" i="16"/>
  <c r="P21" i="16"/>
  <c r="DD48" i="16"/>
  <c r="CS71" i="16"/>
  <c r="BJ50" i="16"/>
  <c r="DR28" i="16"/>
  <c r="DD13" i="16"/>
  <c r="DQ20" i="16"/>
  <c r="CJ31" i="16"/>
  <c r="DN35" i="16"/>
  <c r="DH38" i="16"/>
  <c r="BZ22" i="16"/>
  <c r="BM26" i="16"/>
  <c r="AL20" i="16"/>
  <c r="CF57" i="16"/>
  <c r="DF71" i="16"/>
  <c r="AX24" i="16"/>
  <c r="Z29" i="16"/>
  <c r="DI38" i="16"/>
  <c r="AC50" i="16"/>
  <c r="BM56" i="16"/>
  <c r="CT23" i="16"/>
  <c r="DQ50" i="16"/>
  <c r="BS24" i="16"/>
  <c r="CR19" i="16"/>
  <c r="CZ34" i="16"/>
  <c r="R21" i="16"/>
  <c r="I682" i="32" s="1"/>
  <c r="CB14" i="16"/>
  <c r="BK27" i="16"/>
  <c r="CP65" i="16"/>
  <c r="BL28" i="16"/>
  <c r="DD31" i="16"/>
  <c r="CJ22" i="16"/>
  <c r="CM25" i="16"/>
  <c r="AL34" i="16"/>
  <c r="AM70" i="16"/>
  <c r="CT25" i="16"/>
  <c r="BT13" i="16"/>
  <c r="DM17" i="16"/>
  <c r="DM16" i="16" s="1"/>
  <c r="AT50" i="16"/>
  <c r="CC33" i="16"/>
  <c r="CH29" i="16"/>
  <c r="BJ30" i="16"/>
  <c r="CP14" i="16"/>
  <c r="CG26" i="16"/>
  <c r="CM23" i="16"/>
  <c r="AO13" i="16"/>
  <c r="BG19" i="16"/>
  <c r="CX15" i="16"/>
  <c r="BA38" i="16"/>
  <c r="BP50" i="16"/>
  <c r="CW31" i="16"/>
  <c r="CV56" i="16"/>
  <c r="CF60" i="16"/>
  <c r="AQ27" i="16"/>
  <c r="BP26" i="16"/>
  <c r="AM47" i="16"/>
  <c r="BY70" i="16"/>
  <c r="BQ65" i="16"/>
  <c r="AN22" i="16"/>
  <c r="BC39" i="16"/>
  <c r="AA17" i="16"/>
  <c r="AA16" i="16" s="1"/>
  <c r="CR32" i="16"/>
  <c r="AY71"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1" i="16"/>
  <c r="AX35" i="16"/>
  <c r="CQ35" i="16"/>
  <c r="CM39" i="16"/>
  <c r="CY47" i="16"/>
  <c r="DK26" i="16"/>
  <c r="BB50" i="16"/>
  <c r="BC70" i="16"/>
  <c r="DV28" i="16"/>
  <c r="BL35" i="16"/>
  <c r="Z22" i="16"/>
  <c r="Q683" i="32" s="1"/>
  <c r="DT71" i="16"/>
  <c r="BL47" i="16"/>
  <c r="DN32" i="16"/>
  <c r="CM13" i="16"/>
  <c r="CU13" i="16"/>
  <c r="AY25" i="16"/>
  <c r="AT34" i="16"/>
  <c r="CF14" i="16"/>
  <c r="AZ57" i="16"/>
  <c r="AL21" i="16"/>
  <c r="CQ20" i="16"/>
  <c r="BZ61" i="16"/>
  <c r="AO39" i="16"/>
  <c r="CU66" i="16"/>
  <c r="AN23" i="16"/>
  <c r="BD56" i="16"/>
  <c r="BI61" i="16"/>
  <c r="BJ24" i="16"/>
  <c r="BN50" i="16"/>
  <c r="AL35" i="16"/>
  <c r="BK19" i="16"/>
  <c r="BV71"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1" i="16"/>
  <c r="CW26" i="16"/>
  <c r="S50" i="16"/>
  <c r="BE35" i="16"/>
  <c r="BF25" i="16"/>
  <c r="AW65" i="16"/>
  <c r="DW14" i="16"/>
  <c r="DF70"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0"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0" i="16"/>
  <c r="BO56" i="16"/>
  <c r="CD20" i="16"/>
  <c r="CM15" i="16"/>
  <c r="DV30" i="16"/>
  <c r="AQ31" i="16"/>
  <c r="CB60" i="16"/>
  <c r="BA29" i="16"/>
  <c r="CJ61" i="16"/>
  <c r="DA33" i="16"/>
  <c r="DE28" i="16"/>
  <c r="CI34" i="16"/>
  <c r="DA70" i="16"/>
  <c r="AV22" i="16"/>
  <c r="CB32" i="16"/>
  <c r="BE70" i="16"/>
  <c r="BD34" i="16"/>
  <c r="BN34" i="16"/>
  <c r="BM47" i="16"/>
  <c r="N19" i="16"/>
  <c r="DL61" i="16"/>
  <c r="CP15" i="16"/>
  <c r="BX17" i="16"/>
  <c r="BX16" i="16" s="1"/>
  <c r="CX57" i="16"/>
  <c r="BF29" i="16"/>
  <c r="BG30" i="16"/>
  <c r="BU34" i="16"/>
  <c r="CW71" i="16"/>
  <c r="AQ23" i="16"/>
  <c r="BG71" i="16"/>
  <c r="CS70" i="16"/>
  <c r="BV34" i="16"/>
  <c r="AQ33" i="16"/>
  <c r="CZ30" i="16"/>
  <c r="BF14" i="16"/>
  <c r="AS21" i="16"/>
  <c r="CR57" i="16"/>
  <c r="AJ19" i="16"/>
  <c r="CD32" i="16"/>
  <c r="AR31" i="16"/>
  <c r="CP23" i="16"/>
  <c r="AN61" i="16"/>
  <c r="CV70" i="16"/>
  <c r="BE66" i="16"/>
  <c r="AN21" i="16"/>
  <c r="DE71" i="16"/>
  <c r="BH24" i="16"/>
  <c r="CO48" i="16"/>
  <c r="AD27" i="16"/>
  <c r="BV32" i="16"/>
  <c r="AW14" i="16"/>
  <c r="AX50" i="16"/>
  <c r="BY20" i="16"/>
  <c r="CI13" i="16"/>
  <c r="AY20" i="16"/>
  <c r="BE65" i="16"/>
  <c r="AZ71" i="16"/>
  <c r="AN14" i="16"/>
  <c r="CL71"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1" i="16"/>
  <c r="AZ15" i="16"/>
  <c r="AS38" i="16"/>
  <c r="CO35" i="16"/>
  <c r="CJ23" i="16"/>
  <c r="Y24" i="16"/>
  <c r="P684" i="32" s="1"/>
  <c r="BV57" i="16"/>
  <c r="DP61" i="16"/>
  <c r="BN32" i="16"/>
  <c r="DG32" i="16"/>
  <c r="BC60" i="16"/>
  <c r="BR19" i="16"/>
  <c r="BA15" i="16"/>
  <c r="Q21" i="16"/>
  <c r="H682" i="32" s="1"/>
  <c r="BJ15" i="16"/>
  <c r="CU21" i="16"/>
  <c r="CT70"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1" i="16"/>
  <c r="CI29" i="16"/>
  <c r="CC20" i="16"/>
  <c r="BS71" i="16"/>
  <c r="CR24" i="16"/>
  <c r="BG70" i="16"/>
  <c r="BQ39" i="16"/>
  <c r="CL34" i="16"/>
  <c r="CK50" i="16"/>
  <c r="CH27" i="16"/>
  <c r="DP17" i="16"/>
  <c r="DP16" i="16" s="1"/>
  <c r="CJ56" i="16"/>
  <c r="AQ35" i="16"/>
  <c r="AB23" i="16"/>
  <c r="S686" i="32" s="1"/>
  <c r="BO23" i="16"/>
  <c r="AV57" i="16"/>
  <c r="CH35" i="16"/>
  <c r="DV26" i="16"/>
  <c r="DT24" i="16"/>
  <c r="W35" i="16"/>
  <c r="N703" i="32" s="1"/>
  <c r="AI24" i="16"/>
  <c r="CQ71" i="16"/>
  <c r="N22" i="16"/>
  <c r="CC23" i="16"/>
  <c r="CL38" i="16"/>
  <c r="T35" i="16"/>
  <c r="K703" i="32" s="1"/>
  <c r="AO60" i="16"/>
  <c r="AZ13" i="16"/>
  <c r="T22" i="16"/>
  <c r="K683" i="32" s="1"/>
  <c r="DJ13" i="16"/>
  <c r="CG30" i="16"/>
  <c r="DV39" i="16"/>
  <c r="CD71" i="16"/>
  <c r="AP30" i="16"/>
  <c r="DP50" i="16"/>
  <c r="BH32" i="16"/>
  <c r="CP19" i="16"/>
  <c r="AV24" i="16"/>
  <c r="CV66" i="16"/>
  <c r="CJ25" i="16"/>
  <c r="DP34" i="16"/>
  <c r="CE57" i="16"/>
  <c r="DM30" i="16"/>
  <c r="AD35" i="16"/>
  <c r="U703" i="32" s="1"/>
  <c r="BM33" i="16"/>
  <c r="DM20" i="16"/>
  <c r="BD70" i="16"/>
  <c r="CD33" i="16"/>
  <c r="AO24" i="16"/>
  <c r="DW26" i="16"/>
  <c r="AK21" i="16"/>
  <c r="DD22" i="16"/>
  <c r="DD39" i="16"/>
  <c r="CX34" i="16"/>
  <c r="BH14" i="16"/>
  <c r="BY21" i="16"/>
  <c r="CH48" i="16"/>
  <c r="AX14" i="16"/>
  <c r="DP33" i="16"/>
  <c r="BK23" i="16"/>
  <c r="AB22" i="16"/>
  <c r="S683" i="32" s="1"/>
  <c r="AU48" i="16"/>
  <c r="DK47" i="16"/>
  <c r="CU25" i="16"/>
  <c r="DP32" i="16"/>
  <c r="CB23" i="16"/>
  <c r="DH70"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1"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1" i="16"/>
  <c r="BZ21" i="16"/>
  <c r="DK29" i="16"/>
  <c r="DE60" i="16"/>
  <c r="S29" i="16"/>
  <c r="BW70"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0"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1" i="16"/>
  <c r="AY50" i="16"/>
  <c r="BS19" i="16"/>
  <c r="AK13" i="16"/>
  <c r="BZ38" i="16"/>
  <c r="CG50" i="16"/>
  <c r="AL15" i="16"/>
  <c r="DV20" i="16"/>
  <c r="CS65" i="16"/>
  <c r="DG17" i="16"/>
  <c r="DG16" i="16" s="1"/>
  <c r="DT65" i="16"/>
  <c r="DF65" i="16"/>
  <c r="AY38" i="16"/>
  <c r="BV14" i="16"/>
  <c r="CC47" i="16"/>
  <c r="CJ15" i="16"/>
  <c r="BZ14" i="16"/>
  <c r="CC21" i="16"/>
  <c r="BJ71" i="16"/>
  <c r="CJ19" i="16"/>
  <c r="AZ26" i="16"/>
  <c r="BL33" i="16"/>
  <c r="CN21" i="16"/>
  <c r="DO65" i="16"/>
  <c r="BU14" i="16"/>
  <c r="AX27" i="16"/>
  <c r="BN15" i="16"/>
  <c r="DJ38" i="16"/>
  <c r="AV39" i="16"/>
  <c r="CB39" i="16"/>
  <c r="DI22" i="16"/>
  <c r="BA19" i="16"/>
  <c r="BJ32" i="16"/>
  <c r="DO14" i="16"/>
  <c r="CY23" i="16"/>
  <c r="AU71"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1"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0" i="16"/>
  <c r="DA15" i="16"/>
  <c r="AM19" i="16"/>
  <c r="BE23" i="16"/>
  <c r="DW61" i="16"/>
  <c r="BP15" i="16"/>
  <c r="DR66" i="16"/>
  <c r="AS32" i="16"/>
  <c r="T23" i="16"/>
  <c r="K686" i="32" s="1"/>
  <c r="DO32" i="16"/>
  <c r="DW60" i="16"/>
  <c r="N50" i="16"/>
  <c r="DK25" i="16"/>
  <c r="DF66" i="16"/>
  <c r="CO66" i="16"/>
  <c r="CO56" i="16"/>
  <c r="CC19" i="16"/>
  <c r="DR65" i="16"/>
  <c r="BU71" i="16"/>
  <c r="CF19" i="16"/>
  <c r="CV15" i="16"/>
  <c r="DM35" i="16"/>
  <c r="DE31" i="16"/>
  <c r="DA13" i="16"/>
  <c r="BS20" i="16"/>
  <c r="BH17" i="16"/>
  <c r="BH16" i="16" s="1"/>
  <c r="BH56" i="16"/>
  <c r="BQ70" i="16"/>
  <c r="BJ65" i="16"/>
  <c r="BX70" i="16"/>
  <c r="CJ27" i="16"/>
  <c r="CV19" i="16"/>
  <c r="AP71" i="16"/>
  <c r="AW15" i="16"/>
  <c r="AD50" i="16"/>
  <c r="AL33" i="16"/>
  <c r="CC70"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1" i="16"/>
  <c r="CC31" i="16"/>
  <c r="CS31" i="16"/>
  <c r="CI20" i="16"/>
  <c r="BH65" i="16"/>
  <c r="DJ33" i="16"/>
  <c r="CU17" i="16"/>
  <c r="CU16" i="16" s="1"/>
  <c r="AN70" i="16"/>
  <c r="DU33" i="16"/>
  <c r="DP15" i="16"/>
  <c r="BI25" i="16"/>
  <c r="AJ35" i="16"/>
  <c r="DH20" i="16"/>
  <c r="CU50" i="16"/>
  <c r="BD23" i="16"/>
  <c r="AU30" i="16"/>
  <c r="BY60" i="16"/>
  <c r="CT50" i="16"/>
  <c r="CW65" i="16"/>
  <c r="BU35" i="16"/>
  <c r="AE24" i="16"/>
  <c r="V684" i="32" s="1"/>
  <c r="DN27" i="16"/>
  <c r="U19" i="16"/>
  <c r="L704" i="32" s="1"/>
  <c r="CR21" i="16"/>
  <c r="AL65" i="16"/>
  <c r="DI70" i="16"/>
  <c r="CF24" i="16"/>
  <c r="AM56" i="16"/>
  <c r="CC24" i="16"/>
  <c r="DQ32" i="16"/>
  <c r="DK32" i="16"/>
  <c r="CO34" i="16"/>
  <c r="BF23" i="16"/>
  <c r="BX30" i="16"/>
  <c r="CW27" i="16"/>
  <c r="CP35" i="16"/>
  <c r="CP31" i="16"/>
  <c r="CU23" i="16"/>
  <c r="BS66" i="16"/>
  <c r="AP66" i="16"/>
  <c r="BR56" i="16"/>
  <c r="AQ57" i="16"/>
  <c r="CQ38" i="16"/>
  <c r="AJ17" i="16"/>
  <c r="AJ16" i="16" s="1"/>
  <c r="DI50" i="16"/>
  <c r="BJ14" i="16"/>
  <c r="BN71" i="16"/>
  <c r="AF35" i="16"/>
  <c r="W703" i="32" s="1"/>
  <c r="BF26" i="16"/>
  <c r="CS30" i="16"/>
  <c r="DT57" i="16"/>
  <c r="CV65" i="16"/>
  <c r="DA47" i="16"/>
  <c r="N30" i="16"/>
  <c r="DI21" i="16"/>
  <c r="CF30" i="16"/>
  <c r="BH47" i="16"/>
  <c r="AR28" i="16"/>
  <c r="DV33" i="16"/>
  <c r="DO66" i="16"/>
  <c r="DQ65" i="16"/>
  <c r="DI60" i="16"/>
  <c r="AW19" i="16"/>
  <c r="BZ28" i="16"/>
  <c r="CX25" i="16"/>
  <c r="CY70" i="16"/>
  <c r="AS31" i="16"/>
  <c r="AJ25" i="16"/>
  <c r="AW30" i="16"/>
  <c r="CC15" i="16"/>
  <c r="AB25" i="16"/>
  <c r="S685" i="32" s="1"/>
  <c r="DS17" i="16"/>
  <c r="DS16" i="16" s="1"/>
  <c r="AG17" i="16"/>
  <c r="AG16" i="16" s="1"/>
  <c r="CT71" i="16"/>
  <c r="DW17" i="16"/>
  <c r="DW16" i="16" s="1"/>
  <c r="CT65" i="16"/>
  <c r="BE33" i="16"/>
  <c r="CO39" i="16"/>
  <c r="CB35" i="16"/>
  <c r="BM39" i="16"/>
  <c r="BG48" i="16"/>
  <c r="CA56" i="16"/>
  <c r="DR61" i="16"/>
  <c r="DN33" i="16"/>
  <c r="AL60" i="16"/>
  <c r="AT17" i="16"/>
  <c r="AT16" i="16" s="1"/>
  <c r="BJ26" i="16"/>
  <c r="CN30" i="16"/>
  <c r="BC32" i="16"/>
  <c r="DD70" i="16"/>
  <c r="DK15" i="16"/>
  <c r="AE23" i="16"/>
  <c r="V686" i="32" s="1"/>
  <c r="Y25" i="16"/>
  <c r="P685" i="32" s="1"/>
  <c r="DE22" i="16"/>
  <c r="BV50" i="16"/>
  <c r="CQ25" i="16"/>
  <c r="DN71" i="16"/>
  <c r="AN60" i="16"/>
  <c r="AH19" i="16"/>
  <c r="AV25" i="16"/>
  <c r="AZ20" i="16"/>
  <c r="AL13" i="16"/>
  <c r="BQ38" i="16"/>
  <c r="CK71" i="16"/>
  <c r="BS26" i="16"/>
  <c r="CN71" i="16"/>
  <c r="CZ70" i="16"/>
  <c r="CL31" i="16"/>
  <c r="AZ21" i="16"/>
  <c r="AJ26" i="16"/>
  <c r="DO23" i="16"/>
  <c r="DU34" i="16"/>
  <c r="BH38" i="16"/>
  <c r="DH30" i="16"/>
  <c r="BY28" i="16"/>
  <c r="R29" i="16"/>
  <c r="AR39" i="16"/>
  <c r="BU70" i="16"/>
  <c r="CY14" i="16"/>
  <c r="CW66" i="16"/>
  <c r="BE21" i="16"/>
  <c r="CY56" i="16"/>
  <c r="DS23" i="16"/>
  <c r="DA38" i="16"/>
  <c r="BZ66" i="16"/>
  <c r="BS22" i="16"/>
  <c r="DR27" i="16"/>
  <c r="AO20" i="16"/>
  <c r="CQ34" i="16"/>
  <c r="AL71" i="16"/>
  <c r="DN57" i="16"/>
  <c r="DJ56" i="16"/>
  <c r="BD66" i="16"/>
  <c r="BV48" i="16"/>
  <c r="CO47" i="16"/>
  <c r="BD32" i="16"/>
  <c r="AX47" i="16"/>
  <c r="BE71"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0" i="16"/>
  <c r="DV29" i="16"/>
  <c r="AL29" i="16"/>
  <c r="AL70"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1" i="16"/>
  <c r="BM61" i="16"/>
  <c r="CB66" i="16"/>
  <c r="DI65" i="16"/>
  <c r="CY65" i="16"/>
  <c r="CC71"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1" i="16"/>
  <c r="DF28" i="16"/>
  <c r="AR57" i="16"/>
  <c r="CI66" i="16"/>
  <c r="DL47" i="16"/>
  <c r="P17" i="16"/>
  <c r="P16" i="16" s="1"/>
  <c r="CZ21" i="16"/>
  <c r="BT25" i="16"/>
  <c r="DL38" i="16"/>
  <c r="CM56" i="16"/>
  <c r="AO70"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0" i="16"/>
  <c r="BL32" i="16"/>
  <c r="BX71" i="16"/>
  <c r="AO47" i="16"/>
  <c r="AY70" i="16"/>
  <c r="CP30" i="16"/>
  <c r="AE26" i="16"/>
  <c r="CS26" i="16"/>
  <c r="AR60" i="16"/>
  <c r="BB71" i="16"/>
  <c r="BU27" i="16"/>
  <c r="BE61" i="16"/>
  <c r="CY50" i="16"/>
  <c r="CL60" i="16"/>
  <c r="DP35" i="16"/>
  <c r="DB14" i="16"/>
  <c r="DJ20" i="16"/>
  <c r="BF47" i="16"/>
  <c r="BC56" i="16"/>
  <c r="BL20" i="16"/>
  <c r="AQ24" i="16"/>
  <c r="BF27" i="16"/>
  <c r="AL23" i="16"/>
  <c r="CF33" i="16"/>
  <c r="DV21" i="16"/>
  <c r="BQ60" i="16"/>
  <c r="AK66" i="16"/>
  <c r="BX35" i="16"/>
  <c r="DH65" i="16"/>
  <c r="DH71" i="16"/>
  <c r="AK32" i="16"/>
  <c r="BU15" i="16"/>
  <c r="CT13" i="16"/>
  <c r="CV61" i="16"/>
  <c r="DV61" i="16"/>
  <c r="DF39" i="16"/>
  <c r="BH34" i="16"/>
  <c r="BZ17" i="16"/>
  <c r="BZ16" i="16" s="1"/>
  <c r="CU30" i="16"/>
  <c r="DS70" i="16"/>
  <c r="CS24" i="16"/>
  <c r="BT22" i="16"/>
  <c r="DW39" i="16"/>
  <c r="CK32" i="16"/>
  <c r="BZ20" i="16"/>
  <c r="DM39" i="16"/>
  <c r="DJ24" i="16"/>
  <c r="DM28" i="16"/>
  <c r="AT71" i="16"/>
  <c r="BL71"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1" i="16"/>
  <c r="DL26" i="16"/>
  <c r="BB70" i="16"/>
  <c r="AY39" i="16"/>
  <c r="DQ14" i="16"/>
  <c r="CZ27" i="16"/>
  <c r="AV70" i="16"/>
  <c r="AL50" i="16"/>
  <c r="CD39" i="16"/>
  <c r="O21" i="16"/>
  <c r="F682" i="32" s="1"/>
  <c r="BI28" i="16"/>
  <c r="CC35" i="16"/>
  <c r="BT61" i="16"/>
  <c r="DE57" i="16"/>
  <c r="AB35" i="16"/>
  <c r="S703" i="32" s="1"/>
  <c r="Y26" i="16"/>
  <c r="CA21" i="16"/>
  <c r="BA23" i="16"/>
  <c r="DL32" i="16"/>
  <c r="DV17" i="16"/>
  <c r="DV16" i="16" s="1"/>
  <c r="BS70" i="16"/>
  <c r="AD23" i="16"/>
  <c r="U686" i="32" s="1"/>
  <c r="BT33" i="16"/>
  <c r="CJ30" i="16"/>
  <c r="BP31" i="16"/>
  <c r="DA25" i="16"/>
  <c r="DV70"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0" i="16"/>
  <c r="BX33" i="16"/>
  <c r="CH21" i="16"/>
  <c r="CA38" i="16"/>
  <c r="DT25" i="16"/>
  <c r="CO26" i="16"/>
  <c r="AY23" i="16"/>
  <c r="CJ33" i="16"/>
  <c r="BG14" i="16"/>
  <c r="CE66" i="16"/>
  <c r="CK33" i="16"/>
  <c r="DO70" i="16"/>
  <c r="CT66" i="16"/>
  <c r="DT48" i="16"/>
  <c r="AZ30" i="16"/>
  <c r="BP71"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1" i="16"/>
  <c r="BI34" i="16"/>
  <c r="BC25" i="16"/>
  <c r="AU34" i="16"/>
  <c r="CH26" i="16"/>
  <c r="BK34" i="16"/>
  <c r="CW15" i="16"/>
  <c r="V26" i="16"/>
  <c r="CN57" i="16"/>
  <c r="BV21" i="16"/>
  <c r="CT28" i="16"/>
  <c r="Y17" i="16"/>
  <c r="Y16" i="16" s="1"/>
  <c r="CA17" i="16"/>
  <c r="CA16" i="16" s="1"/>
  <c r="BR27" i="16"/>
  <c r="DH28" i="16"/>
  <c r="CZ19" i="16"/>
  <c r="DP71"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1"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1" i="16"/>
  <c r="BL26" i="16"/>
  <c r="BD25" i="16"/>
  <c r="AK29" i="16"/>
  <c r="BL15" i="16"/>
  <c r="CM17" i="16"/>
  <c r="CM16" i="16" s="1"/>
  <c r="BB34" i="16"/>
  <c r="BI15" i="16"/>
  <c r="AM27" i="16"/>
  <c r="CY27" i="16"/>
  <c r="BC15" i="16"/>
  <c r="BH71" i="16"/>
  <c r="CQ56" i="16"/>
  <c r="BX66" i="16"/>
  <c r="BL19" i="16"/>
  <c r="CE50" i="16"/>
  <c r="BX57" i="16"/>
  <c r="BT39" i="16"/>
  <c r="DA61" i="16"/>
  <c r="DU24" i="16"/>
  <c r="AX56" i="16"/>
  <c r="CE71" i="16"/>
  <c r="AQ66" i="16"/>
  <c r="BO33" i="16"/>
  <c r="DF35" i="16"/>
  <c r="BQ13" i="16"/>
  <c r="DR47" i="16"/>
  <c r="CN35" i="16"/>
  <c r="AF22" i="16"/>
  <c r="W683" i="32" s="1"/>
  <c r="AC29" i="16"/>
  <c r="BW65" i="16"/>
  <c r="AS30" i="16"/>
  <c r="AP29" i="16"/>
  <c r="DA71"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1" i="16"/>
  <c r="CQ32" i="16"/>
  <c r="BU65" i="16"/>
  <c r="BO71"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1"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1" i="16"/>
  <c r="AL39" i="16"/>
  <c r="AZ28" i="16"/>
  <c r="DT13" i="16"/>
  <c r="CE32" i="16"/>
  <c r="CW38" i="16"/>
  <c r="U27" i="16"/>
  <c r="AT56" i="16"/>
  <c r="DO19" i="16"/>
  <c r="CW33" i="16"/>
  <c r="BX27" i="16"/>
  <c r="BO39" i="16"/>
  <c r="DF23" i="16"/>
  <c r="AY15" i="16"/>
  <c r="DE56" i="16"/>
  <c r="DK70" i="16"/>
  <c r="R23" i="16"/>
  <c r="I686" i="32" s="1"/>
  <c r="BP38" i="16"/>
  <c r="CX32" i="16"/>
  <c r="BA21" i="16"/>
  <c r="DC47" i="16"/>
  <c r="DL13" i="16"/>
  <c r="DT28" i="16"/>
  <c r="AK27" i="16"/>
  <c r="DT50" i="16"/>
  <c r="CU70"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1" i="16"/>
  <c r="BY39" i="16"/>
  <c r="BW20" i="16"/>
  <c r="AV38" i="16"/>
  <c r="CX27" i="16"/>
  <c r="CH23" i="16"/>
  <c r="CE47" i="16"/>
  <c r="AD22" i="16"/>
  <c r="U683" i="32" s="1"/>
  <c r="DB50" i="16"/>
  <c r="DV27" i="16"/>
  <c r="BA14" i="16"/>
  <c r="DE17" i="16"/>
  <c r="DE16" i="16" s="1"/>
  <c r="CW20" i="16"/>
  <c r="BM28" i="16"/>
  <c r="CY38" i="16"/>
  <c r="AQ50" i="16"/>
  <c r="CJ47" i="16"/>
  <c r="CE56" i="16"/>
  <c r="AY60" i="16"/>
  <c r="CF47" i="16"/>
  <c r="DC70" i="16"/>
  <c r="DI24" i="16"/>
  <c r="CM57" i="16"/>
  <c r="BC66" i="16"/>
  <c r="CU56" i="16"/>
  <c r="CM38" i="16"/>
  <c r="CI15" i="16"/>
  <c r="BL70"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1" i="16"/>
  <c r="CV17" i="16"/>
  <c r="CV16" i="16" s="1"/>
  <c r="CP20" i="16"/>
  <c r="BB19" i="16"/>
  <c r="AS70" i="16"/>
  <c r="BO29" i="16"/>
  <c r="BS13" i="16"/>
  <c r="DT22" i="16"/>
  <c r="CA65" i="16"/>
  <c r="AW60" i="16"/>
  <c r="BS48" i="16"/>
  <c r="CG15" i="16"/>
  <c r="BS29" i="16"/>
  <c r="BF15" i="16"/>
  <c r="BG27" i="16"/>
  <c r="CJ71"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0" i="16"/>
  <c r="BN30" i="16"/>
  <c r="DH21" i="16"/>
  <c r="DO27" i="16"/>
  <c r="CO32" i="16"/>
  <c r="BZ57" i="16"/>
  <c r="DN26" i="16"/>
  <c r="CC30" i="16"/>
  <c r="AK25" i="16"/>
  <c r="BO60" i="16"/>
  <c r="BU48" i="16"/>
  <c r="BT14" i="16"/>
  <c r="CB28" i="16"/>
  <c r="BP70"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0"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1" i="16"/>
  <c r="DP20" i="16"/>
  <c r="BY22" i="16"/>
  <c r="AQ20" i="16"/>
  <c r="BN65" i="16"/>
  <c r="BJ60" i="16"/>
  <c r="AY14" i="16"/>
  <c r="CZ13" i="16"/>
  <c r="BE50" i="16"/>
  <c r="AT22" i="16"/>
  <c r="DN50" i="16"/>
  <c r="DM31" i="16"/>
  <c r="BO70" i="16"/>
  <c r="CX71"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0" i="16"/>
  <c r="CU33" i="16"/>
  <c r="DL14" i="16"/>
  <c r="X50" i="16"/>
  <c r="CM66" i="16"/>
  <c r="DO33" i="16"/>
  <c r="BI71" i="16"/>
  <c r="CN27" i="16"/>
  <c r="CX20" i="16"/>
  <c r="BO57" i="16"/>
  <c r="AO48" i="16"/>
  <c r="CW39" i="16"/>
  <c r="AZ50" i="16"/>
  <c r="DK23" i="16"/>
  <c r="CA15" i="16"/>
  <c r="BK56" i="16"/>
  <c r="CT14" i="16"/>
  <c r="AK35" i="16"/>
  <c r="CA23" i="16"/>
  <c r="AY29" i="16"/>
  <c r="CO27" i="16"/>
  <c r="BJ38" i="16"/>
  <c r="AN27" i="16"/>
  <c r="DF29" i="16"/>
  <c r="DF56" i="16"/>
  <c r="CX26" i="16"/>
  <c r="AB27" i="16"/>
  <c r="BJ70"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0" i="16"/>
  <c r="DU71"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0"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1" i="16"/>
  <c r="BU23" i="16"/>
  <c r="BQ26" i="16"/>
  <c r="BJ29" i="16"/>
  <c r="DM23" i="16"/>
  <c r="BV39" i="16"/>
  <c r="AU25" i="16"/>
  <c r="AO25" i="16"/>
  <c r="BG35" i="16"/>
  <c r="DB22" i="16"/>
  <c r="DD33" i="16"/>
  <c r="DU35" i="16"/>
  <c r="CI33" i="16"/>
  <c r="CW57" i="16"/>
  <c r="Y30" i="16"/>
  <c r="P687" i="32" s="1"/>
  <c r="CY61" i="16"/>
  <c r="BT30" i="16"/>
  <c r="AX71" i="16"/>
  <c r="CE38" i="16"/>
  <c r="CD34" i="16"/>
  <c r="CG31" i="16"/>
  <c r="S19" i="16"/>
  <c r="J704" i="32" s="1"/>
  <c r="BM24" i="16"/>
  <c r="AS61" i="16"/>
  <c r="DJ17" i="16"/>
  <c r="DJ16" i="16" s="1"/>
  <c r="BO15" i="16"/>
  <c r="BU20" i="16"/>
  <c r="CP34" i="16"/>
  <c r="BH57" i="16"/>
  <c r="BX24" i="16"/>
  <c r="BF71" i="16"/>
  <c r="DO30" i="16"/>
  <c r="BL13" i="16"/>
  <c r="CO31" i="16"/>
  <c r="CI19" i="16"/>
  <c r="AH24" i="16"/>
  <c r="CD17" i="16"/>
  <c r="CD16" i="16" s="1"/>
  <c r="AP70" i="16"/>
  <c r="AN66" i="16"/>
  <c r="CK28" i="16"/>
  <c r="DW47" i="16"/>
  <c r="CS27" i="16"/>
  <c r="BR50" i="16"/>
  <c r="BI38" i="16"/>
  <c r="CH71"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0" i="16"/>
  <c r="AO30" i="16"/>
  <c r="DW24" i="16"/>
  <c r="BW14" i="16"/>
  <c r="DL34" i="16"/>
  <c r="AG27" i="16"/>
  <c r="DB57" i="16"/>
  <c r="BP66" i="16"/>
  <c r="BC30" i="16"/>
  <c r="AN34" i="16"/>
  <c r="DJ50" i="16"/>
  <c r="AW32" i="16"/>
  <c r="AS24" i="16"/>
  <c r="DI14" i="16"/>
  <c r="BW66" i="16"/>
  <c r="CJ66" i="16"/>
  <c r="AV56" i="16"/>
  <c r="BS35" i="16"/>
  <c r="BZ33" i="16"/>
  <c r="DH23" i="16"/>
  <c r="BZ15" i="16"/>
  <c r="AX70" i="16"/>
  <c r="DM48" i="16"/>
  <c r="DB39" i="16"/>
  <c r="CT34" i="16"/>
  <c r="BM13" i="16"/>
  <c r="CQ39" i="16"/>
  <c r="BW15" i="16"/>
  <c r="DV22" i="16"/>
  <c r="BC61" i="16"/>
  <c r="CT48" i="16"/>
  <c r="AY66" i="16"/>
  <c r="CG65" i="16"/>
  <c r="DH34" i="16"/>
  <c r="BN56" i="16"/>
  <c r="DP19" i="16"/>
  <c r="BS23" i="16"/>
  <c r="BW48" i="16"/>
  <c r="DJ19" i="16"/>
  <c r="CJ50" i="16"/>
  <c r="BC34" i="16"/>
  <c r="BC23" i="16"/>
  <c r="BZ23" i="16"/>
  <c r="CU71" i="16"/>
  <c r="AH26" i="16"/>
  <c r="AN47" i="16"/>
  <c r="DI30" i="16"/>
  <c r="CV31" i="16"/>
  <c r="CZ31" i="16"/>
  <c r="AU61" i="16"/>
  <c r="BA22" i="16"/>
  <c r="BP47" i="16"/>
  <c r="CU27" i="16"/>
  <c r="DC24" i="16"/>
  <c r="CQ27" i="16"/>
  <c r="DR21" i="16"/>
  <c r="DO17" i="16"/>
  <c r="DO16" i="16" s="1"/>
  <c r="S35" i="16"/>
  <c r="J703" i="32" s="1"/>
  <c r="BA26" i="16"/>
  <c r="DQ25" i="16"/>
  <c r="BH30" i="16"/>
  <c r="AB50" i="16"/>
  <c r="CR26" i="16"/>
  <c r="BH70" i="16"/>
  <c r="BU50" i="16"/>
  <c r="CV47" i="16"/>
  <c r="CG66" i="16"/>
  <c r="Z19" i="16"/>
  <c r="Q704" i="32" s="1"/>
  <c r="BV38" i="16"/>
  <c r="AW70"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0" i="16"/>
  <c r="CU47" i="16"/>
  <c r="BM65" i="16"/>
  <c r="CG35" i="16"/>
  <c r="AH50" i="16"/>
  <c r="CT17" i="16"/>
  <c r="CT16" i="16" s="1"/>
  <c r="BY17" i="16"/>
  <c r="BY16" i="16" s="1"/>
  <c r="DG31" i="16"/>
  <c r="AR27" i="16"/>
  <c r="BD39" i="16"/>
  <c r="BI66" i="16"/>
  <c r="CT61" i="16"/>
  <c r="AZ65" i="16"/>
  <c r="CP70"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0" i="16"/>
  <c r="AW22" i="16"/>
  <c r="AO27" i="16"/>
  <c r="CZ20" i="16"/>
  <c r="BO25" i="16"/>
  <c r="DL70"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1" i="16"/>
  <c r="AM39" i="16"/>
  <c r="AK28" i="16"/>
  <c r="DB25" i="16"/>
  <c r="DN28" i="16"/>
  <c r="AY56" i="16"/>
  <c r="BJ20" i="16"/>
  <c r="AX20" i="16"/>
  <c r="BT15" i="16"/>
  <c r="AZ25" i="16"/>
  <c r="BL56" i="16"/>
  <c r="CL30" i="16"/>
  <c r="DJ47" i="16"/>
  <c r="N27" i="16"/>
  <c r="AU70" i="16"/>
  <c r="V35" i="16"/>
  <c r="M703" i="32" s="1"/>
  <c r="CX19" i="16"/>
  <c r="CB70" i="16"/>
  <c r="BZ34" i="16"/>
  <c r="DI13" i="16"/>
  <c r="CJ20" i="16"/>
  <c r="DC34" i="16"/>
  <c r="DG28" i="16"/>
  <c r="BC19" i="16"/>
  <c r="BC20" i="16"/>
  <c r="AQ25" i="16"/>
  <c r="CM71" i="16"/>
  <c r="DB28" i="16"/>
  <c r="DK21" i="16"/>
  <c r="AD17" i="16"/>
  <c r="AD16" i="16" s="1"/>
  <c r="CI35" i="16"/>
  <c r="BQ71" i="16"/>
  <c r="DK56" i="16"/>
  <c r="DP65" i="16"/>
  <c r="BB38" i="16"/>
  <c r="CO50" i="16"/>
  <c r="CH38" i="16"/>
  <c r="DA30" i="16"/>
  <c r="CZ71"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1"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0" i="16"/>
  <c r="AP38" i="16"/>
  <c r="AO15" i="16"/>
  <c r="AA35" i="16"/>
  <c r="R703" i="32" s="1"/>
  <c r="BE34" i="16"/>
  <c r="BI39" i="16"/>
  <c r="DT27" i="16"/>
  <c r="CX29" i="16"/>
  <c r="BC57" i="16"/>
  <c r="CM70" i="16"/>
  <c r="DN61" i="16"/>
  <c r="DR50" i="16"/>
  <c r="BN70"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1"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0"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51" i="19"/>
  <c r="J5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T36" i="35" l="1"/>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67" i="19"/>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77" i="16"/>
  <c r="AV77" i="16"/>
  <c r="CX77" i="16"/>
  <c r="DR77" i="16"/>
  <c r="BR77" i="16"/>
  <c r="CO77" i="16"/>
  <c r="AP77" i="16"/>
  <c r="CI77" i="16"/>
  <c r="CG77" i="16"/>
  <c r="DD77" i="16"/>
  <c r="DU77" i="16"/>
  <c r="AR77" i="16"/>
  <c r="DJ77" i="16"/>
  <c r="BH77" i="16"/>
  <c r="BE77" i="16"/>
  <c r="BJ77" i="16"/>
  <c r="AY77" i="16"/>
  <c r="BX77" i="16"/>
  <c r="BZ77" i="16"/>
  <c r="BU77" i="16"/>
  <c r="CQ77" i="16"/>
  <c r="DF77" i="16"/>
  <c r="CS77" i="16"/>
  <c r="DG77" i="16"/>
  <c r="AN77" i="16"/>
  <c r="AS77" i="16"/>
  <c r="CZ77" i="16"/>
  <c r="DC77" i="16"/>
  <c r="DA77" i="16"/>
  <c r="CE77" i="16"/>
  <c r="BL77" i="16"/>
  <c r="DI77" i="16"/>
  <c r="CD77" i="16"/>
  <c r="CL77" i="16"/>
  <c r="BO77" i="16"/>
  <c r="CM77" i="16"/>
  <c r="CU77" i="16"/>
  <c r="CH77" i="16"/>
  <c r="AM77" i="16"/>
  <c r="DP77" i="16"/>
  <c r="AT77" i="16"/>
  <c r="DE77" i="16"/>
  <c r="BT77" i="16"/>
  <c r="AO77" i="16"/>
  <c r="CB77" i="16"/>
  <c r="DK77" i="16"/>
  <c r="BP77" i="16"/>
  <c r="CV77" i="16"/>
  <c r="CW77" i="16"/>
  <c r="BK77" i="16"/>
  <c r="BW77" i="16"/>
  <c r="BY77" i="16"/>
  <c r="CT77" i="16"/>
  <c r="AW77" i="16"/>
  <c r="AZ77" i="16"/>
  <c r="DT77" i="16"/>
  <c r="CA77" i="16"/>
  <c r="BQ77" i="16"/>
  <c r="CY77" i="16"/>
  <c r="BF77" i="16"/>
  <c r="DN77" i="16"/>
  <c r="BC77" i="16"/>
  <c r="DM77" i="16"/>
  <c r="CF77" i="16"/>
  <c r="BA77" i="16"/>
  <c r="CP77" i="16"/>
  <c r="AQ77" i="16"/>
  <c r="BB77" i="16"/>
  <c r="CC77" i="16"/>
  <c r="BV77" i="16"/>
  <c r="DO77" i="16"/>
  <c r="DB77" i="16"/>
  <c r="BM77" i="16"/>
  <c r="CR77" i="16"/>
  <c r="DH77" i="16"/>
  <c r="CK77" i="16"/>
  <c r="AX77" i="16"/>
  <c r="BI77" i="16"/>
  <c r="DL77" i="16"/>
  <c r="BN77" i="16"/>
  <c r="AU77" i="16"/>
  <c r="BS77" i="16"/>
  <c r="CJ77" i="16"/>
  <c r="DQ77" i="16"/>
  <c r="AL77" i="16"/>
  <c r="CN77" i="16"/>
  <c r="AK77" i="16"/>
  <c r="BG77" i="16"/>
  <c r="BD77"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77"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77"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EF169" i="11"/>
  <c r="EF171" i="11" s="1"/>
  <c r="G77" i="11" l="1"/>
  <c r="C4" i="32"/>
  <c r="F28" i="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AX131" i="11"/>
  <c r="BU73" i="5"/>
  <c r="BU24" i="11"/>
  <c r="AX94" i="5" l="1"/>
  <c r="AX92" i="5" s="1"/>
  <c r="AX47" i="5"/>
  <c r="AX132" i="11"/>
  <c r="AY129" i="11" s="1"/>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BS51" i="11"/>
  <c r="CR21" i="11"/>
  <c r="BR47" i="5" l="1"/>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CA131" i="11"/>
  <c r="DA24" i="11"/>
  <c r="DB21" i="11" s="1"/>
  <c r="CA54" i="11" l="1"/>
  <c r="CA47" i="5"/>
  <c r="CA132" i="11"/>
  <c r="CB129" i="11" s="1"/>
  <c r="CB51" i="11"/>
  <c r="BZ27" i="15"/>
  <c r="DB23" i="11"/>
  <c r="CB53" i="11" l="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CL132" i="11"/>
  <c r="CM129" i="11" s="1"/>
  <c r="DN23" i="11"/>
  <c r="DN73" i="5" s="1"/>
  <c r="DN71" i="5" s="1"/>
  <c r="CM130" i="11" l="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CP53" i="6"/>
  <c r="DQ21" i="11"/>
  <c r="CO94" i="5" l="1"/>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78" i="16"/>
  <c r="DP90" i="17"/>
  <c r="DP62" i="17" s="1"/>
  <c r="DA130" i="11" l="1"/>
  <c r="DA53" i="11"/>
  <c r="I112" i="5"/>
  <c r="EC71" i="5"/>
  <c r="EC24" i="11"/>
  <c r="DP115" i="17"/>
  <c r="K106"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4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5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52" i="19" s="1"/>
  <c r="N59" i="11"/>
  <c r="M32" i="15" s="1"/>
  <c r="DR53" i="11" l="1"/>
  <c r="DR130" i="11"/>
  <c r="AN48" i="11"/>
  <c r="AN88" i="5" s="1"/>
  <c r="AT95" i="11"/>
  <c r="AU92" i="11" s="1"/>
  <c r="AU94" i="11" s="1"/>
  <c r="BG276" i="11"/>
  <c r="BG277" i="11" s="1"/>
  <c r="BH274" i="11" s="1"/>
  <c r="BG281" i="11"/>
  <c r="BG282" i="11" s="1"/>
  <c r="BH279" i="11" s="1"/>
  <c r="AK127" i="11"/>
  <c r="AL124" i="11" s="1"/>
  <c r="M86" i="11"/>
  <c r="N136" i="11"/>
  <c r="N5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5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5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5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5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5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5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5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5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52" i="19"/>
  <c r="DV94" i="5" l="1"/>
  <c r="DV54" i="11"/>
  <c r="DW53" i="6"/>
  <c r="DV131" i="11"/>
  <c r="AT49" i="11"/>
  <c r="AU46" i="11" s="1"/>
  <c r="BG95" i="11"/>
  <c r="BH92" i="11" s="1"/>
  <c r="BT276" i="11"/>
  <c r="BT277" i="11" s="1"/>
  <c r="BU274" i="11" s="1"/>
  <c r="BT281" i="11"/>
  <c r="BT282" i="11" s="1"/>
  <c r="BU279" i="11" s="1"/>
  <c r="AS126" i="11"/>
  <c r="AS46" i="5" s="1"/>
  <c r="T56" i="11"/>
  <c r="S142" i="11"/>
  <c r="S53" i="19"/>
  <c r="S48" i="5"/>
  <c r="S85" i="11"/>
  <c r="S5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52" i="19" s="1"/>
  <c r="U134" i="11"/>
  <c r="T5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53" i="19"/>
  <c r="U48" i="5"/>
  <c r="U85" i="11"/>
  <c r="U5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52" i="19" s="1"/>
  <c r="V5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Y92" i="5"/>
  <c r="DZ131" i="11"/>
  <c r="DZ132" i="11" s="1"/>
  <c r="EA129" i="11" s="1"/>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5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5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52" i="19"/>
  <c r="X86" i="11"/>
  <c r="Y83" i="11" s="1"/>
  <c r="Y89" i="11" s="1"/>
  <c r="Y58" i="11"/>
  <c r="Y59" i="11" s="1"/>
  <c r="X32" i="15" s="1"/>
  <c r="Y135" i="11"/>
  <c r="X5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53" i="19"/>
  <c r="Y48" i="5"/>
  <c r="Y137" i="11"/>
  <c r="Y5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52" i="19"/>
  <c r="Z86" i="11"/>
  <c r="AA83" i="11" s="1"/>
  <c r="AA89" i="11" s="1"/>
  <c r="Z48" i="5"/>
  <c r="Z5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52" i="19"/>
  <c r="AB134" i="11"/>
  <c r="AA86" i="11"/>
  <c r="AB83" i="11" s="1"/>
  <c r="AB89" i="11" s="1"/>
  <c r="AA5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52" i="19"/>
  <c r="AC134" i="11"/>
  <c r="AB86" i="11"/>
  <c r="AC83" i="11" s="1"/>
  <c r="AC89" i="11" s="1"/>
  <c r="AB48" i="5"/>
  <c r="AB5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52" i="19"/>
  <c r="AC86" i="11"/>
  <c r="AD83" i="11" s="1"/>
  <c r="AD89" i="11" s="1"/>
  <c r="AD134" i="11"/>
  <c r="AC48" i="5"/>
  <c r="AC5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52" i="19"/>
  <c r="AE134" i="11"/>
  <c r="AD48" i="5"/>
  <c r="AD5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53" i="19"/>
  <c r="AE48" i="5"/>
  <c r="AE137" i="11"/>
  <c r="AE85" i="11"/>
  <c r="AE5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53" i="19"/>
  <c r="AF48" i="5"/>
  <c r="AG56" i="11"/>
  <c r="AF85" i="11"/>
  <c r="AF5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53" i="19"/>
  <c r="AG137" i="11"/>
  <c r="AG85" i="11"/>
  <c r="AG5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52" i="19" s="1"/>
  <c r="AH137" i="11"/>
  <c r="AI56" i="11"/>
  <c r="AH5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53" i="19"/>
  <c r="AI48" i="5"/>
  <c r="AI85" i="11"/>
  <c r="AI5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5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5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53" i="19"/>
  <c r="AK48" i="5"/>
  <c r="AK89" i="5"/>
  <c r="AK5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52" i="19" s="1"/>
  <c r="AL48" i="5"/>
  <c r="AL5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5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5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53" i="19"/>
  <c r="AN48" i="5"/>
  <c r="AN85" i="11"/>
  <c r="AN5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52" i="19" s="1"/>
  <c r="AO89" i="11"/>
  <c r="AP134" i="11"/>
  <c r="AO48" i="5"/>
  <c r="AO5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5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5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53" i="19"/>
  <c r="AQ48" i="5"/>
  <c r="AQ137" i="11"/>
  <c r="AQ85" i="11"/>
  <c r="AQ5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52" i="19"/>
  <c r="AR86" i="11"/>
  <c r="AS83" i="11" s="1"/>
  <c r="AS89" i="11" s="1"/>
  <c r="AS134" i="11"/>
  <c r="AS58" i="11"/>
  <c r="AS59" i="11" s="1"/>
  <c r="AR32" i="15" s="1"/>
  <c r="AS135" i="11"/>
  <c r="AR48" i="5"/>
  <c r="AR5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52" i="19" s="1"/>
  <c r="AS5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52" i="19" s="1"/>
  <c r="AU56" i="11"/>
  <c r="AU134" i="11"/>
  <c r="AT5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5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5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52" i="19"/>
  <c r="P27" i="18"/>
  <c r="AV86" i="11"/>
  <c r="AW83" i="11" s="1"/>
  <c r="AW89" i="11" s="1"/>
  <c r="AW56" i="11"/>
  <c r="AW134" i="11"/>
  <c r="AV5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52" i="19" s="1"/>
  <c r="AW5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52" i="19" s="1"/>
  <c r="AY134" i="11"/>
  <c r="AX5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52" i="19" s="1"/>
  <c r="AY5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53" i="19"/>
  <c r="AZ48" i="5"/>
  <c r="BA56" i="11"/>
  <c r="CI126" i="11" l="1"/>
  <c r="CI46" i="5" s="1"/>
  <c r="CO49" i="11"/>
  <c r="CP46" i="11" s="1"/>
  <c r="CO88" i="5"/>
  <c r="CO86" i="5" s="1"/>
  <c r="DR95" i="11"/>
  <c r="DS92" i="11" s="1"/>
  <c r="DS94" i="11" s="1"/>
  <c r="DS117" i="5" s="1"/>
  <c r="AZ5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52" i="19" s="1"/>
  <c r="BA48" i="5"/>
  <c r="BA5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52" i="19" s="1"/>
  <c r="BB89" i="11"/>
  <c r="BB137" i="11"/>
  <c r="BC56" i="11"/>
  <c r="BB5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53" i="19"/>
  <c r="BC137" i="11"/>
  <c r="BC85" i="11"/>
  <c r="BC5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52" i="19" s="1"/>
  <c r="BD48" i="5"/>
  <c r="BD5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53" i="19"/>
  <c r="BE48" i="5"/>
  <c r="BE89" i="11"/>
  <c r="BE85" i="11"/>
  <c r="BE5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52" i="19" s="1"/>
  <c r="BG134" i="11"/>
  <c r="BF5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52" i="19" s="1"/>
  <c r="BH134" i="11"/>
  <c r="BG48" i="5"/>
  <c r="BG5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52" i="19" s="1"/>
  <c r="BH48" i="5"/>
  <c r="BH5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53" i="19"/>
  <c r="BI48" i="5"/>
  <c r="BI85" i="11"/>
  <c r="BI5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53" i="19"/>
  <c r="BJ48" i="5"/>
  <c r="BJ89" i="5"/>
  <c r="BJ5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53" i="19"/>
  <c r="BK48" i="5"/>
  <c r="BK137" i="11"/>
  <c r="BL56" i="11"/>
  <c r="BK85" i="11"/>
  <c r="BK5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52" i="19"/>
  <c r="BM135" i="11"/>
  <c r="BM58" i="11"/>
  <c r="BM59" i="11" s="1"/>
  <c r="BL32" i="15" s="1"/>
  <c r="BL86" i="11"/>
  <c r="BM83" i="11" s="1"/>
  <c r="BL48" i="5"/>
  <c r="BL5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52" i="19"/>
  <c r="BN58" i="11"/>
  <c r="BN59" i="11" s="1"/>
  <c r="BM32" i="15" s="1"/>
  <c r="BN135" i="11"/>
  <c r="BM5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52" i="19"/>
  <c r="BN137" i="11"/>
  <c r="BO58" i="11"/>
  <c r="BO59" i="11" s="1"/>
  <c r="BN32" i="15" s="1"/>
  <c r="BO135" i="11"/>
  <c r="BN86" i="11"/>
  <c r="BO83" i="11" s="1"/>
  <c r="BN5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52" i="19"/>
  <c r="BO5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52" i="19"/>
  <c r="BQ58" i="11"/>
  <c r="BQ59" i="11" s="1"/>
  <c r="BP32" i="15" s="1"/>
  <c r="BQ135" i="11"/>
  <c r="BP5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53" i="19"/>
  <c r="BQ48" i="5"/>
  <c r="BR135" i="11"/>
  <c r="BR58" i="11"/>
  <c r="DD126" i="11" l="1"/>
  <c r="DD46" i="5" s="1"/>
  <c r="DJ48" i="11"/>
  <c r="DJ88" i="5" s="1"/>
  <c r="DJ125" i="11"/>
  <c r="DK52" i="6" s="1"/>
  <c r="BR89" i="11"/>
  <c r="BR91" i="5"/>
  <c r="BR89" i="5" s="1"/>
  <c r="BR141" i="11"/>
  <c r="BR142" i="11" s="1"/>
  <c r="BS139" i="11" s="1"/>
  <c r="BR84" i="11"/>
  <c r="BR85" i="11" s="1"/>
  <c r="BS54" i="6"/>
  <c r="BR136" i="11"/>
  <c r="BR137" i="11" s="1"/>
  <c r="BQ52" i="19"/>
  <c r="BR59" i="11"/>
  <c r="BQ32" i="15" s="1"/>
  <c r="DD127" i="11" l="1"/>
  <c r="DE124" i="11" s="1"/>
  <c r="DE126" i="11" s="1"/>
  <c r="DE46" i="5" s="1"/>
  <c r="DJ49" i="11"/>
  <c r="DK46" i="11" s="1"/>
  <c r="DK125" i="11" s="1"/>
  <c r="DL52" i="6" s="1"/>
  <c r="DJ86" i="5"/>
  <c r="AC83" i="17"/>
  <c r="AC81" i="17" s="1"/>
  <c r="BR52" i="19"/>
  <c r="BS134" i="11"/>
  <c r="BR5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52" i="19" s="1"/>
  <c r="BS89" i="5"/>
  <c r="BS48" i="5"/>
  <c r="BS5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53" i="19"/>
  <c r="BT48" i="5"/>
  <c r="BT89" i="5"/>
  <c r="DN125" i="11" l="1"/>
  <c r="DO52" i="6" s="1"/>
  <c r="DN49" i="11"/>
  <c r="DO46" i="11" s="1"/>
  <c r="DO48" i="11" s="1"/>
  <c r="DO88" i="5" s="1"/>
  <c r="DO86" i="5" s="1"/>
  <c r="DH126" i="11"/>
  <c r="DH46" i="5" s="1"/>
  <c r="BT5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53" i="19"/>
  <c r="BU48" i="5"/>
  <c r="BU137" i="11"/>
  <c r="BU85" i="11"/>
  <c r="BU5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53" i="19"/>
  <c r="BV48" i="5"/>
  <c r="BV89" i="11"/>
  <c r="BV85" i="11"/>
  <c r="BV5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53" i="19"/>
  <c r="BW48" i="5"/>
  <c r="BX135" i="11"/>
  <c r="BX58" i="11"/>
  <c r="DS88" i="5" l="1"/>
  <c r="DS49" i="11"/>
  <c r="DT46" i="11" s="1"/>
  <c r="DM126" i="11"/>
  <c r="DM46" i="5" s="1"/>
  <c r="BW52" i="19"/>
  <c r="BX89" i="11"/>
  <c r="BX91" i="5"/>
  <c r="BX141" i="11"/>
  <c r="BX142" i="11" s="1"/>
  <c r="BY139" i="11" s="1"/>
  <c r="BX84" i="11"/>
  <c r="BX85" i="11" s="1"/>
  <c r="BY54" i="6"/>
  <c r="BX136" i="11"/>
  <c r="BX59" i="11"/>
  <c r="BW32" i="15" s="1"/>
  <c r="DS86" i="5" l="1"/>
  <c r="DT125" i="11"/>
  <c r="DU52" i="6" s="1"/>
  <c r="DT48" i="11"/>
  <c r="DM127" i="11"/>
  <c r="DN124" i="11" s="1"/>
  <c r="BX89" i="5"/>
  <c r="BX52" i="19"/>
  <c r="BY56" i="11"/>
  <c r="BX5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52" i="19" s="1"/>
  <c r="BY5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52" i="19" s="1"/>
  <c r="BZ89" i="11"/>
  <c r="CA56" i="11"/>
  <c r="BZ48" i="5"/>
  <c r="BZ5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52" i="19"/>
  <c r="CA48" i="5"/>
  <c r="CA5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52" i="19"/>
  <c r="CB86" i="11"/>
  <c r="CC83" i="11" s="1"/>
  <c r="CC89" i="11" s="1"/>
  <c r="CB5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52" i="19" s="1"/>
  <c r="CC5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52" i="19" s="1"/>
  <c r="CE56" i="11"/>
  <c r="CE134" i="11"/>
  <c r="CD5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52" i="19" s="1"/>
  <c r="CE5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52" i="19" s="1"/>
  <c r="CG134" i="11"/>
  <c r="CF5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52" i="19" s="1"/>
  <c r="CG48" i="5"/>
  <c r="CG5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52" i="19" s="1"/>
  <c r="CH137" i="11"/>
  <c r="CH48" i="5"/>
  <c r="CH5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53" i="19"/>
  <c r="CI48" i="5"/>
  <c r="CI137" i="11"/>
  <c r="CI85" i="11"/>
  <c r="CI5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53" i="19"/>
  <c r="EJ48" i="11" l="1"/>
  <c r="EJ49" i="11" s="1"/>
  <c r="EK46" i="11" s="1"/>
  <c r="EI88" i="5"/>
  <c r="EI86" i="5" s="1"/>
  <c r="EC126" i="11"/>
  <c r="EC46" i="5" s="1"/>
  <c r="CK134" i="11"/>
  <c r="CJ52" i="19"/>
  <c r="CL56" i="11"/>
  <c r="CK136" i="11"/>
  <c r="CL54" i="6"/>
  <c r="CK91" i="5"/>
  <c r="CK89" i="5" s="1"/>
  <c r="CK84" i="11"/>
  <c r="CK141" i="11"/>
  <c r="CK142" i="11" s="1"/>
  <c r="CL139" i="11" s="1"/>
  <c r="EJ88" i="5" l="1"/>
  <c r="EJ86" i="5" s="1"/>
  <c r="EK125" i="11"/>
  <c r="EL52" i="6" s="1"/>
  <c r="EK48" i="11"/>
  <c r="EC127" i="11"/>
  <c r="ED124" i="11" s="1"/>
  <c r="CK48" i="5"/>
  <c r="CK53" i="19"/>
  <c r="CK137" i="11"/>
  <c r="CK85" i="11"/>
  <c r="CK5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53" i="19"/>
  <c r="CL48" i="5"/>
  <c r="CM58" i="11"/>
  <c r="CM59" i="11" s="1"/>
  <c r="CL32" i="15" s="1"/>
  <c r="CM135" i="11"/>
  <c r="EL49" i="11" l="1"/>
  <c r="EM46" i="11" s="1"/>
  <c r="EL88" i="5"/>
  <c r="EL86" i="5" s="1"/>
  <c r="EE126" i="11"/>
  <c r="EE46" i="5" s="1"/>
  <c r="CL52" i="19"/>
  <c r="CM134" i="11"/>
  <c r="CN56" i="11"/>
  <c r="CN54" i="6"/>
  <c r="CM136" i="11"/>
  <c r="CM91" i="5"/>
  <c r="CM84" i="11"/>
  <c r="CM141" i="11"/>
  <c r="CM142" i="11" s="1"/>
  <c r="CN139" i="11" s="1"/>
  <c r="EM48" i="11" l="1"/>
  <c r="EM125" i="11"/>
  <c r="EN52" i="6" s="1"/>
  <c r="EE127" i="11"/>
  <c r="EF124" i="11" s="1"/>
  <c r="CM137" i="11"/>
  <c r="CM85" i="11"/>
  <c r="CM52" i="19" s="1"/>
  <c r="CM89" i="5"/>
  <c r="CM5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53" i="19"/>
  <c r="CN137" i="11"/>
  <c r="CO56" i="11"/>
  <c r="CN89" i="5"/>
  <c r="EN88" i="5" l="1"/>
  <c r="EN86" i="5" s="1"/>
  <c r="EO48" i="11"/>
  <c r="EO125" i="11"/>
  <c r="EP52" i="6" s="1"/>
  <c r="AH83" i="17"/>
  <c r="AH81" i="17" s="1"/>
  <c r="EG126" i="11"/>
  <c r="EG46" i="5" s="1"/>
  <c r="CN5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53" i="19"/>
  <c r="CO48" i="5"/>
  <c r="CP56" i="11"/>
  <c r="CO137" i="11"/>
  <c r="CO85" i="11"/>
  <c r="CO5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5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5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52" i="19"/>
  <c r="CQ5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52" i="19" s="1"/>
  <c r="CS58" i="11"/>
  <c r="CS59" i="11" s="1"/>
  <c r="CR32" i="15" s="1"/>
  <c r="CS135" i="11"/>
  <c r="CR48" i="5"/>
  <c r="CR5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52" i="19" s="1"/>
  <c r="CS89" i="11"/>
  <c r="CS5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53" i="19"/>
  <c r="CT137" i="11"/>
  <c r="CT89" i="5"/>
  <c r="CU56" i="11"/>
  <c r="EP46" i="5" l="1"/>
  <c r="EP127" i="11"/>
  <c r="EQ124" i="11" s="1"/>
  <c r="CT52" i="19"/>
  <c r="CU135" i="11"/>
  <c r="CU58" i="11"/>
  <c r="CU59" i="11" s="1"/>
  <c r="CT32" i="15" s="1"/>
  <c r="CU134" i="11"/>
  <c r="EQ126" i="11" l="1"/>
  <c r="EQ127" i="11" s="1"/>
  <c r="CV56" i="11"/>
  <c r="CU91" i="5"/>
  <c r="CU84" i="11"/>
  <c r="CU141" i="11"/>
  <c r="CU142" i="11" s="1"/>
  <c r="CV139" i="11" s="1"/>
  <c r="CV54" i="6"/>
  <c r="CU136" i="11"/>
  <c r="EQ46" i="5" l="1"/>
  <c r="J126" i="11"/>
  <c r="CU53" i="19"/>
  <c r="CU48" i="5"/>
  <c r="CU89" i="5"/>
  <c r="CU137" i="11"/>
  <c r="CU85" i="11"/>
  <c r="CU5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52" i="19" s="1"/>
  <c r="CV137" i="11"/>
  <c r="CV5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53" i="19"/>
  <c r="CW52" i="19" l="1"/>
  <c r="CX134" i="11"/>
  <c r="CX135" i="11"/>
  <c r="CX58" i="11"/>
  <c r="CX59" i="11" l="1"/>
  <c r="CW32" i="15" s="1"/>
  <c r="CX91" i="5"/>
  <c r="CX89" i="5" s="1"/>
  <c r="CX141" i="11"/>
  <c r="CX142" i="11" s="1"/>
  <c r="CY139" i="11" s="1"/>
  <c r="CX84" i="11"/>
  <c r="CY54" i="6"/>
  <c r="CX136" i="11"/>
  <c r="Y27" i="18" l="1"/>
  <c r="K223" i="32" s="1"/>
  <c r="CX53" i="19"/>
  <c r="CX48" i="5"/>
  <c r="CX137" i="11"/>
  <c r="CX85" i="11"/>
  <c r="CX52" i="19" s="1"/>
  <c r="CY56" i="11"/>
  <c r="CX86" i="11" l="1"/>
  <c r="CY83" i="11" s="1"/>
  <c r="CY89" i="11" s="1"/>
  <c r="CY58" i="11"/>
  <c r="CY135" i="11"/>
  <c r="CY134" i="11"/>
  <c r="CY136" i="11" l="1"/>
  <c r="CZ54" i="6"/>
  <c r="CY59" i="11"/>
  <c r="CX32" i="15" s="1"/>
  <c r="CY91" i="5"/>
  <c r="CY89" i="5" s="1"/>
  <c r="CY84" i="11"/>
  <c r="CY141" i="11"/>
  <c r="CY142" i="11" s="1"/>
  <c r="CZ139" i="11" s="1"/>
  <c r="CY85" i="11" l="1"/>
  <c r="CY52" i="19" s="1"/>
  <c r="CZ56" i="11"/>
  <c r="CY5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53" i="19"/>
  <c r="CZ48" i="5"/>
  <c r="DA89" i="11"/>
  <c r="CZ89" i="5"/>
  <c r="CZ52" i="19"/>
  <c r="DA56" i="11"/>
  <c r="DA58" i="11" l="1"/>
  <c r="DA59" i="11" s="1"/>
  <c r="CZ32" i="15" s="1"/>
  <c r="DA135" i="11"/>
  <c r="DB56" i="11" l="1"/>
  <c r="DB54" i="6"/>
  <c r="DA136" i="11"/>
  <c r="DA84" i="11"/>
  <c r="DA141" i="11"/>
  <c r="DA142" i="11" s="1"/>
  <c r="DB139" i="11" s="1"/>
  <c r="DA91" i="5"/>
  <c r="DA89" i="5" s="1"/>
  <c r="DA85" i="11" l="1"/>
  <c r="DA52" i="19" s="1"/>
  <c r="DA5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53" i="19"/>
  <c r="DB48" i="5"/>
  <c r="DC58" i="11"/>
  <c r="DC135" i="11"/>
  <c r="DB52" i="19" l="1"/>
  <c r="DC136" i="11"/>
  <c r="DD54" i="6"/>
  <c r="DC59" i="11"/>
  <c r="DB32" i="15" s="1"/>
  <c r="DC141" i="11"/>
  <c r="DC142" i="11" s="1"/>
  <c r="DD139" i="11" s="1"/>
  <c r="DC84" i="11"/>
  <c r="DC91" i="5"/>
  <c r="DC134" i="11"/>
  <c r="DC137" i="11" l="1"/>
  <c r="DD134" i="11" s="1"/>
  <c r="DC89" i="5"/>
  <c r="DC85" i="11"/>
  <c r="DC52" i="19" s="1"/>
  <c r="DD56" i="11"/>
  <c r="DC53" i="19"/>
  <c r="DC48" i="5"/>
  <c r="DC86" i="11" l="1"/>
  <c r="DD83" i="11" s="1"/>
  <c r="DD89" i="11" s="1"/>
  <c r="DD135" i="11"/>
  <c r="DD58" i="11"/>
  <c r="DD59" i="11" s="1"/>
  <c r="DC32" i="15" s="1"/>
  <c r="Z27" i="18" l="1"/>
  <c r="DE56" i="11"/>
  <c r="DD91" i="5"/>
  <c r="DD141" i="11"/>
  <c r="DD142" i="11" s="1"/>
  <c r="DE139" i="11" s="1"/>
  <c r="DD84" i="11"/>
  <c r="DD136" i="11"/>
  <c r="DE54" i="6"/>
  <c r="DD48" i="5" l="1"/>
  <c r="DD53" i="19"/>
  <c r="DD137" i="11"/>
  <c r="DD85" i="11"/>
  <c r="DD86" i="11" s="1"/>
  <c r="DE83" i="11" s="1"/>
  <c r="DD89" i="5"/>
  <c r="DE58" i="11"/>
  <c r="DE135" i="11"/>
  <c r="DD5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52" i="19"/>
  <c r="DF56" i="11"/>
  <c r="DE48" i="5"/>
  <c r="DE5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53" i="19"/>
  <c r="DF89" i="5"/>
  <c r="DF85" i="11"/>
  <c r="DF5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53" i="19"/>
  <c r="DG48" i="5"/>
  <c r="DH134" i="11" l="1"/>
  <c r="DH89" i="11"/>
  <c r="DG52" i="19"/>
  <c r="DH135" i="11"/>
  <c r="DH58" i="11"/>
  <c r="DH59" i="11" l="1"/>
  <c r="DG32" i="15" s="1"/>
  <c r="DH91" i="5"/>
  <c r="DH141" i="11"/>
  <c r="DH142" i="11" s="1"/>
  <c r="DI139" i="11" s="1"/>
  <c r="DH84" i="11"/>
  <c r="DI54" i="6"/>
  <c r="DH136" i="11"/>
  <c r="DH137" i="11" l="1"/>
  <c r="DI134" i="11" s="1"/>
  <c r="DH53" i="19"/>
  <c r="DH48" i="5"/>
  <c r="DH85" i="11"/>
  <c r="DH52" i="19" s="1"/>
  <c r="DH89" i="5"/>
  <c r="DI56" i="11"/>
  <c r="DH86" i="11" l="1"/>
  <c r="DI83" i="11" s="1"/>
  <c r="DI58" i="11"/>
  <c r="DI59" i="11" s="1"/>
  <c r="DH32" i="15" s="1"/>
  <c r="DI135" i="11"/>
  <c r="DJ56" i="11" l="1"/>
  <c r="DJ54" i="6"/>
  <c r="DI136" i="11"/>
  <c r="DI141" i="11"/>
  <c r="DI142" i="11" s="1"/>
  <c r="DJ139" i="11" s="1"/>
  <c r="DI84" i="11"/>
  <c r="DI91" i="5"/>
  <c r="DI89" i="11"/>
  <c r="DI89" i="5" l="1"/>
  <c r="DI85" i="11"/>
  <c r="DI52" i="19" s="1"/>
  <c r="DI137" i="11"/>
  <c r="DI48" i="5"/>
  <c r="DI53" i="19"/>
  <c r="DJ135" i="11"/>
  <c r="DJ58" i="11"/>
  <c r="DJ134" i="11" l="1"/>
  <c r="DJ59" i="11"/>
  <c r="DI32" i="15" s="1"/>
  <c r="DJ91" i="5"/>
  <c r="DJ141" i="11"/>
  <c r="DJ142" i="11" s="1"/>
  <c r="DK139" i="11" s="1"/>
  <c r="DJ84" i="11"/>
  <c r="DJ136" i="11"/>
  <c r="AO110" i="1" s="1"/>
  <c r="DK54" i="6"/>
  <c r="DI86" i="11"/>
  <c r="DJ83" i="11" s="1"/>
  <c r="AA27" i="18" l="1"/>
  <c r="L223" i="32" s="1"/>
  <c r="DJ53" i="19"/>
  <c r="DJ48" i="5"/>
  <c r="DJ89" i="5"/>
  <c r="DK56" i="11"/>
  <c r="DJ137" i="11"/>
  <c r="DJ89" i="11"/>
  <c r="DJ85" i="11"/>
  <c r="DJ52" i="19" s="1"/>
  <c r="DJ86" i="11" l="1"/>
  <c r="DK83" i="11" s="1"/>
  <c r="DK89" i="11" s="1"/>
  <c r="DK134" i="11"/>
  <c r="DK135" i="11"/>
  <c r="DK58" i="11"/>
  <c r="DK59" i="11" l="1"/>
  <c r="DJ32" i="15" s="1"/>
  <c r="DK91" i="5"/>
  <c r="DK141" i="11"/>
  <c r="DK142" i="11" s="1"/>
  <c r="DL139" i="11" s="1"/>
  <c r="DK84" i="11"/>
  <c r="DK136" i="11"/>
  <c r="DK137" i="11" s="1"/>
  <c r="DL54" i="6"/>
  <c r="DL134" i="11" l="1"/>
  <c r="DK53" i="19"/>
  <c r="DK48" i="5"/>
  <c r="DK85" i="11"/>
  <c r="DK52" i="19" s="1"/>
  <c r="DK89" i="5"/>
  <c r="DL56" i="11"/>
  <c r="DK86" i="11" l="1"/>
  <c r="DL83" i="11" s="1"/>
  <c r="DL89" i="11" s="1"/>
  <c r="DL58" i="11"/>
  <c r="DL135" i="11"/>
  <c r="DL136" i="11" l="1"/>
  <c r="DL137" i="11" s="1"/>
  <c r="DM54" i="6"/>
  <c r="DL59" i="11"/>
  <c r="DK32" i="15" s="1"/>
  <c r="DL91" i="5"/>
  <c r="DL84" i="11"/>
  <c r="DL141" i="11"/>
  <c r="DL142" i="11" s="1"/>
  <c r="DM139" i="11" s="1"/>
  <c r="DL85" i="11" l="1"/>
  <c r="DL52" i="19" s="1"/>
  <c r="DL89" i="5"/>
  <c r="DM56" i="11"/>
  <c r="DM134" i="11"/>
  <c r="DL48" i="5"/>
  <c r="DL53" i="19"/>
  <c r="DL86" i="11" l="1"/>
  <c r="DM83" i="11" s="1"/>
  <c r="DM89" i="11" s="1"/>
  <c r="DM58" i="11"/>
  <c r="DM135" i="11"/>
  <c r="DN54" i="6" l="1"/>
  <c r="DM136" i="11"/>
  <c r="DM59" i="11"/>
  <c r="DL32" i="15" s="1"/>
  <c r="DM91" i="5"/>
  <c r="DM141" i="11"/>
  <c r="DM142" i="11" s="1"/>
  <c r="DN139" i="11" s="1"/>
  <c r="DM84" i="11"/>
  <c r="DM89" i="5" l="1"/>
  <c r="DM85" i="11"/>
  <c r="DM52" i="19" s="1"/>
  <c r="DM48" i="5"/>
  <c r="DM53" i="19"/>
  <c r="DN56" i="11"/>
  <c r="DM137" i="11"/>
  <c r="DM86" i="11" l="1"/>
  <c r="DN83" i="11" s="1"/>
  <c r="DN134" i="11"/>
  <c r="DN135" i="11"/>
  <c r="DN58" i="11"/>
  <c r="DN89" i="11" l="1"/>
  <c r="DN59" i="11"/>
  <c r="DM32" i="15" s="1"/>
  <c r="DN91" i="5"/>
  <c r="DN141" i="11"/>
  <c r="DN142" i="11" s="1"/>
  <c r="DO139" i="11" s="1"/>
  <c r="DN84" i="11"/>
  <c r="DN85" i="11" s="1"/>
  <c r="DN136" i="11"/>
  <c r="DN137" i="11" s="1"/>
  <c r="DO54" i="6"/>
  <c r="DN52" i="19" l="1"/>
  <c r="DN89" i="5"/>
  <c r="DO56" i="11"/>
  <c r="DN86" i="11"/>
  <c r="DO83" i="11" s="1"/>
  <c r="DO134" i="11"/>
  <c r="DN53" i="19"/>
  <c r="DN48" i="5"/>
  <c r="DO89" i="11" l="1"/>
  <c r="DO135" i="11"/>
  <c r="DO58" i="11"/>
  <c r="DO59" i="11" s="1"/>
  <c r="DN32" i="15" s="1"/>
  <c r="DP56" i="11" l="1"/>
  <c r="DO84" i="11"/>
  <c r="DO141" i="11"/>
  <c r="DO142" i="11" s="1"/>
  <c r="DP139" i="11" s="1"/>
  <c r="DO91" i="5"/>
  <c r="DP54" i="6"/>
  <c r="DO136" i="11"/>
  <c r="DO53" i="19" l="1"/>
  <c r="DO48" i="5"/>
  <c r="DO89" i="5"/>
  <c r="DO85" i="11"/>
  <c r="DO52" i="19" s="1"/>
  <c r="DO137" i="11"/>
  <c r="DP58" i="11"/>
  <c r="DP135" i="11"/>
  <c r="DQ54" i="6" l="1"/>
  <c r="DP136" i="11"/>
  <c r="DP91" i="5"/>
  <c r="DP141" i="11"/>
  <c r="DP142" i="11" s="1"/>
  <c r="DQ139" i="11" s="1"/>
  <c r="DP84" i="11"/>
  <c r="DP134" i="11"/>
  <c r="DO86" i="11"/>
  <c r="DP83" i="11" s="1"/>
  <c r="DP59" i="11"/>
  <c r="DO32" i="15" s="1"/>
  <c r="AB27" i="18" l="1"/>
  <c r="DP89" i="5"/>
  <c r="DQ56" i="11"/>
  <c r="DP137" i="11"/>
  <c r="DP53" i="19"/>
  <c r="DP48" i="5"/>
  <c r="DP89" i="11"/>
  <c r="DP85" i="11"/>
  <c r="DP5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53" i="19"/>
  <c r="DQ52" i="19" l="1"/>
  <c r="DR58" i="11"/>
  <c r="DR91" i="5" s="1"/>
  <c r="DR135" i="11"/>
  <c r="DR89" i="11"/>
  <c r="DR89" i="5" l="1"/>
  <c r="DR136" i="11"/>
  <c r="DS54" i="6"/>
  <c r="DR59" i="11"/>
  <c r="DQ32" i="15" s="1"/>
  <c r="DR84" i="11"/>
  <c r="DR141" i="11"/>
  <c r="DR142" i="11" s="1"/>
  <c r="DS139" i="11" s="1"/>
  <c r="DR48" i="5" l="1"/>
  <c r="DR85" i="11"/>
  <c r="DR52" i="19" s="1"/>
  <c r="DS56" i="11"/>
  <c r="DR5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53" i="19"/>
  <c r="DS137" i="11"/>
  <c r="DT89" i="11" l="1"/>
  <c r="DT135" i="11"/>
  <c r="DU54" i="6" s="1"/>
  <c r="DT58" i="11"/>
  <c r="DT91" i="5" s="1"/>
  <c r="DS52" i="19"/>
  <c r="DT134" i="11"/>
  <c r="DT89" i="5" l="1"/>
  <c r="DT59" i="11"/>
  <c r="DS32" i="15" s="1"/>
  <c r="DT84" i="11"/>
  <c r="DT141" i="11"/>
  <c r="DT142" i="11" s="1"/>
  <c r="DU139" i="11" s="1"/>
  <c r="DT136" i="11"/>
  <c r="DT48" i="5" l="1"/>
  <c r="DT53" i="19"/>
  <c r="DU56" i="11"/>
  <c r="DT137" i="11"/>
  <c r="DT85" i="11"/>
  <c r="DT5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52" i="19"/>
  <c r="DV134" i="11"/>
  <c r="DV56" i="11"/>
  <c r="DV135" i="11" s="1"/>
  <c r="DT32" i="15"/>
  <c r="DU53" i="19"/>
  <c r="DU48" i="5"/>
  <c r="DV58" i="11"/>
  <c r="DV91" i="5" s="1"/>
  <c r="DV89" i="5" l="1"/>
  <c r="DV136" i="11"/>
  <c r="DW54" i="6"/>
  <c r="DV84" i="11"/>
  <c r="DV141" i="11"/>
  <c r="DV142" i="11" s="1"/>
  <c r="DW139" i="11" s="1"/>
  <c r="DV59" i="11"/>
  <c r="AL111" i="1"/>
  <c r="AL112" i="1"/>
  <c r="DV53" i="19" l="1"/>
  <c r="DW56" i="11"/>
  <c r="DW135" i="11" s="1"/>
  <c r="DX54" i="6" s="1"/>
  <c r="DU32" i="15"/>
  <c r="DV48" i="5"/>
  <c r="DV137" i="11"/>
  <c r="DV85" i="11"/>
  <c r="DV5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52" i="19" s="1"/>
  <c r="DW59" i="11"/>
  <c r="DX56" i="11" s="1"/>
  <c r="DW141" i="11"/>
  <c r="DW142" i="11" s="1"/>
  <c r="DX139" i="11" s="1"/>
  <c r="DW137" i="11"/>
  <c r="AC84" i="17"/>
  <c r="AC43" i="17"/>
  <c r="AD43" i="17"/>
  <c r="DW48" i="5" l="1"/>
  <c r="DX135" i="11"/>
  <c r="DY54" i="6" s="1"/>
  <c r="DX58" i="11"/>
  <c r="DX91" i="5" s="1"/>
  <c r="DX89" i="5" s="1"/>
  <c r="DV32" i="15"/>
  <c r="DW53" i="19"/>
  <c r="DX134" i="11"/>
  <c r="DW86" i="11"/>
  <c r="DX83" i="11" s="1"/>
  <c r="DX136" i="11" l="1"/>
  <c r="DX59" i="11"/>
  <c r="DY56" i="11" s="1"/>
  <c r="DX141" i="11"/>
  <c r="DX84" i="11"/>
  <c r="DX85" i="11" s="1"/>
  <c r="DX52" i="19" s="1"/>
  <c r="DX89" i="11"/>
  <c r="DW32" i="15" l="1"/>
  <c r="DX142" i="11"/>
  <c r="DY139" i="11" s="1"/>
  <c r="DX48" i="5"/>
  <c r="DX53" i="19"/>
  <c r="DX137" i="11"/>
  <c r="DY134" i="11" s="1"/>
  <c r="DY135" i="11"/>
  <c r="DZ54" i="6" s="1"/>
  <c r="DY58" i="11"/>
  <c r="DY91" i="5" s="1"/>
  <c r="DX86" i="11"/>
  <c r="DY83" i="11" s="1"/>
  <c r="DY136" i="11" l="1"/>
  <c r="DY137" i="11" s="1"/>
  <c r="DY141" i="11"/>
  <c r="DY142" i="11" s="1"/>
  <c r="DZ139" i="11" s="1"/>
  <c r="DY89" i="5"/>
  <c r="DY84" i="11"/>
  <c r="DY85" i="11" s="1"/>
  <c r="DY52" i="19" s="1"/>
  <c r="DY59" i="11"/>
  <c r="DZ56" i="11" s="1"/>
  <c r="DY89" i="11"/>
  <c r="DX32" i="15" l="1"/>
  <c r="DY48" i="5"/>
  <c r="DY53" i="19"/>
  <c r="DZ135" i="11"/>
  <c r="EA54" i="6" s="1"/>
  <c r="DZ58" i="11"/>
  <c r="DZ91" i="5" s="1"/>
  <c r="DZ134" i="11"/>
  <c r="DY86" i="11"/>
  <c r="DZ83" i="11" s="1"/>
  <c r="DZ136" i="11" l="1"/>
  <c r="DZ137" i="11" s="1"/>
  <c r="DZ89" i="5"/>
  <c r="DZ59" i="11"/>
  <c r="EA56" i="11" s="1"/>
  <c r="DZ141" i="11"/>
  <c r="DZ84" i="11"/>
  <c r="DZ85" i="11" s="1"/>
  <c r="DZ89" i="11"/>
  <c r="DZ142" i="11" l="1"/>
  <c r="EA139" i="11" s="1"/>
  <c r="DZ48" i="5"/>
  <c r="DZ53" i="19"/>
  <c r="DY32" i="15"/>
  <c r="EA58" i="11"/>
  <c r="EA91" i="5" s="1"/>
  <c r="EA89" i="5" s="1"/>
  <c r="EA135" i="11"/>
  <c r="EB54" i="6" s="1"/>
  <c r="DZ86" i="11"/>
  <c r="EA83" i="11" s="1"/>
  <c r="DZ52" i="19"/>
  <c r="EA134" i="11"/>
  <c r="EA136" i="11" l="1"/>
  <c r="EA137" i="11" s="1"/>
  <c r="EA141" i="11"/>
  <c r="EA84" i="11"/>
  <c r="EA85" i="11" s="1"/>
  <c r="EA59" i="11"/>
  <c r="EB56" i="11" s="1"/>
  <c r="EA89" i="11"/>
  <c r="EA53" i="19" l="1"/>
  <c r="EA48" i="5"/>
  <c r="EA142" i="11"/>
  <c r="EB139" i="11" s="1"/>
  <c r="DZ32" i="15"/>
  <c r="AL113" i="1"/>
  <c r="EB135" i="11"/>
  <c r="EB136" i="11" s="1"/>
  <c r="EB58" i="11"/>
  <c r="EB59" i="11" s="1"/>
  <c r="EC56" i="11" s="1"/>
  <c r="EB134" i="11"/>
  <c r="EA86" i="11"/>
  <c r="EB83" i="11" s="1"/>
  <c r="EA5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53" i="19" s="1"/>
  <c r="EC91" i="5"/>
  <c r="EB89" i="5"/>
  <c r="EC84" i="11"/>
  <c r="EC85" i="11" s="1"/>
  <c r="EB53" i="19"/>
  <c r="EB48" i="5"/>
  <c r="ED135" i="11"/>
  <c r="EE54" i="6" s="1"/>
  <c r="AE43" i="17"/>
  <c r="EE56" i="11"/>
  <c r="EE135" i="11" s="1"/>
  <c r="EC32" i="15"/>
  <c r="EC137" i="11"/>
  <c r="EB52" i="19"/>
  <c r="ED91" i="5"/>
  <c r="ED84" i="11"/>
  <c r="ED141" i="11"/>
  <c r="EC89" i="11"/>
  <c r="EC89" i="5" l="1"/>
  <c r="EC142" i="11"/>
  <c r="ED139" i="11" s="1"/>
  <c r="ED142" i="11" s="1"/>
  <c r="EE139" i="11" s="1"/>
  <c r="EC48" i="5"/>
  <c r="EC52" i="19"/>
  <c r="ED136" i="11"/>
  <c r="EE58" i="11"/>
  <c r="EE59" i="11" s="1"/>
  <c r="EF56" i="11" s="1"/>
  <c r="EF58" i="11" s="1"/>
  <c r="EC86" i="11"/>
  <c r="ED83" i="11" s="1"/>
  <c r="ED89" i="11" s="1"/>
  <c r="ED89" i="5"/>
  <c r="ED134" i="11"/>
  <c r="EE136" i="11"/>
  <c r="EF54" i="6"/>
  <c r="ED5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53" i="19"/>
  <c r="EE48" i="5"/>
  <c r="EF142" i="11"/>
  <c r="EG139" i="11" s="1"/>
  <c r="EE85" i="11"/>
  <c r="ED52" i="19"/>
  <c r="EG54" i="6"/>
  <c r="EE89" i="11"/>
  <c r="EF89" i="5"/>
  <c r="EG56" i="11"/>
  <c r="EG135" i="11" s="1"/>
  <c r="EE32" i="15"/>
  <c r="EF134" i="11"/>
  <c r="EF137" i="11" s="1"/>
  <c r="EF53" i="19"/>
  <c r="EF48" i="5"/>
  <c r="EE86" i="11" l="1"/>
  <c r="EF83" i="11" s="1"/>
  <c r="EF89" i="11" s="1"/>
  <c r="EE5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52" i="19"/>
  <c r="EG89" i="5"/>
  <c r="EG142" i="11"/>
  <c r="EH139" i="11" s="1"/>
  <c r="EG48" i="5"/>
  <c r="EG53" i="19"/>
  <c r="EH135" i="11"/>
  <c r="EI56" i="11"/>
  <c r="EI135" i="11" s="1"/>
  <c r="EG32" i="15"/>
  <c r="EH91" i="5"/>
  <c r="EH141" i="11"/>
  <c r="EH84" i="11"/>
  <c r="EH89" i="11" l="1"/>
  <c r="EG52" i="19"/>
  <c r="EH85" i="11"/>
  <c r="EH86" i="11" s="1"/>
  <c r="EI83" i="11" s="1"/>
  <c r="EI89" i="11" s="1"/>
  <c r="EH142" i="11"/>
  <c r="EI139" i="11" s="1"/>
  <c r="EH136" i="11"/>
  <c r="EH53" i="19" s="1"/>
  <c r="EI54" i="6"/>
  <c r="AG48" i="16" s="1"/>
  <c r="AE27" i="18"/>
  <c r="N223" i="32" s="1"/>
  <c r="EI58" i="11"/>
  <c r="EI59" i="11" s="1"/>
  <c r="EJ56" i="11" s="1"/>
  <c r="EH89" i="5"/>
  <c r="EJ54" i="6"/>
  <c r="EI136" i="11"/>
  <c r="EH5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53" i="19" l="1"/>
  <c r="EI48" i="5"/>
  <c r="EJ91" i="5"/>
  <c r="EJ89" i="5" s="1"/>
  <c r="EJ59" i="11"/>
  <c r="EK56" i="11" s="1"/>
  <c r="EK135" i="11" s="1"/>
  <c r="EJ141" i="11"/>
  <c r="EJ142" i="11" s="1"/>
  <c r="EK139" i="11" s="1"/>
  <c r="EK54" i="6"/>
  <c r="EJ134" i="11"/>
  <c r="EJ137" i="11" s="1"/>
  <c r="EI52" i="19"/>
  <c r="EJ89" i="11"/>
  <c r="EJ85" i="11"/>
  <c r="EJ86" i="11" s="1"/>
  <c r="EK83" i="11" s="1"/>
  <c r="EJ53" i="19" l="1"/>
  <c r="EJ48" i="5"/>
  <c r="EI32" i="15"/>
  <c r="EK58" i="11"/>
  <c r="EK59" i="11" s="1"/>
  <c r="EJ5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53" i="19"/>
  <c r="EK52" i="19"/>
  <c r="EL134" i="11"/>
  <c r="EL136" i="11" l="1"/>
  <c r="EM54" i="6"/>
  <c r="EL59" i="11"/>
  <c r="EM56" i="11" s="1"/>
  <c r="EM135" i="11" s="1"/>
  <c r="EL91" i="5"/>
  <c r="EL89" i="5" s="1"/>
  <c r="EL141" i="11"/>
  <c r="EL142" i="11" s="1"/>
  <c r="EM139" i="11" s="1"/>
  <c r="EL84" i="11"/>
  <c r="EL85" i="11" s="1"/>
  <c r="EM58" i="11"/>
  <c r="EM84" i="11" s="1"/>
  <c r="EL52" i="19" l="1"/>
  <c r="EK32" i="15"/>
  <c r="EL48" i="5"/>
  <c r="EL5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53" i="19"/>
  <c r="EN59" i="11"/>
  <c r="EO56" i="11" s="1"/>
  <c r="EN135" i="11"/>
  <c r="EN136" i="11" s="1"/>
  <c r="EN91" i="5"/>
  <c r="EN84" i="11"/>
  <c r="EN141" i="11"/>
  <c r="EN142" i="11" s="1"/>
  <c r="EO139" i="11" s="1"/>
  <c r="EN85" i="11" l="1"/>
  <c r="EN86" i="11" s="1"/>
  <c r="EO83" i="11" s="1"/>
  <c r="EO89" i="11" s="1"/>
  <c r="EM52" i="19"/>
  <c r="EN53" i="19"/>
  <c r="EO135" i="11"/>
  <c r="EP54" i="6" s="1"/>
  <c r="EO58" i="11"/>
  <c r="EO141" i="11" s="1"/>
  <c r="EO142" i="11" s="1"/>
  <c r="EP139" i="11" s="1"/>
  <c r="EM32" i="15"/>
  <c r="EO54" i="6"/>
  <c r="EN89" i="5"/>
  <c r="EN48" i="5"/>
  <c r="AG43" i="17" s="1"/>
  <c r="EN137" i="11"/>
  <c r="EN52" i="19" l="1"/>
  <c r="AH48" i="16"/>
  <c r="AF27" i="18"/>
  <c r="EO91" i="5"/>
  <c r="EO59" i="11"/>
  <c r="EN32" i="15" s="1"/>
  <c r="EO84" i="11"/>
  <c r="EO85" i="11" s="1"/>
  <c r="EO86" i="11" s="1"/>
  <c r="EP83" i="11" s="1"/>
  <c r="EO136" i="11"/>
  <c r="EO48" i="5" s="1"/>
  <c r="EO134" i="11"/>
  <c r="EO89" i="5" l="1"/>
  <c r="EP56" i="11"/>
  <c r="EP135" i="11" s="1"/>
  <c r="EP136" i="11" s="1"/>
  <c r="EO137" i="11"/>
  <c r="EP134" i="11" s="1"/>
  <c r="EO53" i="19"/>
  <c r="EO52" i="19"/>
  <c r="EP89" i="11"/>
  <c r="EP58" i="11" l="1"/>
  <c r="EP141" i="11" s="1"/>
  <c r="EP142" i="11" s="1"/>
  <c r="EQ139" i="11" s="1"/>
  <c r="EQ54" i="6"/>
  <c r="EP137" i="11"/>
  <c r="EQ134" i="11" s="1"/>
  <c r="EP53" i="19" l="1"/>
  <c r="EP48" i="5"/>
  <c r="EP59" i="11"/>
  <c r="EP91" i="5"/>
  <c r="EP84" i="11"/>
  <c r="EP85" i="11" s="1"/>
  <c r="EP86" i="11" s="1"/>
  <c r="EQ83" i="11" s="1"/>
  <c r="EQ89" i="11" s="1"/>
  <c r="AM110" i="1"/>
  <c r="AM111" i="1"/>
  <c r="AN111" i="1" s="1"/>
  <c r="AM112" i="1"/>
  <c r="AN112" i="1" s="1"/>
  <c r="AF86" i="17"/>
  <c r="AL114" i="1"/>
  <c r="AN114" i="1" s="1"/>
  <c r="EP89" i="5" l="1"/>
  <c r="EP5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53" i="19"/>
  <c r="J5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52" i="19"/>
  <c r="J5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4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H597" i="32"/>
  <c r="EK85" i="5"/>
  <c r="EK44" i="11"/>
  <c r="EL51" i="6"/>
  <c r="EK45" i="5"/>
  <c r="EK122" i="11"/>
  <c r="X182" i="11"/>
  <c r="Y179" i="11" s="1"/>
  <c r="EK83" i="5" l="1"/>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K79" i="6" l="1"/>
  <c r="J68" i="11" l="1"/>
  <c r="EQ69" i="11"/>
  <c r="Y44" i="26" l="1"/>
  <c r="Z44" i="26"/>
  <c r="AA44" i="26"/>
  <c r="AB44" i="26"/>
  <c r="AC44" i="26"/>
  <c r="AD44" i="26"/>
  <c r="AE44" i="26"/>
  <c r="AF44" i="26"/>
  <c r="AG44" i="26"/>
  <c r="AH44" i="26"/>
  <c r="AI44" i="26"/>
  <c r="M77"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E905"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K905" i="32" l="1"/>
  <c r="J905" i="32"/>
  <c r="G905" i="32"/>
  <c r="I905" i="32"/>
  <c r="H905" i="32"/>
  <c r="I119" i="32"/>
  <c r="H680" i="32"/>
  <c r="G119" i="32"/>
  <c r="K119" i="32"/>
  <c r="E680" i="32"/>
  <c r="E119" i="32"/>
  <c r="H119" i="32"/>
  <c r="L119" i="32"/>
  <c r="M119" i="32"/>
  <c r="F680" i="32"/>
  <c r="G680" i="32"/>
  <c r="F119" i="32"/>
  <c r="J119" i="32"/>
  <c r="N119" i="32"/>
  <c r="X40" i="1"/>
  <c r="D905" i="32" l="1"/>
  <c r="C905" i="32"/>
  <c r="M905" i="32" s="1"/>
  <c r="C680" i="32"/>
  <c r="C119" i="32"/>
  <c r="EE21" i="5"/>
  <c r="EF21" i="5" l="1"/>
  <c r="EG21" i="5" l="1"/>
  <c r="EH21" i="5" l="1"/>
  <c r="AH15" i="16" l="1"/>
  <c r="AG16" i="17"/>
  <c r="AH77"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77"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77" i="16"/>
  <c r="I15" i="19" l="1"/>
  <c r="DZ15" i="19" l="1"/>
  <c r="DZ22" i="19" s="1"/>
  <c r="C149" i="21"/>
  <c r="L15" i="19"/>
  <c r="L22" i="19" s="1"/>
  <c r="DF15" i="19"/>
  <c r="T15" i="19"/>
  <c r="CJ15" i="19"/>
  <c r="BJ15" i="19"/>
  <c r="BC15" i="19"/>
  <c r="DT15" i="19"/>
  <c r="DE15" i="19"/>
  <c r="DM15" i="19"/>
  <c r="AS15" i="19"/>
  <c r="CD15" i="19"/>
  <c r="BK15" i="19"/>
  <c r="AG15" i="19"/>
  <c r="BZ15" i="19"/>
  <c r="BV15" i="19"/>
  <c r="CU15" i="19"/>
  <c r="DW15" i="19"/>
  <c r="EE15" i="19"/>
  <c r="DV15" i="19"/>
  <c r="DK15" i="19"/>
  <c r="BO15" i="19"/>
  <c r="DR15" i="19"/>
  <c r="CB15" i="19"/>
  <c r="Y15" i="19"/>
  <c r="DQ15" i="19"/>
  <c r="AQ15" i="19"/>
  <c r="CH15" i="19"/>
  <c r="EK15" i="19"/>
  <c r="O15" i="19"/>
  <c r="AE15" i="19"/>
  <c r="AB15" i="19"/>
  <c r="AL15" i="19"/>
  <c r="BW15" i="19"/>
  <c r="CY15" i="19"/>
  <c r="AA15" i="19"/>
  <c r="Z15" i="19"/>
  <c r="BI15" i="19"/>
  <c r="ED15" i="19"/>
  <c r="EI15" i="19"/>
  <c r="EC15" i="19"/>
  <c r="AK15" i="19"/>
  <c r="CT15" i="19"/>
  <c r="BD15" i="19"/>
  <c r="M15" i="19"/>
  <c r="AF15" i="19"/>
  <c r="DO15" i="19"/>
  <c r="AY15" i="19"/>
  <c r="EM15" i="19"/>
  <c r="AD15" i="19"/>
  <c r="EL15" i="19"/>
  <c r="DL15" i="19"/>
  <c r="DY15" i="19"/>
  <c r="CX15" i="19"/>
  <c r="CW15" i="19"/>
  <c r="CA15" i="19"/>
  <c r="CL15" i="19"/>
  <c r="W15" i="19"/>
  <c r="AI15" i="19"/>
  <c r="CK15" i="19"/>
  <c r="DN15" i="19"/>
  <c r="AM15" i="19"/>
  <c r="AN15" i="19"/>
  <c r="BS15" i="19"/>
  <c r="EA15" i="19"/>
  <c r="AH15" i="19"/>
  <c r="CI15" i="19"/>
  <c r="BX15" i="19"/>
  <c r="AO15" i="19"/>
  <c r="AX15" i="19"/>
  <c r="CC15" i="19"/>
  <c r="EN15" i="19"/>
  <c r="AU15" i="19"/>
  <c r="BA15" i="19"/>
  <c r="X15" i="19"/>
  <c r="DS15" i="19"/>
  <c r="EF15" i="19"/>
  <c r="BT15" i="19"/>
  <c r="BU15" i="19"/>
  <c r="U15" i="19"/>
  <c r="CF15" i="19"/>
  <c r="AR15" i="19"/>
  <c r="CN15" i="19"/>
  <c r="BE15" i="19"/>
  <c r="AP15" i="19"/>
  <c r="BY15" i="19"/>
  <c r="CM15" i="19"/>
  <c r="CS15" i="19"/>
  <c r="S15" i="19"/>
  <c r="AW15" i="19"/>
  <c r="BL15" i="19"/>
  <c r="DA15" i="19"/>
  <c r="BF15" i="19"/>
  <c r="DX15" i="19"/>
  <c r="CO15" i="19"/>
  <c r="EH15" i="19"/>
  <c r="EB15" i="19"/>
  <c r="DB15" i="19"/>
  <c r="EP15" i="19"/>
  <c r="CE15" i="19"/>
  <c r="BB15" i="19"/>
  <c r="BG15" i="19"/>
  <c r="EG15" i="19"/>
  <c r="DP15" i="19"/>
  <c r="BH15" i="19"/>
  <c r="AC15" i="19"/>
  <c r="DU15" i="19"/>
  <c r="P15" i="19"/>
  <c r="CQ15" i="19"/>
  <c r="CZ15" i="19"/>
  <c r="EJ15" i="19"/>
  <c r="CV15" i="19"/>
  <c r="DI15" i="19"/>
  <c r="CR15" i="19"/>
  <c r="BP15" i="19"/>
  <c r="BQ15" i="19"/>
  <c r="BN15" i="19"/>
  <c r="DD15" i="19"/>
  <c r="CP15" i="19"/>
  <c r="V15" i="19"/>
  <c r="AJ15" i="19"/>
  <c r="CG15" i="19"/>
  <c r="N15" i="19"/>
  <c r="Q89" i="19"/>
  <c r="BR15" i="19"/>
  <c r="DH15" i="19"/>
  <c r="EQ15" i="19"/>
  <c r="EO15" i="19"/>
  <c r="DJ15" i="19"/>
  <c r="AT15" i="19"/>
  <c r="BM15" i="19"/>
  <c r="AZ15" i="19"/>
  <c r="DG15" i="19"/>
  <c r="R15" i="19"/>
  <c r="Q15" i="19"/>
  <c r="AV15" i="19"/>
  <c r="DC15" i="19"/>
  <c r="DD22" i="19" l="1"/>
  <c r="AX22" i="19"/>
  <c r="AO22" i="19"/>
  <c r="DG22" i="19"/>
  <c r="CP22" i="19"/>
  <c r="DU22" i="19"/>
  <c r="CO22" i="19"/>
  <c r="CN22" i="19"/>
  <c r="CC22" i="19"/>
  <c r="AI22" i="19"/>
  <c r="DO22" i="19"/>
  <c r="CY22" i="19"/>
  <c r="CB22" i="19"/>
  <c r="CD22" i="19"/>
  <c r="DR22" i="19"/>
  <c r="DP22" i="19"/>
  <c r="DK22" i="19"/>
  <c r="DE22" i="19"/>
  <c r="DX22" i="19"/>
  <c r="AF22" i="19"/>
  <c r="M22" i="19"/>
  <c r="BQ22" i="19"/>
  <c r="EG22" i="19"/>
  <c r="CW22" i="19"/>
  <c r="AE22" i="19"/>
  <c r="DV22" i="19"/>
  <c r="DT22" i="19"/>
  <c r="W22" i="19"/>
  <c r="BF22" i="19"/>
  <c r="BX22" i="19"/>
  <c r="AW22" i="19"/>
  <c r="O22" i="19"/>
  <c r="EE22" i="19"/>
  <c r="BC22" i="19"/>
  <c r="AC22" i="19"/>
  <c r="DM22" i="19"/>
  <c r="N22" i="19"/>
  <c r="CT22" i="19"/>
  <c r="EF22" i="19"/>
  <c r="EK22" i="19"/>
  <c r="DW22" i="19"/>
  <c r="BJ22" i="19"/>
  <c r="CL22" i="19"/>
  <c r="CA22" i="19"/>
  <c r="DJ22" i="19"/>
  <c r="EO22" i="19"/>
  <c r="CX22" i="19"/>
  <c r="BB22" i="19"/>
  <c r="L23" i="19"/>
  <c r="L24" i="19" s="1"/>
  <c r="M21" i="19" s="1"/>
  <c r="DL22" i="19"/>
  <c r="CH22" i="19"/>
  <c r="CU22" i="19"/>
  <c r="CJ22" i="19"/>
  <c r="AZ22" i="19"/>
  <c r="BM22" i="19"/>
  <c r="AL22" i="19"/>
  <c r="U22" i="19"/>
  <c r="BL22" i="19"/>
  <c r="BG22" i="19"/>
  <c r="EC22" i="19"/>
  <c r="CS22" i="19"/>
  <c r="V22" i="19"/>
  <c r="CM22" i="19"/>
  <c r="X22" i="19"/>
  <c r="AN22" i="19"/>
  <c r="EL22" i="19"/>
  <c r="ED22" i="19"/>
  <c r="AQ22" i="19"/>
  <c r="BV22" i="19"/>
  <c r="T22" i="19"/>
  <c r="BW22" i="19"/>
  <c r="BH22" i="19"/>
  <c r="AB22" i="19"/>
  <c r="CG22" i="19"/>
  <c r="AK22" i="19"/>
  <c r="DI22" i="19"/>
  <c r="EA22" i="19"/>
  <c r="CV22" i="19"/>
  <c r="EQ22" i="19"/>
  <c r="DB22" i="19"/>
  <c r="AD22" i="19"/>
  <c r="DQ22" i="19"/>
  <c r="DF22" i="19"/>
  <c r="AR22" i="19"/>
  <c r="BO22" i="19"/>
  <c r="DA22" i="19"/>
  <c r="BU22" i="19"/>
  <c r="CR22" i="19"/>
  <c r="AH22" i="19"/>
  <c r="S22" i="19"/>
  <c r="AJ22" i="19"/>
  <c r="BS22" i="19"/>
  <c r="EJ22" i="19"/>
  <c r="CQ22" i="19"/>
  <c r="BR22" i="19"/>
  <c r="AS22" i="19"/>
  <c r="BN22" i="19"/>
  <c r="CF22" i="19"/>
  <c r="AT22" i="19"/>
  <c r="BD22" i="19"/>
  <c r="BP22" i="19"/>
  <c r="CI22" i="19"/>
  <c r="BT22" i="19"/>
  <c r="DC22" i="19"/>
  <c r="DY22" i="19"/>
  <c r="AV22" i="19"/>
  <c r="CE22" i="19"/>
  <c r="DS22" i="19"/>
  <c r="EI22" i="19"/>
  <c r="EP22" i="19"/>
  <c r="Q22" i="19"/>
  <c r="CZ22" i="19"/>
  <c r="BY22" i="19"/>
  <c r="BA22" i="19"/>
  <c r="AM22" i="19"/>
  <c r="BI22" i="19"/>
  <c r="BZ22" i="19"/>
  <c r="R22" i="19"/>
  <c r="DH22" i="19"/>
  <c r="EB22" i="19"/>
  <c r="AP22" i="19"/>
  <c r="AU22" i="19"/>
  <c r="DN22" i="19"/>
  <c r="EM22" i="19"/>
  <c r="Z22" i="19"/>
  <c r="AG22" i="19"/>
  <c r="J15" i="19"/>
  <c r="P22" i="19"/>
  <c r="EH22" i="19"/>
  <c r="BE22" i="19"/>
  <c r="EN22" i="19"/>
  <c r="CK22" i="19"/>
  <c r="AY22" i="19"/>
  <c r="AA22" i="19"/>
  <c r="Y22" i="19"/>
  <c r="BK22" i="19"/>
  <c r="J22" i="19" l="1"/>
  <c r="I18" i="19"/>
  <c r="M23" i="19"/>
  <c r="M24" i="19" s="1"/>
  <c r="N21" i="19" s="1"/>
  <c r="N23" i="19" l="1"/>
  <c r="N24" i="19" s="1"/>
  <c r="O21" i="19" s="1"/>
  <c r="O23" i="19" l="1"/>
  <c r="O24" i="19" s="1"/>
  <c r="P21" i="19" s="1"/>
  <c r="P23" i="19" l="1"/>
  <c r="P24" i="19" s="1"/>
  <c r="Q21" i="19" s="1"/>
  <c r="Q23" i="19" l="1"/>
  <c r="Q24" i="19" s="1"/>
  <c r="R21" i="19" s="1"/>
  <c r="N68" i="19" s="1"/>
  <c r="C128" i="21" s="1"/>
  <c r="R23" i="19" l="1"/>
  <c r="R24" i="19" s="1"/>
  <c r="S21" i="19" s="1"/>
  <c r="S23" i="19" l="1"/>
  <c r="S24" i="19" s="1"/>
  <c r="T21" i="19" s="1"/>
  <c r="T23" i="19" l="1"/>
  <c r="T24" i="19" s="1"/>
  <c r="U21" i="19" s="1"/>
  <c r="U23" i="19" l="1"/>
  <c r="U24" i="19" s="1"/>
  <c r="V21" i="19" s="1"/>
  <c r="V23" i="19" l="1"/>
  <c r="V24" i="19" s="1"/>
  <c r="W21" i="19" s="1"/>
  <c r="W23" i="19" l="1"/>
  <c r="W24" i="19" s="1"/>
  <c r="X21" i="19" s="1"/>
  <c r="X23" i="19" l="1"/>
  <c r="X24" i="19" s="1"/>
  <c r="Y21" i="19" s="1"/>
  <c r="N69" i="19"/>
  <c r="C129" i="21" s="1"/>
  <c r="Y23" i="19" l="1"/>
  <c r="Y24" i="19" s="1"/>
  <c r="Z21" i="19" s="1"/>
  <c r="Z23" i="19" l="1"/>
  <c r="Z24" i="19" s="1"/>
  <c r="AA21" i="19" s="1"/>
  <c r="AA23" i="19" l="1"/>
  <c r="AA24" i="19" s="1"/>
  <c r="AB21" i="19" s="1"/>
  <c r="AB23" i="19" l="1"/>
  <c r="AB24" i="19" s="1"/>
  <c r="AC21" i="19" s="1"/>
  <c r="AC23" i="19" l="1"/>
  <c r="AC24" i="19" s="1"/>
  <c r="AD21" i="19" s="1"/>
  <c r="N70" i="19" s="1"/>
  <c r="C130" i="21" s="1"/>
  <c r="AD23" i="19" l="1"/>
  <c r="AD24" i="19" s="1"/>
  <c r="AE21" i="19" s="1"/>
  <c r="AE23" i="19" l="1"/>
  <c r="AE24" i="19" s="1"/>
  <c r="AF21" i="19" s="1"/>
  <c r="AF23" i="19" l="1"/>
  <c r="AF24" i="19" s="1"/>
  <c r="AG21" i="19" s="1"/>
  <c r="AG23" i="19" l="1"/>
  <c r="AG24" i="19" s="1"/>
  <c r="AH21" i="19" s="1"/>
  <c r="AH23" i="19" l="1"/>
  <c r="AH24" i="19" s="1"/>
  <c r="AI21" i="19" s="1"/>
  <c r="AI23" i="19" l="1"/>
  <c r="AI24" i="19" s="1"/>
  <c r="AJ21" i="19" s="1"/>
  <c r="AJ23" i="19" l="1"/>
  <c r="AJ24" i="19" s="1"/>
  <c r="AK21" i="19" s="1"/>
  <c r="N71" i="19"/>
  <c r="C131" i="21" s="1"/>
  <c r="AK23" i="19" l="1"/>
  <c r="AK24" i="19" s="1"/>
  <c r="AL21" i="19" s="1"/>
  <c r="AL23" i="19" l="1"/>
  <c r="AL24" i="19" s="1"/>
  <c r="AM21" i="19" s="1"/>
  <c r="AM23" i="19" l="1"/>
  <c r="AM24" i="19" s="1"/>
  <c r="AN21" i="19" s="1"/>
  <c r="AN23" i="19" l="1"/>
  <c r="AN24" i="19" s="1"/>
  <c r="AO21" i="19" s="1"/>
  <c r="AO23" i="19" l="1"/>
  <c r="AO24" i="19" s="1"/>
  <c r="AP21" i="19" s="1"/>
  <c r="AP23" i="19" l="1"/>
  <c r="AP24" i="19" s="1"/>
  <c r="AQ21" i="19" s="1"/>
  <c r="N72" i="19"/>
  <c r="C132" i="21" s="1"/>
  <c r="AQ23" i="19" l="1"/>
  <c r="AQ24" i="19" s="1"/>
  <c r="AR21" i="19" s="1"/>
  <c r="AR23" i="19" l="1"/>
  <c r="AR24" i="19" s="1"/>
  <c r="AS21" i="19" s="1"/>
  <c r="AS23" i="19" l="1"/>
  <c r="AS24" i="19" s="1"/>
  <c r="AT21" i="19" s="1"/>
  <c r="AT23" i="19" l="1"/>
  <c r="AT24" i="19" s="1"/>
  <c r="AU21" i="19" s="1"/>
  <c r="AU23" i="19" l="1"/>
  <c r="AU24" i="19" s="1"/>
  <c r="AV21" i="19" s="1"/>
  <c r="N73" i="19" s="1"/>
  <c r="C133" i="21" s="1"/>
  <c r="AV23" i="19" l="1"/>
  <c r="AV24" i="19" s="1"/>
  <c r="AW21" i="19" s="1"/>
  <c r="AW23" i="19" l="1"/>
  <c r="AW24" i="19" s="1"/>
  <c r="AX21" i="19" s="1"/>
  <c r="AX23" i="19" l="1"/>
  <c r="AX24" i="19" s="1"/>
  <c r="AY21" i="19" s="1"/>
  <c r="AY23" i="19" l="1"/>
  <c r="AY24" i="19" s="1"/>
  <c r="AZ21" i="19" s="1"/>
  <c r="AZ23" i="19" l="1"/>
  <c r="AZ24" i="19" s="1"/>
  <c r="BA21" i="19" s="1"/>
  <c r="BA23" i="19" l="1"/>
  <c r="BA24" i="19" s="1"/>
  <c r="BB21" i="19" s="1"/>
  <c r="N74" i="19" s="1"/>
  <c r="C134" i="21" s="1"/>
  <c r="BB23" i="19" l="1"/>
  <c r="BB24" i="19" s="1"/>
  <c r="BC21" i="19" s="1"/>
  <c r="BC23" i="19" l="1"/>
  <c r="BC24" i="19" s="1"/>
  <c r="BD21" i="19" s="1"/>
  <c r="BD23" i="19" l="1"/>
  <c r="BD24" i="19" s="1"/>
  <c r="BE21" i="19" s="1"/>
  <c r="BE23" i="19" l="1"/>
  <c r="BE24" i="19" s="1"/>
  <c r="BF21" i="19" s="1"/>
  <c r="BF23" i="19" l="1"/>
  <c r="BF24" i="19" s="1"/>
  <c r="BG21" i="19" s="1"/>
  <c r="BG23" i="19" l="1"/>
  <c r="BG24" i="19" s="1"/>
  <c r="BH21" i="19" s="1"/>
  <c r="BH23" i="19" l="1"/>
  <c r="BH24" i="19" s="1"/>
  <c r="BI21" i="19" s="1"/>
  <c r="N75" i="19"/>
  <c r="C135" i="21" s="1"/>
  <c r="BI23" i="19" l="1"/>
  <c r="BI24" i="19" s="1"/>
  <c r="BJ21" i="19" s="1"/>
  <c r="BJ23" i="19" l="1"/>
  <c r="BJ24" i="19" s="1"/>
  <c r="BK21" i="19" s="1"/>
  <c r="BK23" i="19" l="1"/>
  <c r="BK24" i="19" s="1"/>
  <c r="BL21" i="19" s="1"/>
  <c r="BL23" i="19" l="1"/>
  <c r="BL24" i="19" s="1"/>
  <c r="BM21" i="19" s="1"/>
  <c r="BM23" i="19" l="1"/>
  <c r="BM24" i="19" s="1"/>
  <c r="BN21" i="19" s="1"/>
  <c r="N76" i="19" s="1"/>
  <c r="C136" i="21" s="1"/>
  <c r="BN23" i="19" l="1"/>
  <c r="BN24" i="19" s="1"/>
  <c r="BO21" i="19" s="1"/>
  <c r="BO23" i="19" l="1"/>
  <c r="BO24" i="19" s="1"/>
  <c r="BP21" i="19" s="1"/>
  <c r="BP23" i="19" l="1"/>
  <c r="BP24" i="19" s="1"/>
  <c r="BQ21" i="19" s="1"/>
  <c r="BQ23" i="19" l="1"/>
  <c r="BQ24" i="19" s="1"/>
  <c r="BR21" i="19" s="1"/>
  <c r="BR23" i="19" l="1"/>
  <c r="BR24" i="19" s="1"/>
  <c r="BS21" i="19" s="1"/>
  <c r="BS23" i="19" l="1"/>
  <c r="BS24" i="19" s="1"/>
  <c r="BT21" i="19" s="1"/>
  <c r="BT23" i="19" l="1"/>
  <c r="BT24" i="19" s="1"/>
  <c r="BU21" i="19" s="1"/>
  <c r="N77" i="19"/>
  <c r="C137" i="21" s="1"/>
  <c r="BU23" i="19" l="1"/>
  <c r="BU24" i="19" s="1"/>
  <c r="BV21" i="19" s="1"/>
  <c r="BV23" i="19" l="1"/>
  <c r="BV24" i="19" s="1"/>
  <c r="BW21" i="19" s="1"/>
  <c r="BW23" i="19" l="1"/>
  <c r="BW24" i="19" s="1"/>
  <c r="BX21" i="19" s="1"/>
  <c r="BX23" i="19" l="1"/>
  <c r="BX24" i="19" s="1"/>
  <c r="BY21" i="19" s="1"/>
  <c r="BY23" i="19" l="1"/>
  <c r="BY24" i="19" s="1"/>
  <c r="BZ21" i="19" s="1"/>
  <c r="BZ23" i="19" l="1"/>
  <c r="BZ24" i="19" s="1"/>
  <c r="CA21" i="19" s="1"/>
  <c r="N78" i="19"/>
  <c r="C138" i="21" s="1"/>
  <c r="CA23" i="19" l="1"/>
  <c r="CA24" i="19" s="1"/>
  <c r="CB21" i="19" s="1"/>
  <c r="CB23" i="19" l="1"/>
  <c r="CB24" i="19" s="1"/>
  <c r="CC21" i="19" s="1"/>
  <c r="CC23" i="19" l="1"/>
  <c r="CC24" i="19" s="1"/>
  <c r="CD21" i="19" s="1"/>
  <c r="CD23" i="19" l="1"/>
  <c r="CD24" i="19" s="1"/>
  <c r="CE21" i="19" s="1"/>
  <c r="CE23" i="19" l="1"/>
  <c r="CE24" i="19" s="1"/>
  <c r="CF21" i="19" s="1"/>
  <c r="N79" i="19" s="1"/>
  <c r="C139" i="21" s="1"/>
  <c r="CF23" i="19" l="1"/>
  <c r="CF24" i="19" s="1"/>
  <c r="CG21" i="19" s="1"/>
  <c r="CG23" i="19" l="1"/>
  <c r="CG24" i="19" s="1"/>
  <c r="CH21" i="19" s="1"/>
  <c r="CH23" i="19" l="1"/>
  <c r="CH24" i="19" s="1"/>
  <c r="CI21" i="19" s="1"/>
  <c r="CI23" i="19" l="1"/>
  <c r="CI24" i="19" s="1"/>
  <c r="CJ21" i="19" s="1"/>
  <c r="CJ23" i="19" l="1"/>
  <c r="CJ24" i="19" s="1"/>
  <c r="CK21" i="19" s="1"/>
  <c r="CK23" i="19" l="1"/>
  <c r="CK24" i="19" s="1"/>
  <c r="CL21" i="19" s="1"/>
  <c r="N80" i="19" s="1"/>
  <c r="C140" i="21" s="1"/>
  <c r="CL23" i="19" l="1"/>
  <c r="CL24" i="19" s="1"/>
  <c r="CM21" i="19" s="1"/>
  <c r="CM23" i="19" l="1"/>
  <c r="CM24" i="19" s="1"/>
  <c r="CN21" i="19" s="1"/>
  <c r="CN23" i="19" l="1"/>
  <c r="CN24" i="19" s="1"/>
  <c r="CO21" i="19" s="1"/>
  <c r="CO23" i="19" l="1"/>
  <c r="CO24" i="19" s="1"/>
  <c r="CP21" i="19" s="1"/>
  <c r="CP23" i="19" l="1"/>
  <c r="CP24" i="19" s="1"/>
  <c r="CQ21" i="19" s="1"/>
  <c r="CQ23" i="19" l="1"/>
  <c r="CQ24" i="19" s="1"/>
  <c r="CR21" i="19" s="1"/>
  <c r="CR23" i="19" l="1"/>
  <c r="CR24" i="19" s="1"/>
  <c r="CS21" i="19" s="1"/>
  <c r="N81" i="19"/>
  <c r="C141" i="21" s="1"/>
  <c r="CS23" i="19" l="1"/>
  <c r="CS24" i="19" s="1"/>
  <c r="CT21" i="19" s="1"/>
  <c r="CT23" i="19" l="1"/>
  <c r="CT24" i="19" s="1"/>
  <c r="CU21" i="19" s="1"/>
  <c r="CU23" i="19" l="1"/>
  <c r="CU24" i="19" s="1"/>
  <c r="CV21" i="19" s="1"/>
  <c r="CV23" i="19" l="1"/>
  <c r="CV24" i="19" s="1"/>
  <c r="CW21" i="19" s="1"/>
  <c r="CW23" i="19" l="1"/>
  <c r="CW24" i="19" s="1"/>
  <c r="CX21" i="19" s="1"/>
  <c r="N82" i="19" s="1"/>
  <c r="C142" i="21" s="1"/>
  <c r="CX23" i="19" l="1"/>
  <c r="CX24" i="19" s="1"/>
  <c r="CY21" i="19" s="1"/>
  <c r="CY23" i="19" l="1"/>
  <c r="CY24" i="19" s="1"/>
  <c r="CZ21" i="19" s="1"/>
  <c r="CZ23" i="19" l="1"/>
  <c r="CZ24" i="19" s="1"/>
  <c r="DA21" i="19" s="1"/>
  <c r="DA23" i="19" l="1"/>
  <c r="DA24" i="19" s="1"/>
  <c r="DB21" i="19" s="1"/>
  <c r="DB23" i="19" l="1"/>
  <c r="DB24" i="19" s="1"/>
  <c r="DC21" i="19" s="1"/>
  <c r="DC23" i="19" l="1"/>
  <c r="DC24" i="19" s="1"/>
  <c r="DD21" i="19" s="1"/>
  <c r="DD23" i="19" l="1"/>
  <c r="DD24" i="19" s="1"/>
  <c r="DE21" i="19" s="1"/>
  <c r="N83" i="19"/>
  <c r="C143" i="21" s="1"/>
  <c r="DE23" i="19" l="1"/>
  <c r="DE24" i="19" s="1"/>
  <c r="DF21" i="19" s="1"/>
  <c r="DF23" i="19" l="1"/>
  <c r="DF24" i="19" s="1"/>
  <c r="DG21" i="19" s="1"/>
  <c r="DG23" i="19" l="1"/>
  <c r="DG24" i="19" s="1"/>
  <c r="DH21" i="19" s="1"/>
  <c r="DH23" i="19" l="1"/>
  <c r="DH24" i="19" s="1"/>
  <c r="DI21" i="19" s="1"/>
  <c r="DI23" i="19" l="1"/>
  <c r="DI24" i="19" s="1"/>
  <c r="DJ21" i="19" s="1"/>
  <c r="DJ23" i="19" l="1"/>
  <c r="DJ24" i="19" s="1"/>
  <c r="DK21" i="19" s="1"/>
  <c r="N84" i="19"/>
  <c r="C144" i="21" s="1"/>
  <c r="DK23" i="19" l="1"/>
  <c r="DK24" i="19" s="1"/>
  <c r="DL21" i="19" s="1"/>
  <c r="DL23" i="19" l="1"/>
  <c r="DL24" i="19" s="1"/>
  <c r="DM21" i="19" s="1"/>
  <c r="DM23" i="19" l="1"/>
  <c r="DM24" i="19" s="1"/>
  <c r="DN21" i="19" s="1"/>
  <c r="DN23" i="19" l="1"/>
  <c r="DN24" i="19" s="1"/>
  <c r="DO21" i="19" s="1"/>
  <c r="DO23" i="19" l="1"/>
  <c r="DO24" i="19" s="1"/>
  <c r="DP21" i="19" s="1"/>
  <c r="N85" i="19" s="1"/>
  <c r="C145" i="21" s="1"/>
  <c r="DP23" i="19" l="1"/>
  <c r="DP24" i="19" s="1"/>
  <c r="DQ21" i="19" s="1"/>
  <c r="DQ23" i="19" l="1"/>
  <c r="DQ24" i="19" s="1"/>
  <c r="DR21" i="19" s="1"/>
  <c r="DR23" i="19" l="1"/>
  <c r="DR24" i="19" s="1"/>
  <c r="DS21" i="19" s="1"/>
  <c r="DS23" i="19" l="1"/>
  <c r="DS24" i="19" s="1"/>
  <c r="DT21" i="19" s="1"/>
  <c r="DT23" i="19" l="1"/>
  <c r="DT24" i="19" s="1"/>
  <c r="DU21" i="19" s="1"/>
  <c r="DU23" i="19" l="1"/>
  <c r="DU24" i="19" s="1"/>
  <c r="DV21" i="19" s="1"/>
  <c r="DV23" i="19" l="1"/>
  <c r="DV24" i="19" s="1"/>
  <c r="DW21" i="19" s="1"/>
  <c r="N86" i="19"/>
  <c r="C146" i="21" s="1"/>
  <c r="DW23" i="19" l="1"/>
  <c r="DW24" i="19" s="1"/>
  <c r="DX21" i="19" s="1"/>
  <c r="DX23" i="19" l="1"/>
  <c r="DX24" i="19" s="1"/>
  <c r="DY21" i="19" s="1"/>
  <c r="DY23" i="19" l="1"/>
  <c r="DY24" i="19" s="1"/>
  <c r="DZ21" i="19" s="1"/>
  <c r="DZ23" i="19" l="1"/>
  <c r="DZ24" i="19" s="1"/>
  <c r="EA21" i="19" s="1"/>
  <c r="EA23" i="19" l="1"/>
  <c r="EA24" i="19" s="1"/>
  <c r="EB21" i="19" s="1"/>
  <c r="N87" i="19" s="1"/>
  <c r="C147" i="21" s="1"/>
  <c r="EB23" i="19" l="1"/>
  <c r="EB24" i="19" s="1"/>
  <c r="EC21" i="19" s="1"/>
  <c r="EC23" i="19" l="1"/>
  <c r="EC24" i="19" s="1"/>
  <c r="ED21" i="19" s="1"/>
  <c r="ED23" i="19" l="1"/>
  <c r="ED24" i="19" s="1"/>
  <c r="EE21" i="19" s="1"/>
  <c r="EE23" i="19" l="1"/>
  <c r="EE24" i="19" s="1"/>
  <c r="EF21" i="19" s="1"/>
  <c r="EF23" i="19" l="1"/>
  <c r="EF24" i="19" s="1"/>
  <c r="EG21" i="19" s="1"/>
  <c r="EG23" i="19" l="1"/>
  <c r="EG24" i="19" s="1"/>
  <c r="EH21" i="19" s="1"/>
  <c r="EH23" i="19" l="1"/>
  <c r="EH24" i="19" s="1"/>
  <c r="EI21" i="19" s="1"/>
  <c r="EI23" i="19" l="1"/>
  <c r="EI24" i="19" s="1"/>
  <c r="EJ21" i="19" s="1"/>
  <c r="EJ23" i="19" l="1"/>
  <c r="EJ24" i="19" s="1"/>
  <c r="EK21" i="19" s="1"/>
  <c r="EK23" i="19" l="1"/>
  <c r="EK24" i="19" s="1"/>
  <c r="EL21" i="19" s="1"/>
  <c r="EL23" i="19" l="1"/>
  <c r="EL24" i="19" s="1"/>
  <c r="EM21" i="19" s="1"/>
  <c r="EM23" i="19" l="1"/>
  <c r="EM24" i="19" s="1"/>
  <c r="EN21" i="19" s="1"/>
  <c r="EN23" i="19" l="1"/>
  <c r="EN24" i="19" s="1"/>
  <c r="EO21" i="19" s="1"/>
  <c r="EO23" i="19" l="1"/>
  <c r="EO24" i="19" s="1"/>
  <c r="EP21" i="19" s="1"/>
  <c r="EP23" i="19" l="1"/>
  <c r="EP24" i="19" s="1"/>
  <c r="EQ21" i="19" s="1"/>
  <c r="EQ23" i="19" l="1"/>
  <c r="J23" i="19" s="1"/>
  <c r="EQ24" i="19" l="1"/>
  <c r="J28" i="2"/>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S46" i="21" l="1"/>
  <c r="AA49" i="21"/>
  <c r="AA45" i="21" s="1"/>
  <c r="I36" i="2"/>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4" i="1"/>
  <c r="Q62" i="21"/>
  <c r="W50" i="21" s="1"/>
  <c r="AC47" i="21" s="1"/>
  <c r="AC49" i="21" s="1"/>
  <c r="Q28" i="1"/>
  <c r="U13" i="1"/>
  <c r="M216" i="11"/>
  <c r="K21" i="15"/>
  <c r="D644" i="32" s="1"/>
  <c r="K18" i="15"/>
  <c r="M159" i="11"/>
  <c r="M221" i="11"/>
  <c r="K22" i="15"/>
  <c r="I77" i="11"/>
  <c r="Q44" i="1"/>
  <c r="K36" i="1"/>
  <c r="T21" i="1"/>
  <c r="K37" i="1"/>
  <c r="K94" i="1"/>
  <c r="J100" i="21" s="1"/>
  <c r="O145" i="5"/>
  <c r="O147" i="5" s="1"/>
  <c r="R43" i="1"/>
  <c r="W61" i="21" s="1"/>
  <c r="K35" i="1"/>
  <c r="E46" i="2"/>
  <c r="G46" i="2" s="1"/>
  <c r="R44" i="1"/>
  <c r="W62" i="21" s="1"/>
  <c r="P29" i="1"/>
  <c r="R42" i="1"/>
  <c r="W60" i="21" s="1"/>
  <c r="R41" i="1"/>
  <c r="W59" i="21" s="1"/>
  <c r="H144" i="5"/>
  <c r="D951" i="32" l="1"/>
  <c r="H980" i="32"/>
  <c r="L966" i="32"/>
  <c r="J966" i="32"/>
  <c r="J962" i="32" s="1"/>
  <c r="M966" i="32"/>
  <c r="M962" i="32" s="1"/>
  <c r="K966" i="32"/>
  <c r="G951" i="32"/>
  <c r="G47" i="2"/>
  <c r="R94" i="1"/>
  <c r="O92" i="1"/>
  <c r="N95" i="1"/>
  <c r="O90" i="1"/>
  <c r="O91" i="1"/>
  <c r="O93" i="1"/>
  <c r="K13" i="18"/>
  <c r="D642" i="32"/>
  <c r="K17" i="18"/>
  <c r="D645" i="32"/>
  <c r="O94"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45" i="5"/>
  <c r="N147" i="5" s="1"/>
  <c r="P147" i="5" s="1"/>
  <c r="H138" i="5" s="1"/>
  <c r="M161" i="11"/>
  <c r="M162" i="11" s="1"/>
  <c r="D961" i="32" l="1"/>
  <c r="D962" i="32"/>
  <c r="K980" i="32"/>
  <c r="L980" i="32"/>
  <c r="M980" i="32"/>
  <c r="M976" i="32" s="1"/>
  <c r="J980" i="32"/>
  <c r="J976" i="32" s="1"/>
  <c r="G961" i="32"/>
  <c r="G962" i="32"/>
  <c r="N23" i="1"/>
  <c r="S94" i="1"/>
  <c r="I265" i="11" s="1"/>
  <c r="U90" i="1"/>
  <c r="U91" i="1"/>
  <c r="U94" i="1"/>
  <c r="O95"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36" i="19"/>
  <c r="I37" i="19" s="1"/>
  <c r="J149" i="21" s="1"/>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T94" i="1" l="1"/>
  <c r="U95"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37" i="19"/>
  <c r="P106" i="26"/>
  <c r="H194" i="32" s="1"/>
  <c r="S106" i="17"/>
  <c r="AW37" i="19"/>
  <c r="AB106" i="17"/>
  <c r="CY37" i="19"/>
  <c r="L112" i="5"/>
  <c r="EH37" i="19"/>
  <c r="DY37" i="19"/>
  <c r="DB37" i="19"/>
  <c r="M76" i="11"/>
  <c r="A42" i="1"/>
  <c r="BZ37" i="19"/>
  <c r="DR37" i="19"/>
  <c r="CX37" i="19"/>
  <c r="AA37" i="19"/>
  <c r="CL37" i="19"/>
  <c r="BQ37" i="19"/>
  <c r="EG37" i="19"/>
  <c r="AY37" i="19"/>
  <c r="BM37" i="19"/>
  <c r="DN37" i="19"/>
  <c r="X106" i="17"/>
  <c r="CA37" i="19"/>
  <c r="DJ37" i="19"/>
  <c r="AP37" i="19"/>
  <c r="BE37" i="19"/>
  <c r="O106" i="26"/>
  <c r="G194" i="32" s="1"/>
  <c r="Q106" i="17"/>
  <c r="AK37" i="19"/>
  <c r="CD37" i="19"/>
  <c r="DC37" i="19"/>
  <c r="J111" i="5"/>
  <c r="L106" i="26"/>
  <c r="D194" i="32" s="1"/>
  <c r="L106" i="17"/>
  <c r="D755" i="32" s="1"/>
  <c r="L37" i="19"/>
  <c r="AH106" i="17"/>
  <c r="EI37" i="19"/>
  <c r="CV37" i="19"/>
  <c r="AO37" i="19"/>
  <c r="BT37" i="19"/>
  <c r="AH37" i="19"/>
  <c r="Q106" i="26"/>
  <c r="I194" i="32" s="1"/>
  <c r="U106" i="17"/>
  <c r="BI37" i="19"/>
  <c r="DX37" i="19"/>
  <c r="AV37" i="19"/>
  <c r="AT37" i="19"/>
  <c r="DZ37" i="19"/>
  <c r="W37" i="19"/>
  <c r="CQ37" i="19"/>
  <c r="AF106" i="17"/>
  <c r="DW37" i="19"/>
  <c r="N221" i="11"/>
  <c r="L22" i="15"/>
  <c r="N63" i="6"/>
  <c r="AC106" i="17"/>
  <c r="U106" i="26"/>
  <c r="M194" i="32" s="1"/>
  <c r="DE37" i="19"/>
  <c r="BF37" i="19"/>
  <c r="BS37" i="19"/>
  <c r="CP37" i="19"/>
  <c r="DG37" i="19"/>
  <c r="W106" i="17"/>
  <c r="R106" i="26"/>
  <c r="J194" i="32" s="1"/>
  <c r="BU37" i="19"/>
  <c r="AB37" i="19"/>
  <c r="U37" i="19"/>
  <c r="BY37" i="19"/>
  <c r="AS37" i="19"/>
  <c r="T106" i="17"/>
  <c r="BC37" i="19"/>
  <c r="CH37" i="19"/>
  <c r="DU37" i="19"/>
  <c r="O37" i="19"/>
  <c r="AD106" i="17"/>
  <c r="DK37" i="19"/>
  <c r="CF37" i="19"/>
  <c r="ED37" i="19"/>
  <c r="R106" i="17"/>
  <c r="AQ37" i="19"/>
  <c r="DM37" i="19"/>
  <c r="CU37" i="19"/>
  <c r="DL37" i="19"/>
  <c r="BD37" i="19"/>
  <c r="DT37" i="19"/>
  <c r="EA37" i="19"/>
  <c r="N106" i="17"/>
  <c r="F755" i="32" s="1"/>
  <c r="S37" i="19"/>
  <c r="EL37" i="19"/>
  <c r="Y106" i="17"/>
  <c r="S106" i="26"/>
  <c r="K194" i="32" s="1"/>
  <c r="CG37" i="19"/>
  <c r="BR37" i="19"/>
  <c r="EQ37" i="19"/>
  <c r="AU37" i="19"/>
  <c r="CT37" i="19"/>
  <c r="CK37" i="19"/>
  <c r="DS37" i="19"/>
  <c r="AG37" i="19"/>
  <c r="EK37" i="19"/>
  <c r="DA37" i="19"/>
  <c r="DO37" i="19"/>
  <c r="BB37" i="19"/>
  <c r="U23" i="1"/>
  <c r="BL37" i="19"/>
  <c r="EE37" i="19"/>
  <c r="EM37" i="19"/>
  <c r="CJ37" i="19"/>
  <c r="DF37" i="19"/>
  <c r="CO37" i="19"/>
  <c r="V106" i="26"/>
  <c r="N194" i="32" s="1"/>
  <c r="AE106" i="17"/>
  <c r="DQ37" i="19"/>
  <c r="BP37" i="19"/>
  <c r="N161" i="11"/>
  <c r="EB37" i="19"/>
  <c r="V37" i="19"/>
  <c r="AR37" i="19"/>
  <c r="AA106" i="17"/>
  <c r="T106" i="26"/>
  <c r="L194" i="32" s="1"/>
  <c r="CS37" i="19"/>
  <c r="DV37" i="19"/>
  <c r="EP37" i="19"/>
  <c r="Y89" i="19"/>
  <c r="BK37" i="19"/>
  <c r="CR37" i="19"/>
  <c r="CC37" i="19"/>
  <c r="Q37" i="19"/>
  <c r="BJ37" i="19"/>
  <c r="P37" i="19"/>
  <c r="BH37" i="19"/>
  <c r="AL37" i="19"/>
  <c r="AI37" i="19"/>
  <c r="CI37" i="19"/>
  <c r="BW37" i="19"/>
  <c r="CW37" i="19"/>
  <c r="DH37" i="19"/>
  <c r="N37" i="19"/>
  <c r="N106" i="26"/>
  <c r="F194" i="32" s="1"/>
  <c r="O106" i="17"/>
  <c r="G755" i="32" s="1"/>
  <c r="Y37" i="19"/>
  <c r="AD37" i="19"/>
  <c r="BG37" i="19"/>
  <c r="BN37" i="19"/>
  <c r="EF37" i="19"/>
  <c r="DD37" i="19"/>
  <c r="BX37" i="19"/>
  <c r="R37" i="19"/>
  <c r="AF37" i="19"/>
  <c r="CE37" i="19"/>
  <c r="AX37" i="19"/>
  <c r="V106" i="17"/>
  <c r="BO37" i="19"/>
  <c r="AM37" i="19"/>
  <c r="AG106" i="17"/>
  <c r="W106" i="26"/>
  <c r="EC37" i="19"/>
  <c r="Z106" i="17"/>
  <c r="CM37" i="19"/>
  <c r="CN37" i="19"/>
  <c r="EJ37" i="19"/>
  <c r="T37" i="19"/>
  <c r="M106" i="17"/>
  <c r="E755" i="32" s="1"/>
  <c r="M106" i="26"/>
  <c r="E194" i="32" s="1"/>
  <c r="M37" i="19"/>
  <c r="EN37" i="19"/>
  <c r="CZ37" i="19"/>
  <c r="AC37" i="19"/>
  <c r="AI106" i="17"/>
  <c r="X106" i="26"/>
  <c r="EO37" i="19"/>
  <c r="AN37" i="19"/>
  <c r="AZ37" i="19"/>
  <c r="X37" i="19"/>
  <c r="CB37" i="19"/>
  <c r="DI37" i="19"/>
  <c r="BV37" i="19"/>
  <c r="DP37" i="19"/>
  <c r="AJ37" i="19"/>
  <c r="BA37" i="19"/>
  <c r="Z37" i="19"/>
  <c r="N218" i="11"/>
  <c r="L270" i="11" l="1"/>
  <c r="J265" i="11"/>
  <c r="Q82" i="1"/>
  <c r="C93" i="32"/>
  <c r="N624" i="32"/>
  <c r="C624" i="32"/>
  <c r="C755" i="32"/>
  <c r="C194" i="32"/>
  <c r="O84" i="1"/>
  <c r="R84" i="1" s="1"/>
  <c r="R83" i="1"/>
  <c r="L20" i="15"/>
  <c r="M264" i="11"/>
  <c r="EG44" i="19"/>
  <c r="AW44" i="19"/>
  <c r="AS44" i="19"/>
  <c r="Z44" i="19"/>
  <c r="M44" i="19"/>
  <c r="AX44" i="19"/>
  <c r="AI44" i="19"/>
  <c r="ED44" i="19"/>
  <c r="L271" i="11"/>
  <c r="L272" i="11" s="1"/>
  <c r="J270" i="11"/>
  <c r="BV44" i="19"/>
  <c r="EF44" i="19"/>
  <c r="N44" i="19"/>
  <c r="AL44" i="19"/>
  <c r="CC44" i="19"/>
  <c r="CS44" i="19"/>
  <c r="DG44" i="19"/>
  <c r="DJ44" i="19"/>
  <c r="DR44" i="19"/>
  <c r="EL44" i="19"/>
  <c r="N223" i="11"/>
  <c r="N224" i="11" s="1"/>
  <c r="N227" i="11"/>
  <c r="N228" i="11" s="1"/>
  <c r="N229" i="11" s="1"/>
  <c r="EC44" i="19"/>
  <c r="CE44" i="19"/>
  <c r="CR44" i="19"/>
  <c r="EB44" i="19"/>
  <c r="CO44" i="19"/>
  <c r="CP44" i="19"/>
  <c r="DE44" i="19"/>
  <c r="DZ44" i="19"/>
  <c r="AK44" i="19"/>
  <c r="BZ44" i="19"/>
  <c r="DV44" i="19"/>
  <c r="BI44" i="19"/>
  <c r="EI44" i="19"/>
  <c r="EO44" i="19"/>
  <c r="DI44" i="19"/>
  <c r="AF44" i="19"/>
  <c r="BN44" i="19"/>
  <c r="BH44" i="19"/>
  <c r="DF44" i="19"/>
  <c r="AG44" i="19"/>
  <c r="AU44" i="19"/>
  <c r="S44" i="19"/>
  <c r="CU44" i="19"/>
  <c r="DU44" i="19"/>
  <c r="BY44" i="19"/>
  <c r="J37" i="19"/>
  <c r="L44" i="19"/>
  <c r="CA44" i="19"/>
  <c r="L107" i="26"/>
  <c r="L107" i="17"/>
  <c r="L38" i="19"/>
  <c r="V44" i="19"/>
  <c r="U44" i="19"/>
  <c r="DW44" i="19"/>
  <c r="AT44" i="19"/>
  <c r="AE44" i="19"/>
  <c r="CT44" i="19"/>
  <c r="BB44" i="19"/>
  <c r="EQ44" i="19"/>
  <c r="AM44" i="19"/>
  <c r="R44" i="19"/>
  <c r="BG44" i="19"/>
  <c r="CW44" i="19"/>
  <c r="P44" i="19"/>
  <c r="AH44" i="19"/>
  <c r="J106" i="17"/>
  <c r="BQ44" i="19"/>
  <c r="M78" i="11"/>
  <c r="M79" i="11" s="1"/>
  <c r="M80" i="11"/>
  <c r="EK44" i="19"/>
  <c r="BL44" i="19"/>
  <c r="DH44" i="19"/>
  <c r="BK44" i="19"/>
  <c r="BA44" i="19"/>
  <c r="CB44" i="19"/>
  <c r="AC44" i="19"/>
  <c r="T44" i="19"/>
  <c r="CJ44" i="19"/>
  <c r="DS44" i="19"/>
  <c r="DM44" i="19"/>
  <c r="CH44" i="19"/>
  <c r="EJ44" i="19"/>
  <c r="N162" i="11"/>
  <c r="DO44" i="19"/>
  <c r="CK44" i="19"/>
  <c r="EA44" i="19"/>
  <c r="CF44" i="19"/>
  <c r="BC44" i="19"/>
  <c r="AB44" i="19"/>
  <c r="CQ44" i="19"/>
  <c r="AV44" i="19"/>
  <c r="J106" i="26"/>
  <c r="BE44" i="19"/>
  <c r="DN44" i="19"/>
  <c r="CL44" i="19"/>
  <c r="DB44" i="19"/>
  <c r="BP44" i="19"/>
  <c r="BR44" i="19"/>
  <c r="AQ44" i="19"/>
  <c r="BT44" i="19"/>
  <c r="BM44" i="19"/>
  <c r="EH44" i="19"/>
  <c r="AN44" i="19"/>
  <c r="DD44" i="19"/>
  <c r="DL44" i="19"/>
  <c r="CZ44" i="19"/>
  <c r="AD44" i="19"/>
  <c r="BW44" i="19"/>
  <c r="AJ44" i="19"/>
  <c r="X44" i="19"/>
  <c r="BO44" i="19"/>
  <c r="BJ44" i="19"/>
  <c r="EM44" i="19"/>
  <c r="DA44" i="19"/>
  <c r="DT44" i="19"/>
  <c r="DK44" i="19"/>
  <c r="BU44" i="19"/>
  <c r="BS44" i="19"/>
  <c r="DC44" i="19"/>
  <c r="BF44" i="19"/>
  <c r="W44" i="19"/>
  <c r="AO44" i="19"/>
  <c r="AY44" i="19"/>
  <c r="AA44" i="19"/>
  <c r="DY44" i="19"/>
  <c r="CY44" i="19"/>
  <c r="CN44" i="19"/>
  <c r="BX44" i="19"/>
  <c r="CI44" i="19"/>
  <c r="EP44" i="19"/>
  <c r="AR44" i="19"/>
  <c r="EE44" i="19"/>
  <c r="CG44" i="19"/>
  <c r="N219" i="11"/>
  <c r="DP44" i="19"/>
  <c r="AZ44" i="19"/>
  <c r="EN44" i="19"/>
  <c r="CM44" i="19"/>
  <c r="Y44" i="19"/>
  <c r="Q44" i="19"/>
  <c r="DQ44" i="19"/>
  <c r="BD44" i="19"/>
  <c r="O44" i="19"/>
  <c r="DX44" i="19"/>
  <c r="CV44" i="19"/>
  <c r="CD44" i="19"/>
  <c r="AP44" i="19"/>
  <c r="CX44" i="19"/>
  <c r="R34" i="21" l="1"/>
  <c r="U34" i="21" s="1"/>
  <c r="G38" i="6"/>
  <c r="P38" i="6" s="1"/>
  <c r="G32" i="16"/>
  <c r="Q83" i="1"/>
  <c r="R35" i="21" s="1"/>
  <c r="C94" i="32"/>
  <c r="Q84" i="1"/>
  <c r="R36" i="21" s="1"/>
  <c r="C95" i="32"/>
  <c r="O624" i="32"/>
  <c r="BI38" i="6"/>
  <c r="BQ38" i="6"/>
  <c r="BG38" i="6"/>
  <c r="AZ38" i="6"/>
  <c r="N76" i="11"/>
  <c r="O221" i="11"/>
  <c r="M22" i="15"/>
  <c r="M81" i="11"/>
  <c r="M90" i="11"/>
  <c r="O216" i="11"/>
  <c r="M21" i="15"/>
  <c r="M18" i="15"/>
  <c r="O159" i="11"/>
  <c r="M112" i="5"/>
  <c r="O26" i="6"/>
  <c r="L45" i="19"/>
  <c r="L46" i="19" s="1"/>
  <c r="M43" i="19" s="1"/>
  <c r="J44" i="19"/>
  <c r="M269" i="11"/>
  <c r="M266" i="11"/>
  <c r="M23" i="15"/>
  <c r="O226" i="11"/>
  <c r="BC38" i="6" l="1"/>
  <c r="DO38" i="6"/>
  <c r="DX38" i="6"/>
  <c r="CK38" i="6"/>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CW38" i="6"/>
  <c r="CV200" i="11" s="1"/>
  <c r="AL38" i="6"/>
  <c r="AK200" i="11" s="1"/>
  <c r="DD38" i="6"/>
  <c r="DC200" i="11" s="1"/>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AY200" i="11"/>
  <c r="O200" i="11"/>
  <c r="DN200" i="11"/>
  <c r="BF200" i="11"/>
  <c r="CJ200" i="11"/>
  <c r="BP200" i="11"/>
  <c r="BH200" i="11"/>
  <c r="DW200" i="11"/>
  <c r="AV200" i="11"/>
  <c r="O161" i="11"/>
  <c r="O162" i="11" s="1"/>
  <c r="M38" i="19"/>
  <c r="M267" i="11"/>
  <c r="M20" i="15"/>
  <c r="O218" i="11"/>
  <c r="O219" i="11" s="1"/>
  <c r="M271" i="11"/>
  <c r="M272" i="11" s="1"/>
  <c r="O227" i="11"/>
  <c r="O223" i="11"/>
  <c r="O224" i="11" s="1"/>
  <c r="O63" i="6"/>
  <c r="N78" i="11"/>
  <c r="N79" i="11" s="1"/>
  <c r="N80" i="11"/>
  <c r="M45" i="19"/>
  <c r="M46" i="19" s="1"/>
  <c r="N43" i="19" s="1"/>
  <c r="AH39" i="6" l="1"/>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45" i="19"/>
  <c r="N112" i="5"/>
  <c r="N269" i="11"/>
  <c r="P216" i="11"/>
  <c r="N21" i="15"/>
  <c r="E644" i="32" s="1"/>
  <c r="L20" i="30" l="1"/>
  <c r="AB205" i="11"/>
  <c r="K20" i="30"/>
  <c r="I20" i="30"/>
  <c r="M205" i="11"/>
  <c r="F20" i="30"/>
  <c r="J20" i="30"/>
  <c r="G20" i="30"/>
  <c r="M20" i="30"/>
  <c r="S205" i="11"/>
  <c r="H20" i="30"/>
  <c r="V33" i="16"/>
  <c r="M702" i="32" s="1"/>
  <c r="H571" i="32"/>
  <c r="D19" i="35"/>
  <c r="M33" i="16"/>
  <c r="BI205" i="11"/>
  <c r="L205" i="1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2" i="16" s="1"/>
  <c r="K83"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D702" i="32"/>
  <c r="L206" i="11"/>
  <c r="P226" i="11"/>
  <c r="N23" i="15"/>
  <c r="O80" i="11"/>
  <c r="O78" i="11"/>
  <c r="P218" i="11"/>
  <c r="P219" i="11" s="1"/>
  <c r="N38" i="19"/>
  <c r="N271" i="11"/>
  <c r="N272" i="11" s="1"/>
  <c r="N46" i="19"/>
  <c r="O43" i="19" s="1"/>
  <c r="P223" i="11"/>
  <c r="P224" i="11" s="1"/>
  <c r="P227" i="11"/>
  <c r="N266" i="11"/>
  <c r="N267" i="11" s="1"/>
  <c r="P161" i="11"/>
  <c r="P162" i="11" s="1"/>
  <c r="P63" i="6"/>
  <c r="H29" i="35" l="1"/>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45" i="19"/>
  <c r="O46" i="19" s="1"/>
  <c r="P43" i="19" s="1"/>
  <c r="O22" i="15"/>
  <c r="Q221" i="11"/>
  <c r="G908" i="32" l="1"/>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45" i="19"/>
  <c r="P46" i="19" s="1"/>
  <c r="Q43" i="19" s="1"/>
  <c r="O38" i="19"/>
  <c r="O20" i="15"/>
  <c r="Q218" i="11"/>
  <c r="Q219" i="11" s="1"/>
  <c r="Q63" i="6"/>
  <c r="O266" i="11"/>
  <c r="O267" i="11" s="1"/>
  <c r="Q227" i="11"/>
  <c r="Q223" i="11"/>
  <c r="Q224" i="11" s="1"/>
  <c r="O271" i="11"/>
  <c r="O272" i="11" s="1"/>
  <c r="Q161" i="11"/>
  <c r="Q162" i="11" s="1"/>
  <c r="C138" i="32" l="1"/>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45" i="19"/>
  <c r="Q46" i="19" s="1"/>
  <c r="R43" i="19" s="1"/>
  <c r="R26" i="6"/>
  <c r="P80" i="11"/>
  <c r="P78" i="11"/>
  <c r="P79" i="11" s="1"/>
  <c r="R221" i="11"/>
  <c r="P22" i="15"/>
  <c r="P21" i="15"/>
  <c r="R216" i="11"/>
  <c r="P264" i="11"/>
  <c r="N207" i="11" l="1"/>
  <c r="O204" i="11" s="1"/>
  <c r="O206" i="11" s="1"/>
  <c r="O37" i="5" s="1"/>
  <c r="E608" i="32" s="1"/>
  <c r="D220" i="32"/>
  <c r="L29" i="15"/>
  <c r="N38" i="5"/>
  <c r="N202" i="11"/>
  <c r="N36" i="5"/>
  <c r="O211" i="11"/>
  <c r="O38" i="5" s="1"/>
  <c r="R226" i="11"/>
  <c r="P20" i="15"/>
  <c r="R45" i="19"/>
  <c r="R46" i="19" s="1"/>
  <c r="S43" i="19" s="1"/>
  <c r="P90" i="11"/>
  <c r="P81" i="11"/>
  <c r="P271" i="11"/>
  <c r="P272" i="11" s="1"/>
  <c r="Q76" i="11"/>
  <c r="R63" i="6"/>
  <c r="P266" i="11"/>
  <c r="P267" i="11" s="1"/>
  <c r="R161" i="11"/>
  <c r="R162" i="11" s="1"/>
  <c r="R227" i="11"/>
  <c r="S26" i="6" s="1"/>
  <c r="N20" i="16" s="1"/>
  <c r="E697" i="32" s="1"/>
  <c r="R223" i="11"/>
  <c r="R224" i="11" s="1"/>
  <c r="R218" i="11"/>
  <c r="R219" i="11" s="1"/>
  <c r="P112" i="5"/>
  <c r="F804" i="32" l="1"/>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38" i="19"/>
  <c r="Q21" i="15"/>
  <c r="F644" i="32" s="1"/>
  <c r="S216" i="11"/>
  <c r="S63" i="6"/>
  <c r="S45" i="19"/>
  <c r="S46" i="19" s="1"/>
  <c r="T43" i="19" s="1"/>
  <c r="J27" i="35" l="1"/>
  <c r="D15" i="35"/>
  <c r="P37" i="5"/>
  <c r="L13" i="18"/>
  <c r="E773" i="32" s="1"/>
  <c r="F642" i="32"/>
  <c r="L17" i="18"/>
  <c r="E776" i="32" s="1"/>
  <c r="F645" i="32"/>
  <c r="P212" i="11"/>
  <c r="Q209" i="11" s="1"/>
  <c r="Q211" i="11" s="1"/>
  <c r="Q38" i="5" s="1"/>
  <c r="O201" i="11"/>
  <c r="O36" i="5" s="1"/>
  <c r="Q206" i="11"/>
  <c r="Q37" i="5" s="1"/>
  <c r="Q23" i="15"/>
  <c r="S226" i="11"/>
  <c r="T45" i="19"/>
  <c r="T46" i="19" s="1"/>
  <c r="U43" i="19" s="1"/>
  <c r="Q38" i="19"/>
  <c r="S218" i="11"/>
  <c r="S219" i="11" s="1"/>
  <c r="Q81" i="11"/>
  <c r="Q90" i="11"/>
  <c r="L16" i="18"/>
  <c r="E775" i="32" s="1"/>
  <c r="Q79" i="11"/>
  <c r="Q266" i="11"/>
  <c r="Q267" i="11" s="1"/>
  <c r="Q271" i="11"/>
  <c r="Q272" i="11" s="1"/>
  <c r="S161" i="11"/>
  <c r="S162" i="11" s="1"/>
  <c r="S227" i="11"/>
  <c r="T26" i="6" s="1"/>
  <c r="S223" i="11"/>
  <c r="S224" i="11" s="1"/>
  <c r="E15" i="35" l="1"/>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45" i="19"/>
  <c r="U46" i="19" s="1"/>
  <c r="V43" i="19" s="1"/>
  <c r="T216" i="11"/>
  <c r="R21" i="15"/>
  <c r="S228" i="11"/>
  <c r="S229" i="11" s="1"/>
  <c r="T63" i="6"/>
  <c r="M33" i="17" l="1"/>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45" i="19"/>
  <c r="V46" i="19" s="1"/>
  <c r="W43" i="19" s="1"/>
  <c r="R266" i="11"/>
  <c r="R267" i="11" s="1"/>
  <c r="R80" i="11"/>
  <c r="R78" i="11"/>
  <c r="R112" i="5" s="1"/>
  <c r="T161" i="11"/>
  <c r="T162" i="11" s="1"/>
  <c r="T227" i="11"/>
  <c r="U26" i="6" s="1"/>
  <c r="T223" i="11"/>
  <c r="T224" i="11" s="1"/>
  <c r="P202" i="11" l="1"/>
  <c r="P34" i="5"/>
  <c r="S212" i="11"/>
  <c r="T209" i="11" s="1"/>
  <c r="T211" i="11" s="1"/>
  <c r="T38" i="5" s="1"/>
  <c r="S207" i="11"/>
  <c r="T204" i="11" s="1"/>
  <c r="T206" i="11" s="1"/>
  <c r="T37" i="5" s="1"/>
  <c r="R79" i="11"/>
  <c r="S76" i="11" s="1"/>
  <c r="S80" i="11" s="1"/>
  <c r="S264" i="11"/>
  <c r="S22" i="15"/>
  <c r="U221" i="11"/>
  <c r="S269" i="11"/>
  <c r="R38" i="19"/>
  <c r="M107" i="17"/>
  <c r="U63" i="6"/>
  <c r="U216" i="11"/>
  <c r="S21" i="15"/>
  <c r="R81" i="11"/>
  <c r="R90" i="11"/>
  <c r="U159" i="11"/>
  <c r="S18" i="15"/>
  <c r="W45" i="19"/>
  <c r="W46" i="19" s="1"/>
  <c r="X43" i="19" s="1"/>
  <c r="T228" i="11"/>
  <c r="T229" i="11" s="1"/>
  <c r="O29" i="15" l="1"/>
  <c r="Q199" i="11"/>
  <c r="Q201" i="11" s="1"/>
  <c r="Q36" i="5" s="1"/>
  <c r="T212" i="11"/>
  <c r="U209" i="11" s="1"/>
  <c r="U211" i="11" s="1"/>
  <c r="U38" i="5" s="1"/>
  <c r="G607" i="32" s="1"/>
  <c r="T207" i="11"/>
  <c r="U204" i="11" s="1"/>
  <c r="U206" i="11" s="1"/>
  <c r="U37" i="5" s="1"/>
  <c r="G608" i="32" s="1"/>
  <c r="S78" i="11"/>
  <c r="S112" i="5" s="1"/>
  <c r="X45" i="19"/>
  <c r="X46" i="19" s="1"/>
  <c r="Y43" i="19" s="1"/>
  <c r="V69" i="19"/>
  <c r="J129" i="21" s="1"/>
  <c r="S23" i="15"/>
  <c r="S20" i="15" s="1"/>
  <c r="U226" i="11"/>
  <c r="S90" i="11"/>
  <c r="S81" i="11"/>
  <c r="U218" i="11"/>
  <c r="U219" i="11" s="1"/>
  <c r="S271" i="11"/>
  <c r="S272" i="11" s="1"/>
  <c r="U227" i="11"/>
  <c r="V26" i="6" s="1"/>
  <c r="U223" i="11"/>
  <c r="U224" i="11" s="1"/>
  <c r="S266" i="11"/>
  <c r="S267" i="11" s="1"/>
  <c r="U161" i="11"/>
  <c r="U162" i="11" s="1"/>
  <c r="G566" i="32" l="1"/>
  <c r="K15" i="35"/>
  <c r="H15" i="30"/>
  <c r="S3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45" i="19"/>
  <c r="Y46" i="19" s="1"/>
  <c r="Z43" i="19" s="1"/>
  <c r="U228" i="11"/>
  <c r="U229" i="11" s="1"/>
  <c r="T269" i="11"/>
  <c r="V63" i="6"/>
  <c r="K27" i="35" l="1"/>
  <c r="R199" i="11"/>
  <c r="R201" i="11" s="1"/>
  <c r="R36" i="5" s="1"/>
  <c r="V212" i="11"/>
  <c r="W209" i="11" s="1"/>
  <c r="W211" i="11" s="1"/>
  <c r="W38" i="5" s="1"/>
  <c r="V207" i="11"/>
  <c r="W204" i="11" s="1"/>
  <c r="V226" i="11"/>
  <c r="T23" i="15"/>
  <c r="V161" i="11"/>
  <c r="V162" i="11" s="1"/>
  <c r="Z45" i="19"/>
  <c r="Z46" i="19" s="1"/>
  <c r="AA43" i="19" s="1"/>
  <c r="T78" i="11"/>
  <c r="T112" i="5" s="1"/>
  <c r="T80" i="11"/>
  <c r="V223" i="11"/>
  <c r="V224" i="11" s="1"/>
  <c r="V227" i="11"/>
  <c r="W26" i="6" s="1"/>
  <c r="T266" i="11"/>
  <c r="T267" i="11" s="1"/>
  <c r="V218" i="11"/>
  <c r="V219" i="11" s="1"/>
  <c r="T271" i="11"/>
  <c r="T272" i="11" s="1"/>
  <c r="T20" i="15" l="1"/>
  <c r="G646" i="32"/>
  <c r="R34" i="5"/>
  <c r="F606" i="32"/>
  <c r="W212" i="11"/>
  <c r="X209" i="11" s="1"/>
  <c r="X211" i="11" s="1"/>
  <c r="X38" i="5" s="1"/>
  <c r="H607" i="32" s="1"/>
  <c r="R202" i="11"/>
  <c r="Q29" i="15" s="1"/>
  <c r="F651" i="32" s="1"/>
  <c r="W206" i="11"/>
  <c r="W37" i="5" s="1"/>
  <c r="U269" i="11"/>
  <c r="U264" i="11"/>
  <c r="AA45" i="19"/>
  <c r="AA46" i="19" s="1"/>
  <c r="AB43" i="19" s="1"/>
  <c r="W159" i="11"/>
  <c r="U18" i="15"/>
  <c r="W63" i="6"/>
  <c r="T81" i="11"/>
  <c r="T90" i="11"/>
  <c r="T38" i="19"/>
  <c r="W216" i="11"/>
  <c r="U21" i="15"/>
  <c r="T79" i="11"/>
  <c r="W221" i="11"/>
  <c r="U22" i="15"/>
  <c r="V228" i="11"/>
  <c r="V229" i="11" s="1"/>
  <c r="S199" i="11" l="1"/>
  <c r="F605" i="32"/>
  <c r="X212" i="11"/>
  <c r="Y209" i="11" s="1"/>
  <c r="Y211" i="11" s="1"/>
  <c r="Y38" i="5" s="1"/>
  <c r="L24" i="18"/>
  <c r="W207" i="11"/>
  <c r="X204" i="11" s="1"/>
  <c r="AB45" i="19"/>
  <c r="AB46" i="19" s="1"/>
  <c r="AC43" i="19" s="1"/>
  <c r="W226" i="11"/>
  <c r="U23" i="15"/>
  <c r="U20" i="15" s="1"/>
  <c r="W161" i="11"/>
  <c r="W162" i="11" s="1"/>
  <c r="W218" i="11"/>
  <c r="W219" i="11" s="1"/>
  <c r="U76" i="11"/>
  <c r="U266" i="11"/>
  <c r="U267" i="11" s="1"/>
  <c r="U271" i="11"/>
  <c r="U272" i="11" s="1"/>
  <c r="W223" i="11"/>
  <c r="W224" i="11" s="1"/>
  <c r="W227" i="11"/>
  <c r="X26" i="6" s="1"/>
  <c r="S201" i="11" l="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45" i="19"/>
  <c r="AC46" i="19" s="1"/>
  <c r="AD43" i="19" s="1"/>
  <c r="S36" i="5" l="1"/>
  <c r="S34" i="5" s="1"/>
  <c r="S202" i="11"/>
  <c r="Z212" i="11"/>
  <c r="AA209" i="11" s="1"/>
  <c r="AA211" i="11" s="1"/>
  <c r="AA38" i="5" s="1"/>
  <c r="I607" i="32" s="1"/>
  <c r="X207" i="11"/>
  <c r="Y204" i="11" s="1"/>
  <c r="AD45" i="19"/>
  <c r="AD46" i="19" s="1"/>
  <c r="AE43" i="19" s="1"/>
  <c r="V70" i="19"/>
  <c r="J130" i="21" s="1"/>
  <c r="X226" i="11"/>
  <c r="V23" i="15"/>
  <c r="V20" i="15" s="1"/>
  <c r="V266" i="11"/>
  <c r="V267" i="11" s="1"/>
  <c r="X218" i="11"/>
  <c r="X219" i="11" s="1"/>
  <c r="U79" i="11"/>
  <c r="X227" i="11"/>
  <c r="Y26" i="6" s="1"/>
  <c r="X223" i="11"/>
  <c r="X224" i="11" s="1"/>
  <c r="X161" i="11"/>
  <c r="X162" i="11" s="1"/>
  <c r="U81" i="11"/>
  <c r="U90" i="11"/>
  <c r="U38" i="19"/>
  <c r="V271" i="11"/>
  <c r="V272" i="11" s="1"/>
  <c r="R29" i="15" l="1"/>
  <c r="T199" i="11"/>
  <c r="H566" i="32"/>
  <c r="I15" i="30"/>
  <c r="L15" i="35"/>
  <c r="AA212" i="11"/>
  <c r="AB209" i="11" s="1"/>
  <c r="Y206" i="11"/>
  <c r="Y37" i="5" s="1"/>
  <c r="Y159" i="11"/>
  <c r="W18" i="15"/>
  <c r="Y221" i="11"/>
  <c r="W22" i="15"/>
  <c r="W269" i="11"/>
  <c r="W21" i="15"/>
  <c r="H644" i="32" s="1"/>
  <c r="Y216" i="11"/>
  <c r="AE45" i="19"/>
  <c r="AE46" i="19" s="1"/>
  <c r="AF43" i="19" s="1"/>
  <c r="W264" i="11"/>
  <c r="Y63" i="6"/>
  <c r="X228" i="11"/>
  <c r="X229" i="11" s="1"/>
  <c r="V76" i="11"/>
  <c r="T201" i="11" l="1"/>
  <c r="L27" i="35"/>
  <c r="M17" i="18"/>
  <c r="H645" i="32"/>
  <c r="M13" i="18"/>
  <c r="H642" i="32"/>
  <c r="AB211" i="11"/>
  <c r="AB38" i="5" s="1"/>
  <c r="Y207" i="11"/>
  <c r="Z204" i="11" s="1"/>
  <c r="AF45" i="19"/>
  <c r="AF46" i="19" s="1"/>
  <c r="AG43" i="19" s="1"/>
  <c r="Y218" i="11"/>
  <c r="Y219" i="11" s="1"/>
  <c r="M16" i="18"/>
  <c r="W271" i="11"/>
  <c r="W272" i="11" s="1"/>
  <c r="W266" i="11"/>
  <c r="W267" i="11" s="1"/>
  <c r="W23" i="15"/>
  <c r="Y226" i="11"/>
  <c r="Y227" i="11"/>
  <c r="Z26" i="6" s="1"/>
  <c r="Y223" i="11"/>
  <c r="Y224" i="11" s="1"/>
  <c r="V80" i="11"/>
  <c r="V78" i="11"/>
  <c r="V112" i="5" s="1"/>
  <c r="Y161" i="11"/>
  <c r="Y162" i="11" s="1"/>
  <c r="T36" i="5" l="1"/>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45" i="19"/>
  <c r="AG46" i="19" s="1"/>
  <c r="AH43" i="19" s="1"/>
  <c r="X264" i="11"/>
  <c r="Y228" i="11"/>
  <c r="Y229" i="11" s="1"/>
  <c r="V79" i="11"/>
  <c r="V38" i="19"/>
  <c r="V90" i="11"/>
  <c r="V81" i="11"/>
  <c r="Z159" i="11"/>
  <c r="X18" i="15"/>
  <c r="Z63" i="6"/>
  <c r="U199" i="11" l="1"/>
  <c r="S29" i="15"/>
  <c r="AC212" i="11"/>
  <c r="AD209" i="11" s="1"/>
  <c r="AD211" i="11" s="1"/>
  <c r="AD38" i="5" s="1"/>
  <c r="J607" i="32" s="1"/>
  <c r="E216" i="32"/>
  <c r="F777" i="32"/>
  <c r="Z207" i="11"/>
  <c r="AA204" i="11" s="1"/>
  <c r="AA206" i="11" s="1"/>
  <c r="AA37" i="5" s="1"/>
  <c r="I608" i="32" s="1"/>
  <c r="AH45" i="19"/>
  <c r="AH46" i="19" s="1"/>
  <c r="AI43" i="19" s="1"/>
  <c r="X23" i="15"/>
  <c r="X20" i="15" s="1"/>
  <c r="Z226" i="11"/>
  <c r="Z161" i="11"/>
  <c r="Z162" i="11" s="1"/>
  <c r="Z218" i="11"/>
  <c r="Z219" i="11" s="1"/>
  <c r="Z227" i="11"/>
  <c r="AA26" i="6" s="1"/>
  <c r="Z223" i="11"/>
  <c r="Z224" i="11" s="1"/>
  <c r="X271" i="11"/>
  <c r="X272" i="11" s="1"/>
  <c r="W76" i="11"/>
  <c r="X266" i="11"/>
  <c r="X267" i="11" s="1"/>
  <c r="U201" i="11" l="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45" i="19"/>
  <c r="AI46" i="19" s="1"/>
  <c r="AJ43" i="19" s="1"/>
  <c r="AA63" i="6"/>
  <c r="U36" i="5" l="1"/>
  <c r="U202" i="11"/>
  <c r="AB207" i="11"/>
  <c r="AC204" i="11" s="1"/>
  <c r="AC206" i="11" s="1"/>
  <c r="AC37" i="5" s="1"/>
  <c r="AE212" i="11"/>
  <c r="AF209" i="11" s="1"/>
  <c r="AF211" i="11" s="1"/>
  <c r="AF38" i="5" s="1"/>
  <c r="W79" i="11"/>
  <c r="X76" i="11" s="1"/>
  <c r="AJ45" i="19"/>
  <c r="AJ46" i="19" s="1"/>
  <c r="AK43" i="19" s="1"/>
  <c r="V71" i="19"/>
  <c r="J131" i="21" s="1"/>
  <c r="Y23" i="15"/>
  <c r="Y20" i="15" s="1"/>
  <c r="AA226" i="11"/>
  <c r="W90" i="11"/>
  <c r="W81" i="11"/>
  <c r="AA227" i="11"/>
  <c r="AB26" i="6" s="1"/>
  <c r="AA223" i="11"/>
  <c r="AA224" i="11" s="1"/>
  <c r="Y271" i="11"/>
  <c r="Y272" i="11" s="1"/>
  <c r="W38" i="19"/>
  <c r="AA161" i="11"/>
  <c r="AA162" i="11" s="1"/>
  <c r="AA218" i="11"/>
  <c r="AA219" i="11" s="1"/>
  <c r="Y266" i="11"/>
  <c r="Y267" i="11" s="1"/>
  <c r="G606" i="32" l="1"/>
  <c r="G605" i="32" s="1"/>
  <c r="U34" i="5"/>
  <c r="T29" i="15"/>
  <c r="V199" i="11"/>
  <c r="I566" i="32"/>
  <c r="M15" i="35"/>
  <c r="J15" i="30"/>
  <c r="AC207" i="11"/>
  <c r="AD204" i="11" s="1"/>
  <c r="AD206" i="11" s="1"/>
  <c r="Z264" i="11"/>
  <c r="Z21" i="15"/>
  <c r="I644" i="32" s="1"/>
  <c r="AB216" i="11"/>
  <c r="Z269" i="11"/>
  <c r="AB221" i="11"/>
  <c r="Z22" i="15"/>
  <c r="I645" i="32" s="1"/>
  <c r="AK45" i="19"/>
  <c r="AK46" i="19" s="1"/>
  <c r="AL43" i="19" s="1"/>
  <c r="X78" i="11"/>
  <c r="X112" i="5" s="1"/>
  <c r="X80" i="11"/>
  <c r="AB63" i="6"/>
  <c r="AA228" i="11"/>
  <c r="AA229" i="11" s="1"/>
  <c r="AB159" i="11"/>
  <c r="Z18" i="15"/>
  <c r="I642" i="32" s="1"/>
  <c r="AF212" i="11"/>
  <c r="AG209" i="11" s="1"/>
  <c r="G651" i="32" l="1"/>
  <c r="V201" i="11"/>
  <c r="M27" i="35"/>
  <c r="AD37" i="5"/>
  <c r="AD207" i="11"/>
  <c r="AE204" i="11" s="1"/>
  <c r="AE206" i="11" s="1"/>
  <c r="AE37" i="5" s="1"/>
  <c r="AL45" i="19"/>
  <c r="AL46" i="19" s="1"/>
  <c r="AM43" i="19" s="1"/>
  <c r="AB227" i="11"/>
  <c r="AC26" i="6" s="1"/>
  <c r="AB223" i="11"/>
  <c r="AB224" i="11" s="1"/>
  <c r="AB161" i="11"/>
  <c r="AB162" i="11" s="1"/>
  <c r="Z271" i="11"/>
  <c r="Z272" i="11" s="1"/>
  <c r="X90" i="11"/>
  <c r="X81" i="11"/>
  <c r="X79" i="11"/>
  <c r="Y76" i="11" s="1"/>
  <c r="AB218" i="11"/>
  <c r="AB219" i="11" s="1"/>
  <c r="X38" i="19"/>
  <c r="Z266" i="11"/>
  <c r="Z267" i="11" s="1"/>
  <c r="AB226" i="11"/>
  <c r="Z23" i="15"/>
  <c r="AG211" i="11"/>
  <c r="AG38" i="5" s="1"/>
  <c r="K607" i="32" s="1"/>
  <c r="V36" i="5" l="1"/>
  <c r="V202" i="11"/>
  <c r="O32" i="17"/>
  <c r="G739" i="32" s="1"/>
  <c r="J608" i="32"/>
  <c r="Z20" i="15"/>
  <c r="I646" i="32"/>
  <c r="AE207" i="11"/>
  <c r="AF204" i="11" s="1"/>
  <c r="AF206" i="11" s="1"/>
  <c r="AG212" i="11"/>
  <c r="AH209" i="11" s="1"/>
  <c r="AH211" i="11" s="1"/>
  <c r="AA269" i="11"/>
  <c r="AC216" i="11"/>
  <c r="AA21" i="15"/>
  <c r="AM45" i="19"/>
  <c r="AM46" i="19" s="1"/>
  <c r="AN43" i="19" s="1"/>
  <c r="AA18" i="15"/>
  <c r="AC159" i="11"/>
  <c r="AC221" i="11"/>
  <c r="AA22" i="15"/>
  <c r="AC63" i="6"/>
  <c r="AA264" i="11"/>
  <c r="Y78" i="11"/>
  <c r="Y112" i="5" s="1"/>
  <c r="Y80" i="11"/>
  <c r="AB228" i="11"/>
  <c r="AB229" i="11" s="1"/>
  <c r="V34" i="5" l="1"/>
  <c r="U29" i="15"/>
  <c r="W199" i="11"/>
  <c r="AF37" i="5"/>
  <c r="AF207" i="11"/>
  <c r="AG204" i="11" s="1"/>
  <c r="AH38" i="5"/>
  <c r="AH212" i="11"/>
  <c r="AI209" i="11" s="1"/>
  <c r="AI211" i="11" s="1"/>
  <c r="AI38" i="5" s="1"/>
  <c r="Y79" i="11"/>
  <c r="Z76" i="11" s="1"/>
  <c r="AN45" i="19"/>
  <c r="AN46" i="19" s="1"/>
  <c r="AO43" i="19" s="1"/>
  <c r="Y90" i="11"/>
  <c r="Y81" i="11"/>
  <c r="AC227" i="11"/>
  <c r="AD26" i="6" s="1"/>
  <c r="AC223" i="11"/>
  <c r="AC224" i="11" s="1"/>
  <c r="AC161" i="11"/>
  <c r="AC162" i="11" s="1"/>
  <c r="AC226" i="11"/>
  <c r="AA23" i="15"/>
  <c r="AA20" i="15" s="1"/>
  <c r="Y38" i="19"/>
  <c r="AC218" i="11"/>
  <c r="AC219" i="11" s="1"/>
  <c r="AA266" i="11"/>
  <c r="AA267" i="11" s="1"/>
  <c r="AA271" i="11"/>
  <c r="AA272" i="11" s="1"/>
  <c r="W201" i="11" l="1"/>
  <c r="AG206" i="11"/>
  <c r="AG37" i="5" s="1"/>
  <c r="K608" i="32" s="1"/>
  <c r="AB264" i="11"/>
  <c r="AD159" i="11"/>
  <c r="AB18" i="15"/>
  <c r="AI212" i="11"/>
  <c r="AJ209" i="11" s="1"/>
  <c r="AD221" i="11"/>
  <c r="AB22" i="15"/>
  <c r="Z78" i="11"/>
  <c r="Z112" i="5" s="1"/>
  <c r="Z80" i="11"/>
  <c r="AB21" i="15"/>
  <c r="AD216" i="11"/>
  <c r="AD63" i="6"/>
  <c r="AB269" i="11"/>
  <c r="AO45" i="19"/>
  <c r="AO46" i="19" s="1"/>
  <c r="AP4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45" i="19"/>
  <c r="AP46" i="19" s="1"/>
  <c r="AQ43" i="19" s="1"/>
  <c r="V72" i="19"/>
  <c r="J132" i="21" s="1"/>
  <c r="AD161" i="11"/>
  <c r="AD162" i="11" s="1"/>
  <c r="AB271" i="11"/>
  <c r="AB272" i="11" s="1"/>
  <c r="AB266" i="11"/>
  <c r="AB267" i="11" s="1"/>
  <c r="Z81" i="11"/>
  <c r="Z90" i="11"/>
  <c r="Z38" i="19"/>
  <c r="W34" i="5" l="1"/>
  <c r="X199" i="11"/>
  <c r="V29" i="15"/>
  <c r="J566" i="32"/>
  <c r="N15" i="35"/>
  <c r="K15" i="30"/>
  <c r="AH207" i="11"/>
  <c r="AI204" i="11" s="1"/>
  <c r="AJ212" i="11"/>
  <c r="AK209" i="11" s="1"/>
  <c r="AK211" i="11" s="1"/>
  <c r="AK38" i="5" s="1"/>
  <c r="AC264" i="11"/>
  <c r="AQ45" i="19"/>
  <c r="AQ46" i="19" s="1"/>
  <c r="AR4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45" i="19"/>
  <c r="AR46" i="19" s="1"/>
  <c r="AS43" i="19" s="1"/>
  <c r="AA90" i="11"/>
  <c r="AA81" i="11"/>
  <c r="AA3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45" i="19"/>
  <c r="AS46" i="19" s="1"/>
  <c r="AT4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45" i="19"/>
  <c r="AT46" i="19" s="1"/>
  <c r="AU4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38" i="19"/>
  <c r="AG63" i="6"/>
  <c r="AN212" i="11"/>
  <c r="AO209" i="11" s="1"/>
  <c r="AU45" i="19"/>
  <c r="AU46" i="19" s="1"/>
  <c r="AV43" i="19" s="1"/>
  <c r="V7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45" i="19"/>
  <c r="AV46" i="19" s="1"/>
  <c r="AW43" i="19" s="1"/>
  <c r="AG223" i="11"/>
  <c r="AG224" i="11" s="1"/>
  <c r="AG227" i="11"/>
  <c r="AH26" i="6" s="1"/>
  <c r="AE271" i="11"/>
  <c r="AE272" i="11" s="1"/>
  <c r="Z199" i="11" l="1"/>
  <c r="X29" i="15"/>
  <c r="K566" i="32"/>
  <c r="L15" i="30"/>
  <c r="O15" i="35"/>
  <c r="AL206" i="11"/>
  <c r="AL37" i="5" s="1"/>
  <c r="AO212" i="11"/>
  <c r="AP209" i="11" s="1"/>
  <c r="AP211" i="11" s="1"/>
  <c r="AP38" i="5" s="1"/>
  <c r="AW45" i="19"/>
  <c r="AW46" i="19" s="1"/>
  <c r="AX4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45" i="19"/>
  <c r="AX46" i="19" s="1"/>
  <c r="AY43" i="19" s="1"/>
  <c r="AC79" i="11"/>
  <c r="AH161" i="11"/>
  <c r="AH162" i="11" s="1"/>
  <c r="AC3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45" i="19"/>
  <c r="AY46" i="19" s="1"/>
  <c r="AZ43" i="19" s="1"/>
  <c r="AH228" i="11"/>
  <c r="AH229" i="11" s="1"/>
  <c r="AG18" i="15"/>
  <c r="AI159" i="11"/>
  <c r="AD76" i="11"/>
  <c r="AI63" i="6"/>
  <c r="AG269" i="11"/>
  <c r="AG21" i="15"/>
  <c r="AI216" i="11"/>
  <c r="AA199" i="11" l="1"/>
  <c r="Y29" i="15"/>
  <c r="AM207" i="11"/>
  <c r="AN204" i="11" s="1"/>
  <c r="AN206" i="11" s="1"/>
  <c r="AN37" i="5" s="1"/>
  <c r="AZ45" i="19"/>
  <c r="AZ46" i="19" s="1"/>
  <c r="BA4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45" i="19"/>
  <c r="BA46" i="19" s="1"/>
  <c r="BB43" i="19" s="1"/>
  <c r="V74" i="19" s="1"/>
  <c r="J134" i="21" s="1"/>
  <c r="AI228" i="11"/>
  <c r="AI229" i="11" s="1"/>
  <c r="AJ63" i="6"/>
  <c r="AS211" i="11"/>
  <c r="AS38" i="5" s="1"/>
  <c r="AH18" i="15"/>
  <c r="AJ159" i="11"/>
  <c r="AH21" i="15"/>
  <c r="AJ216" i="11"/>
  <c r="AD38" i="19"/>
  <c r="AH22" i="15"/>
  <c r="AJ221" i="11"/>
  <c r="AD81" i="11"/>
  <c r="AD90" i="11"/>
  <c r="AA36" i="5" l="1"/>
  <c r="AA202" i="11"/>
  <c r="AO206" i="11"/>
  <c r="AO37" i="5" s="1"/>
  <c r="AE80" i="11"/>
  <c r="AE81" i="11" s="1"/>
  <c r="AH23" i="15"/>
  <c r="AH20" i="15" s="1"/>
  <c r="AJ226" i="11"/>
  <c r="AJ218" i="11"/>
  <c r="AJ219" i="11" s="1"/>
  <c r="AE38" i="19"/>
  <c r="BB45" i="19"/>
  <c r="BB46" i="19" s="1"/>
  <c r="BC4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45" i="19"/>
  <c r="BC46" i="19" s="1"/>
  <c r="BD4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45" i="19"/>
  <c r="BD46" i="19" s="1"/>
  <c r="BE4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45" i="19"/>
  <c r="BE46" i="19" s="1"/>
  <c r="BF43" i="19" s="1"/>
  <c r="AJ18" i="15"/>
  <c r="AL159" i="11"/>
  <c r="AJ22" i="15"/>
  <c r="AL221" i="11"/>
  <c r="AF3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45" i="19"/>
  <c r="BF46" i="19" s="1"/>
  <c r="BG43" i="19" s="1"/>
  <c r="AL218" i="11"/>
  <c r="AL219" i="11" s="1"/>
  <c r="AU212" i="11"/>
  <c r="AV209" i="11" s="1"/>
  <c r="AC201" i="11" l="1"/>
  <c r="AR207" i="11"/>
  <c r="AS204" i="11" s="1"/>
  <c r="AK269" i="11"/>
  <c r="AM216" i="11"/>
  <c r="AK21" i="15"/>
  <c r="AM63" i="6"/>
  <c r="AM221" i="11"/>
  <c r="AK22" i="15"/>
  <c r="AG90" i="11"/>
  <c r="AG81" i="11"/>
  <c r="BG45" i="19"/>
  <c r="BG46" i="19" s="1"/>
  <c r="BH43" i="19" s="1"/>
  <c r="AG79" i="11"/>
  <c r="AK264" i="11"/>
  <c r="AM159" i="11"/>
  <c r="AK18" i="15"/>
  <c r="AG38" i="19"/>
  <c r="AV211" i="11"/>
  <c r="AV38" i="5" s="1"/>
  <c r="AL228" i="11"/>
  <c r="AL229" i="11" s="1"/>
  <c r="AC36" i="5" l="1"/>
  <c r="AC202" i="11"/>
  <c r="AS206" i="11"/>
  <c r="AS37" i="5" s="1"/>
  <c r="AM226" i="11"/>
  <c r="AK23" i="15"/>
  <c r="AK20" i="15" s="1"/>
  <c r="BH45" i="19"/>
  <c r="BH46" i="19" s="1"/>
  <c r="BI43" i="19" s="1"/>
  <c r="V7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45" i="19"/>
  <c r="BI46" i="19" s="1"/>
  <c r="BJ43" i="19" s="1"/>
  <c r="AN63" i="6"/>
  <c r="AL264" i="11"/>
  <c r="AN159" i="11"/>
  <c r="AL18" i="15"/>
  <c r="AW211" i="11"/>
  <c r="AW38" i="5" s="1"/>
  <c r="AH78" i="11"/>
  <c r="AH112" i="5" s="1"/>
  <c r="AH80" i="11"/>
  <c r="AL269" i="11"/>
  <c r="AM228" i="11"/>
  <c r="AM229" i="11" s="1"/>
  <c r="AD201" i="11" l="1"/>
  <c r="AT206" i="11"/>
  <c r="AT37" i="5" s="1"/>
  <c r="AH79" i="11"/>
  <c r="AI76" i="11" s="1"/>
  <c r="BJ45" i="19"/>
  <c r="BJ46" i="19" s="1"/>
  <c r="BK43" i="19" s="1"/>
  <c r="AN226" i="11"/>
  <c r="AL23" i="15"/>
  <c r="AL20" i="15" s="1"/>
  <c r="AH90" i="11"/>
  <c r="AH81" i="11"/>
  <c r="AH3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45" i="19"/>
  <c r="BK46" i="19" s="1"/>
  <c r="BL4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45" i="19"/>
  <c r="BL46" i="19" s="1"/>
  <c r="BM43" i="19" s="1"/>
  <c r="AO223" i="11"/>
  <c r="AO224" i="11" s="1"/>
  <c r="AO227" i="11"/>
  <c r="AP26" i="6" s="1"/>
  <c r="AX212" i="11"/>
  <c r="AY209" i="11" s="1"/>
  <c r="AM266" i="11"/>
  <c r="AM267" i="11" s="1"/>
  <c r="AO218" i="11"/>
  <c r="AO219" i="11" s="1"/>
  <c r="AM271" i="11"/>
  <c r="AM272" i="11" s="1"/>
  <c r="AI38" i="19"/>
  <c r="AO161" i="11"/>
  <c r="AO162" i="11" s="1"/>
  <c r="AI90" i="11"/>
  <c r="AI81" i="11"/>
  <c r="N24" i="18" l="1"/>
  <c r="J651" i="32"/>
  <c r="AE201" i="11"/>
  <c r="AV206" i="11"/>
  <c r="AV37" i="5" s="1"/>
  <c r="AN18" i="15"/>
  <c r="AP159" i="11"/>
  <c r="BM45" i="19"/>
  <c r="BM46" i="19" s="1"/>
  <c r="BN4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45" i="19"/>
  <c r="BN46" i="19" s="1"/>
  <c r="BO43" i="19" s="1"/>
  <c r="V76" i="19"/>
  <c r="J136" i="21" s="1"/>
  <c r="AY212" i="11"/>
  <c r="AZ209" i="11" s="1"/>
  <c r="AP223" i="11"/>
  <c r="AP224" i="11" s="1"/>
  <c r="AP227" i="11"/>
  <c r="AQ26" i="6" s="1"/>
  <c r="AP218" i="11"/>
  <c r="AP219" i="11" s="1"/>
  <c r="AN266" i="11"/>
  <c r="AN267" i="11" s="1"/>
  <c r="AJ38" i="19"/>
  <c r="AJ81" i="11"/>
  <c r="AJ90" i="11"/>
  <c r="AN271" i="11"/>
  <c r="AN272" i="11" s="1"/>
  <c r="AJ79" i="11"/>
  <c r="AK76" i="11" s="1"/>
  <c r="AP161" i="11"/>
  <c r="AP162" i="11" s="1"/>
  <c r="AF199" i="11" l="1"/>
  <c r="AD29" i="15"/>
  <c r="AW206" i="11"/>
  <c r="AW37" i="5" s="1"/>
  <c r="AQ221" i="11"/>
  <c r="AO22" i="15"/>
  <c r="P17" i="18" s="1"/>
  <c r="BO45" i="19"/>
  <c r="BO46" i="19" s="1"/>
  <c r="BP4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45" i="19"/>
  <c r="BP46" i="19" s="1"/>
  <c r="BQ43" i="19" s="1"/>
  <c r="AO271" i="11"/>
  <c r="AO272" i="11" s="1"/>
  <c r="AQ161" i="11"/>
  <c r="AQ162" i="11" s="1"/>
  <c r="AO266" i="11"/>
  <c r="AO267" i="11" s="1"/>
  <c r="AK90" i="11"/>
  <c r="AK81" i="11"/>
  <c r="P16" i="18"/>
  <c r="AK38" i="19"/>
  <c r="AQ218" i="11"/>
  <c r="AQ219" i="11" s="1"/>
  <c r="AQ227" i="11"/>
  <c r="AR26" i="6" s="1"/>
  <c r="AQ223" i="11"/>
  <c r="AQ224" i="11" s="1"/>
  <c r="AF36" i="5" l="1"/>
  <c r="AF34" i="5" s="1"/>
  <c r="AF202" i="11"/>
  <c r="AX206" i="11"/>
  <c r="AX37" i="5" s="1"/>
  <c r="P15" i="18"/>
  <c r="AR159" i="11"/>
  <c r="AP18" i="15"/>
  <c r="AP269" i="11"/>
  <c r="BQ45" i="19"/>
  <c r="BQ46" i="19" s="1"/>
  <c r="BR4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45" i="19"/>
  <c r="BR46" i="19" s="1"/>
  <c r="BS43" i="19" s="1"/>
  <c r="AR223" i="11"/>
  <c r="AR224" i="11" s="1"/>
  <c r="AR227" i="11"/>
  <c r="AS26" i="6" s="1"/>
  <c r="AR218" i="11"/>
  <c r="AR219" i="11" s="1"/>
  <c r="BB211" i="11"/>
  <c r="BB38" i="5" s="1"/>
  <c r="AL90" i="11"/>
  <c r="AL81" i="11"/>
  <c r="AP271" i="11"/>
  <c r="AP272" i="11" s="1"/>
  <c r="AL3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45" i="19"/>
  <c r="BS46" i="19" s="1"/>
  <c r="BT43" i="19" s="1"/>
  <c r="AG36" i="5" l="1"/>
  <c r="AG202" i="11"/>
  <c r="AY207" i="11"/>
  <c r="AZ204" i="11" s="1"/>
  <c r="AZ206" i="11" s="1"/>
  <c r="BC212" i="11"/>
  <c r="BD209" i="11" s="1"/>
  <c r="BD211" i="11" s="1"/>
  <c r="BD38" i="5" s="1"/>
  <c r="AM81" i="11"/>
  <c r="AM90" i="11"/>
  <c r="AM38" i="19"/>
  <c r="AM79" i="11"/>
  <c r="AS161" i="11"/>
  <c r="AS162" i="11" s="1"/>
  <c r="AQ271" i="11"/>
  <c r="AQ272" i="11" s="1"/>
  <c r="AS223" i="11"/>
  <c r="AS224" i="11" s="1"/>
  <c r="AS227" i="11"/>
  <c r="AT26" i="6" s="1"/>
  <c r="BT45" i="19"/>
  <c r="BT46" i="19" s="1"/>
  <c r="BU43" i="19" s="1"/>
  <c r="V7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45" i="19"/>
  <c r="BU46" i="19" s="1"/>
  <c r="BV43" i="19" s="1"/>
  <c r="AN76" i="11"/>
  <c r="AT63" i="6"/>
  <c r="AR21" i="15"/>
  <c r="AT216" i="11"/>
  <c r="AS228" i="11"/>
  <c r="AS229" i="11" s="1"/>
  <c r="AR269" i="11"/>
  <c r="K605" i="32" l="1"/>
  <c r="AH201" i="11"/>
  <c r="K651" i="32"/>
  <c r="BA207" i="11"/>
  <c r="BB204" i="11" s="1"/>
  <c r="BE212" i="11"/>
  <c r="BF209" i="11" s="1"/>
  <c r="BF211" i="11" s="1"/>
  <c r="BF38" i="5" s="1"/>
  <c r="BV45" i="19"/>
  <c r="BV46" i="19" s="1"/>
  <c r="BW4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45" i="19"/>
  <c r="BW46" i="19" s="1"/>
  <c r="BX43" i="19" s="1"/>
  <c r="AN90" i="11"/>
  <c r="AN81" i="11"/>
  <c r="AN38" i="19"/>
  <c r="AS269" i="11"/>
  <c r="AS21" i="15"/>
  <c r="AU216" i="11"/>
  <c r="AT228" i="11"/>
  <c r="AT229" i="11" s="1"/>
  <c r="AU63" i="6"/>
  <c r="AS22" i="15"/>
  <c r="AU221" i="11"/>
  <c r="BF212" i="11"/>
  <c r="BG209" i="11" s="1"/>
  <c r="AH34" i="5" l="1"/>
  <c r="AG29" i="15"/>
  <c r="AI199" i="11"/>
  <c r="BB207" i="11"/>
  <c r="BC204" i="11" s="1"/>
  <c r="BX45" i="19"/>
  <c r="BX46" i="19" s="1"/>
  <c r="BY4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45" i="19"/>
  <c r="BY46" i="19" s="1"/>
  <c r="BZ43" i="19" s="1"/>
  <c r="AO3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45" i="19"/>
  <c r="BZ46" i="19" s="1"/>
  <c r="CA43" i="19" s="1"/>
  <c r="AT271" i="11"/>
  <c r="AT272" i="11" s="1"/>
  <c r="AT266" i="11"/>
  <c r="AT267" i="11" s="1"/>
  <c r="BH211" i="11"/>
  <c r="BH38" i="5" s="1"/>
  <c r="AV223" i="11"/>
  <c r="AV224" i="11" s="1"/>
  <c r="AV227" i="11"/>
  <c r="AW26" i="6" s="1"/>
  <c r="AV161" i="11"/>
  <c r="AV162" i="11" s="1"/>
  <c r="AI34" i="5" l="1"/>
  <c r="AH29" i="15"/>
  <c r="AJ199" i="11"/>
  <c r="BD207" i="11"/>
  <c r="BE204" i="11" s="1"/>
  <c r="CA45" i="19"/>
  <c r="CA46" i="19" s="1"/>
  <c r="CB4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45" i="19"/>
  <c r="CB46" i="19" s="1"/>
  <c r="CC43" i="19" s="1"/>
  <c r="BI211" i="11"/>
  <c r="BI38" i="5" s="1"/>
  <c r="AW218" i="11"/>
  <c r="AW219" i="11" s="1"/>
  <c r="AU266" i="11"/>
  <c r="AU267" i="11" s="1"/>
  <c r="AU271" i="11"/>
  <c r="AU272" i="11" s="1"/>
  <c r="AP3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45" i="19"/>
  <c r="CC46" i="19" s="1"/>
  <c r="CD4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38" i="19"/>
  <c r="AV266" i="11"/>
  <c r="AV267" i="11" s="1"/>
  <c r="AX218" i="11"/>
  <c r="AX219" i="11" s="1"/>
  <c r="CD45" i="19"/>
  <c r="CD46" i="19" s="1"/>
  <c r="CE43" i="19" s="1"/>
  <c r="AV271" i="11"/>
  <c r="AV272" i="11" s="1"/>
  <c r="C606" i="32" l="1"/>
  <c r="L605" i="32"/>
  <c r="C605" i="32" s="1"/>
  <c r="O24" i="18"/>
  <c r="L651" i="32"/>
  <c r="AK201" i="11"/>
  <c r="BF207" i="11"/>
  <c r="BG204" i="11" s="1"/>
  <c r="AW269" i="11"/>
  <c r="CE45" i="19"/>
  <c r="CE46" i="19" s="1"/>
  <c r="CF43" i="19" s="1"/>
  <c r="V7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38" i="19"/>
  <c r="AY218" i="11"/>
  <c r="AY219" i="11" s="1"/>
  <c r="AR81" i="11"/>
  <c r="AR90" i="11"/>
  <c r="AY161" i="11"/>
  <c r="AY162" i="11" s="1"/>
  <c r="CF45" i="19"/>
  <c r="CF46" i="19" s="1"/>
  <c r="CG4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45" i="19"/>
  <c r="CG46" i="19" s="1"/>
  <c r="CH43" i="19" s="1"/>
  <c r="AX21" i="15"/>
  <c r="AZ216" i="11"/>
  <c r="AY228" i="11"/>
  <c r="AY229" i="11" s="1"/>
  <c r="AL201" i="11" l="1"/>
  <c r="BH206" i="11"/>
  <c r="BH37" i="5" s="1"/>
  <c r="BL212" i="11"/>
  <c r="BM209" i="11" s="1"/>
  <c r="BM211" i="11" s="1"/>
  <c r="BM38" i="5" s="1"/>
  <c r="CH45" i="19"/>
  <c r="CH46" i="19" s="1"/>
  <c r="CI4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45" i="19"/>
  <c r="CI46" i="19" s="1"/>
  <c r="CJ43" i="19" s="1"/>
  <c r="AY18" i="15"/>
  <c r="BA159" i="11"/>
  <c r="AY264" i="11"/>
  <c r="BA63" i="6"/>
  <c r="BM212" i="11"/>
  <c r="BN209" i="11" s="1"/>
  <c r="AY269" i="11"/>
  <c r="AS90" i="11"/>
  <c r="AS81" i="11"/>
  <c r="AS38" i="19"/>
  <c r="AZ228" i="11"/>
  <c r="AZ229" i="11" s="1"/>
  <c r="AK29" i="15" l="1"/>
  <c r="AM199" i="11"/>
  <c r="BI207" i="11"/>
  <c r="BJ204" i="11" s="1"/>
  <c r="BJ206" i="11" s="1"/>
  <c r="BJ37" i="5" s="1"/>
  <c r="AY23" i="15"/>
  <c r="AY20" i="15" s="1"/>
  <c r="BA226" i="11"/>
  <c r="CJ45" i="19"/>
  <c r="CJ46" i="19" s="1"/>
  <c r="CK4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45" i="19"/>
  <c r="CK46" i="19" s="1"/>
  <c r="CL43" i="19" s="1"/>
  <c r="U33" i="17"/>
  <c r="AT38" i="19"/>
  <c r="BB63" i="6"/>
  <c r="AT81" i="11"/>
  <c r="AT90" i="11"/>
  <c r="BN212" i="11"/>
  <c r="BO209" i="11" s="1"/>
  <c r="AZ264" i="11"/>
  <c r="BB221" i="11"/>
  <c r="AZ22" i="15"/>
  <c r="AZ21" i="15"/>
  <c r="BB216" i="11"/>
  <c r="BA228" i="11"/>
  <c r="BA229" i="11" s="1"/>
  <c r="AM36" i="5" l="1"/>
  <c r="AM34" i="5" s="1"/>
  <c r="AM202" i="11"/>
  <c r="BK207" i="11"/>
  <c r="BL204" i="11" s="1"/>
  <c r="BL206" i="11" s="1"/>
  <c r="BL37" i="5" s="1"/>
  <c r="CL45" i="19"/>
  <c r="CL46" i="19" s="1"/>
  <c r="CM4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45" i="19"/>
  <c r="CM46" i="19" s="1"/>
  <c r="CN43" i="19" s="1"/>
  <c r="BC159" i="11"/>
  <c r="BA18" i="15"/>
  <c r="R13" i="18" s="1"/>
  <c r="BA22" i="15"/>
  <c r="R17" i="18" s="1"/>
  <c r="BC221" i="11"/>
  <c r="BA269" i="11"/>
  <c r="BA264" i="11"/>
  <c r="AU90" i="11"/>
  <c r="AU81" i="11"/>
  <c r="AU38" i="19"/>
  <c r="BO212" i="11"/>
  <c r="BP209" i="11" s="1"/>
  <c r="BC63" i="6"/>
  <c r="BA21" i="15"/>
  <c r="BC216" i="11"/>
  <c r="AU79" i="11"/>
  <c r="BB228" i="11"/>
  <c r="BB229" i="11" s="1"/>
  <c r="AN201" i="11" l="1"/>
  <c r="BM206" i="11"/>
  <c r="BM37" i="5" s="1"/>
  <c r="BA23" i="15"/>
  <c r="R18" i="18" s="1"/>
  <c r="BC226" i="11"/>
  <c r="CN45" i="19"/>
  <c r="CN46" i="19" s="1"/>
  <c r="CO4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45" i="19"/>
  <c r="CO46" i="19" s="1"/>
  <c r="CP4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45" i="19"/>
  <c r="CP46" i="19" s="1"/>
  <c r="CQ43" i="19" s="1"/>
  <c r="BD223" i="11"/>
  <c r="BD224" i="11" s="1"/>
  <c r="BD227" i="11"/>
  <c r="BE26" i="6" s="1"/>
  <c r="BB271" i="11"/>
  <c r="BB272" i="11" s="1"/>
  <c r="BB266" i="11"/>
  <c r="BB267" i="11" s="1"/>
  <c r="BD218" i="11"/>
  <c r="BD219" i="11" s="1"/>
  <c r="AV90" i="11"/>
  <c r="AV81" i="11"/>
  <c r="AV38" i="19"/>
  <c r="BD161" i="11"/>
  <c r="BD162" i="11" s="1"/>
  <c r="BQ211" i="11"/>
  <c r="BQ38" i="5" s="1"/>
  <c r="AO201" i="11" l="1"/>
  <c r="BN207" i="11"/>
  <c r="BO204" i="11" s="1"/>
  <c r="BO206" i="11" s="1"/>
  <c r="BO37" i="5" s="1"/>
  <c r="AW80" i="11"/>
  <c r="AW90" i="11" s="1"/>
  <c r="CQ45" i="19"/>
  <c r="CQ46" i="19" s="1"/>
  <c r="CR43" i="19" s="1"/>
  <c r="V81" i="19" s="1"/>
  <c r="J141" i="21" s="1"/>
  <c r="BE159" i="11"/>
  <c r="BC18" i="15"/>
  <c r="AW3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45" i="19"/>
  <c r="CR46" i="19" s="1"/>
  <c r="CS43" i="19" s="1"/>
  <c r="BC266" i="11"/>
  <c r="BC267" i="11" s="1"/>
  <c r="AN29" i="15" l="1"/>
  <c r="AP199" i="11"/>
  <c r="BP207" i="11"/>
  <c r="BQ204" i="11" s="1"/>
  <c r="BQ206" i="11" s="1"/>
  <c r="BQ37" i="5" s="1"/>
  <c r="BF159" i="11"/>
  <c r="BD18" i="15"/>
  <c r="BD264" i="11"/>
  <c r="BD22" i="15"/>
  <c r="BF221" i="11"/>
  <c r="BD269" i="11"/>
  <c r="BR212" i="11"/>
  <c r="BS209" i="11" s="1"/>
  <c r="BD21" i="15"/>
  <c r="BF216" i="11"/>
  <c r="CS45" i="19"/>
  <c r="CS46" i="19" s="1"/>
  <c r="CT4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45" i="19"/>
  <c r="CT46" i="19" s="1"/>
  <c r="CU43" i="19" s="1"/>
  <c r="AX38" i="19"/>
  <c r="BF161" i="11"/>
  <c r="BF162" i="11" s="1"/>
  <c r="AP36" i="5" l="1"/>
  <c r="AP34" i="5" s="1"/>
  <c r="AP202" i="11"/>
  <c r="BR207" i="11"/>
  <c r="BS204" i="11" s="1"/>
  <c r="BS206" i="11" s="1"/>
  <c r="BS37" i="5" s="1"/>
  <c r="BS212" i="11"/>
  <c r="BT209" i="11" s="1"/>
  <c r="BT211" i="11" s="1"/>
  <c r="BT38" i="5" s="1"/>
  <c r="BE264" i="11"/>
  <c r="CU45" i="19"/>
  <c r="CU46" i="19" s="1"/>
  <c r="CV4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38" i="19"/>
  <c r="CV45" i="19"/>
  <c r="CV46" i="19" s="1"/>
  <c r="CW4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45" i="19"/>
  <c r="CW46" i="19" s="1"/>
  <c r="CX43" i="19" s="1"/>
  <c r="AQ36" i="5" l="1"/>
  <c r="AQ34" i="5" s="1"/>
  <c r="AQ202" i="11"/>
  <c r="CX45" i="19"/>
  <c r="CX46" i="19" s="1"/>
  <c r="CY43" i="19" s="1"/>
  <c r="V8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45" i="19"/>
  <c r="CY46" i="19" s="1"/>
  <c r="CZ43" i="19" s="1"/>
  <c r="BI221" i="11"/>
  <c r="BG22" i="15"/>
  <c r="S17" i="18" s="1"/>
  <c r="H215" i="32" s="1"/>
  <c r="BU206" i="11"/>
  <c r="BU37" i="5" s="1"/>
  <c r="BG264" i="11"/>
  <c r="AZ81" i="11"/>
  <c r="AZ90" i="11"/>
  <c r="BH228" i="11"/>
  <c r="BH229" i="11" s="1"/>
  <c r="BV212" i="11"/>
  <c r="BW209" i="11" s="1"/>
  <c r="AZ79" i="11"/>
  <c r="BI216" i="11"/>
  <c r="BG21" i="15"/>
  <c r="AZ38" i="19"/>
  <c r="BI63" i="6"/>
  <c r="BG269" i="11"/>
  <c r="AR201" i="11" l="1"/>
  <c r="BU207" i="11"/>
  <c r="BV204" i="11" s="1"/>
  <c r="BV206" i="11" s="1"/>
  <c r="BV37" i="5" s="1"/>
  <c r="CZ45" i="19"/>
  <c r="CZ46" i="19" s="1"/>
  <c r="DA4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45" i="19"/>
  <c r="DA46" i="19" s="1"/>
  <c r="DB43" i="19" s="1"/>
  <c r="BJ63" i="6"/>
  <c r="BH18" i="15"/>
  <c r="BJ159" i="11"/>
  <c r="BA78" i="11"/>
  <c r="BA112" i="5" s="1"/>
  <c r="BA80" i="11"/>
  <c r="AS199" i="11" l="1"/>
  <c r="AQ29" i="15"/>
  <c r="BX212" i="11"/>
  <c r="BY209" i="11" s="1"/>
  <c r="BY211" i="11" s="1"/>
  <c r="BY38" i="5" s="1"/>
  <c r="DB45" i="19"/>
  <c r="DB46" i="19" s="1"/>
  <c r="DC43" i="19" s="1"/>
  <c r="BA90" i="11"/>
  <c r="BA81" i="11"/>
  <c r="BW206" i="11"/>
  <c r="BW37" i="5" s="1"/>
  <c r="BH271" i="11"/>
  <c r="BH272" i="11" s="1"/>
  <c r="BH266" i="11"/>
  <c r="BH267" i="11" s="1"/>
  <c r="BA3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45" i="19"/>
  <c r="DC46" i="19" s="1"/>
  <c r="DD43" i="19" s="1"/>
  <c r="BI21" i="15"/>
  <c r="BK216" i="11"/>
  <c r="AS36" i="5" l="1"/>
  <c r="AS34" i="5" s="1"/>
  <c r="AS202" i="11"/>
  <c r="BK218" i="11"/>
  <c r="BK219" i="11" s="1"/>
  <c r="BB78" i="11"/>
  <c r="BB112" i="5" s="1"/>
  <c r="BB80" i="11"/>
  <c r="BX206" i="11"/>
  <c r="BX37" i="5" s="1"/>
  <c r="BK226" i="11"/>
  <c r="BI23" i="15"/>
  <c r="BI20" i="15" s="1"/>
  <c r="BK161" i="11"/>
  <c r="BK162" i="11" s="1"/>
  <c r="BI266" i="11"/>
  <c r="BI267" i="11" s="1"/>
  <c r="DD45" i="19"/>
  <c r="DD46" i="19" s="1"/>
  <c r="DE43" i="19" s="1"/>
  <c r="BZ211" i="11"/>
  <c r="BZ38" i="5" s="1"/>
  <c r="BK227" i="11"/>
  <c r="BL26" i="6" s="1"/>
  <c r="BK223" i="11"/>
  <c r="BK224" i="11" s="1"/>
  <c r="BI271" i="11"/>
  <c r="BI272" i="11" s="1"/>
  <c r="AR29" i="15" l="1"/>
  <c r="AT199" i="11"/>
  <c r="BJ269" i="11"/>
  <c r="BJ18" i="15"/>
  <c r="BL159" i="11"/>
  <c r="DE45" i="19"/>
  <c r="DE46" i="19" s="1"/>
  <c r="DF43" i="19" s="1"/>
  <c r="BJ264" i="11"/>
  <c r="BB90" i="11"/>
  <c r="BB81" i="11"/>
  <c r="BB38" i="19"/>
  <c r="BB79" i="11"/>
  <c r="BC76" i="11" s="1"/>
  <c r="BL221" i="11"/>
  <c r="BJ22" i="15"/>
  <c r="BL63" i="6"/>
  <c r="BK228" i="11"/>
  <c r="BK229" i="11" s="1"/>
  <c r="BZ212" i="11"/>
  <c r="CA209" i="11" s="1"/>
  <c r="BL216" i="11"/>
  <c r="BJ21" i="15"/>
  <c r="BX207" i="11"/>
  <c r="BY204" i="11" s="1"/>
  <c r="AT201" i="11" l="1"/>
  <c r="BJ23" i="15"/>
  <c r="BJ20" i="15" s="1"/>
  <c r="BL226" i="11"/>
  <c r="DF45" i="19"/>
  <c r="DF46" i="19" s="1"/>
  <c r="DG4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45" i="19"/>
  <c r="DG46" i="19" s="1"/>
  <c r="DH43" i="19" s="1"/>
  <c r="BK18" i="15"/>
  <c r="BM159" i="11"/>
  <c r="BY207" i="11"/>
  <c r="BZ204" i="11" s="1"/>
  <c r="BK21" i="15"/>
  <c r="BM216" i="11"/>
  <c r="BK269" i="11"/>
  <c r="BC90" i="11"/>
  <c r="BC81" i="11"/>
  <c r="BL228" i="11"/>
  <c r="BL229" i="11" s="1"/>
  <c r="BC38" i="19"/>
  <c r="BM63" i="6"/>
  <c r="AS29" i="15" l="1"/>
  <c r="AU199" i="11"/>
  <c r="CB212" i="11"/>
  <c r="CC209" i="11" s="1"/>
  <c r="CC211" i="11" s="1"/>
  <c r="CC38" i="5" s="1"/>
  <c r="BM226" i="11"/>
  <c r="BK23" i="15"/>
  <c r="BK20" i="15" s="1"/>
  <c r="DH45" i="19"/>
  <c r="DH46" i="19" s="1"/>
  <c r="DI4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45" i="19"/>
  <c r="DI46" i="19" s="1"/>
  <c r="DJ43" i="19" s="1"/>
  <c r="BD81" i="11"/>
  <c r="BD90" i="11"/>
  <c r="BL18" i="15"/>
  <c r="BN159" i="11"/>
  <c r="BN63" i="6"/>
  <c r="W32" i="17"/>
  <c r="BD38" i="19"/>
  <c r="BL22" i="15"/>
  <c r="BN221" i="11"/>
  <c r="BL21" i="15"/>
  <c r="BN216" i="11"/>
  <c r="BM228" i="11"/>
  <c r="BM229" i="11" s="1"/>
  <c r="AU36" i="5" l="1"/>
  <c r="AU34" i="5" s="1"/>
  <c r="AU202" i="11"/>
  <c r="CA207" i="11"/>
  <c r="CB204" i="11" s="1"/>
  <c r="CB206" i="11" s="1"/>
  <c r="CB37" i="5" s="1"/>
  <c r="DJ45" i="19"/>
  <c r="DJ46" i="19" s="1"/>
  <c r="DK4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45" i="19"/>
  <c r="DK46" i="19" s="1"/>
  <c r="DL43" i="19" s="1"/>
  <c r="BM264" i="11"/>
  <c r="BN228" i="11"/>
  <c r="BN229" i="11" s="1"/>
  <c r="BO63" i="6"/>
  <c r="BO221" i="11"/>
  <c r="BM22" i="15"/>
  <c r="T17" i="18" s="1"/>
  <c r="BE38" i="19"/>
  <c r="BE81" i="11"/>
  <c r="BE90" i="11"/>
  <c r="CE211" i="11"/>
  <c r="CE38" i="5" s="1"/>
  <c r="AV201" i="11" l="1"/>
  <c r="BM23" i="15"/>
  <c r="T18" i="18" s="1"/>
  <c r="BO226" i="11"/>
  <c r="DL45" i="19"/>
  <c r="DL46" i="19" s="1"/>
  <c r="DM4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38" i="19"/>
  <c r="BF79" i="11"/>
  <c r="CF211" i="11"/>
  <c r="CF38" i="5" s="1"/>
  <c r="DM45" i="19"/>
  <c r="DM46" i="19" s="1"/>
  <c r="DN43" i="19" s="1"/>
  <c r="BP216" i="11"/>
  <c r="BN21" i="15"/>
  <c r="BF90" i="11"/>
  <c r="BF81" i="11"/>
  <c r="CD206" i="11"/>
  <c r="CD37" i="5" s="1"/>
  <c r="BO228" i="11"/>
  <c r="BO229" i="11" s="1"/>
  <c r="BP63" i="6"/>
  <c r="AU29" i="15" l="1"/>
  <c r="AW199" i="11"/>
  <c r="DN45" i="19"/>
  <c r="DN46" i="19" s="1"/>
  <c r="DO4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45" i="19"/>
  <c r="DO46" i="19" s="1"/>
  <c r="DP43" i="19" s="1"/>
  <c r="V8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45" i="19"/>
  <c r="DP46" i="19" s="1"/>
  <c r="DQ43" i="19" s="1"/>
  <c r="BG79" i="11"/>
  <c r="BQ218" i="11"/>
  <c r="BQ219" i="11" s="1"/>
  <c r="BG3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45" i="19"/>
  <c r="DQ46" i="19" s="1"/>
  <c r="DR4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45" i="19"/>
  <c r="DR46" i="19" s="1"/>
  <c r="DS4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38" i="19"/>
  <c r="BR228" i="11"/>
  <c r="BR229" i="11" s="1"/>
  <c r="DS45" i="19"/>
  <c r="DS46" i="19" s="1"/>
  <c r="DT43" i="19" s="1"/>
  <c r="AW29" i="15" l="1"/>
  <c r="AY199" i="11"/>
  <c r="CH207" i="11"/>
  <c r="CI204" i="11" s="1"/>
  <c r="CI206" i="11" s="1"/>
  <c r="CI37" i="5" s="1"/>
  <c r="DT45" i="19"/>
  <c r="DT46" i="19" s="1"/>
  <c r="DU4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38" i="19"/>
  <c r="BS228" i="11"/>
  <c r="BS229" i="11" s="1"/>
  <c r="BT159" i="11"/>
  <c r="BR18" i="15"/>
  <c r="BR21" i="15"/>
  <c r="BT216" i="11"/>
  <c r="BT63" i="6"/>
  <c r="BT221" i="11"/>
  <c r="BR22" i="15"/>
  <c r="BI90" i="11"/>
  <c r="BI81" i="11"/>
  <c r="DU45" i="19"/>
  <c r="DU46" i="19" s="1"/>
  <c r="DV43" i="19" s="1"/>
  <c r="BI79" i="11"/>
  <c r="AY36" i="5" l="1"/>
  <c r="AY34" i="5" s="1"/>
  <c r="AY202" i="11"/>
  <c r="CK212" i="11"/>
  <c r="CL209" i="11" s="1"/>
  <c r="CL211" i="11" s="1"/>
  <c r="CL38" i="5" s="1"/>
  <c r="Y33" i="17" s="1"/>
  <c r="DV45" i="19"/>
  <c r="DV46" i="19" s="1"/>
  <c r="DW4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45" i="19"/>
  <c r="DW46" i="19" s="1"/>
  <c r="DX43" i="19" s="1"/>
  <c r="BJ80" i="11"/>
  <c r="BJ78" i="11"/>
  <c r="BJ112" i="5" s="1"/>
  <c r="BU63" i="6"/>
  <c r="CJ207" i="11"/>
  <c r="CK204" i="11" s="1"/>
  <c r="BS264" i="11"/>
  <c r="BS21" i="15"/>
  <c r="BU216" i="11"/>
  <c r="BT228" i="11"/>
  <c r="BT229" i="11" s="1"/>
  <c r="CL212" i="11"/>
  <c r="CM209" i="11" s="1"/>
  <c r="AZ201" i="11" l="1"/>
  <c r="DX45" i="19"/>
  <c r="DX46" i="19" s="1"/>
  <c r="DY43" i="19" s="1"/>
  <c r="BS23" i="15"/>
  <c r="U18" i="18" s="1"/>
  <c r="I216" i="32" s="1"/>
  <c r="BU226" i="11"/>
  <c r="CK206" i="11"/>
  <c r="CK37" i="5" s="1"/>
  <c r="BU161" i="11"/>
  <c r="BU162" i="11" s="1"/>
  <c r="BU227" i="11"/>
  <c r="BV26" i="6" s="1"/>
  <c r="BU223" i="11"/>
  <c r="BU224" i="11" s="1"/>
  <c r="CM211" i="11"/>
  <c r="CM38" i="5" s="1"/>
  <c r="BU218" i="11"/>
  <c r="BU219" i="11" s="1"/>
  <c r="BJ3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45" i="19"/>
  <c r="DY46" i="19" s="1"/>
  <c r="DZ43" i="19" s="1"/>
  <c r="BT22" i="15"/>
  <c r="BV221" i="11"/>
  <c r="BV63" i="6"/>
  <c r="BU228" i="11"/>
  <c r="BU229" i="11" s="1"/>
  <c r="BV159" i="11"/>
  <c r="BT18" i="15"/>
  <c r="BT269" i="11"/>
  <c r="BK76" i="11"/>
  <c r="AY29" i="15" l="1"/>
  <c r="BA199" i="11"/>
  <c r="CN212" i="11"/>
  <c r="CO209" i="11" s="1"/>
  <c r="CO211" i="11" s="1"/>
  <c r="CO38" i="5" s="1"/>
  <c r="DZ45" i="19"/>
  <c r="DZ46" i="19" s="1"/>
  <c r="EA4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45" i="19"/>
  <c r="EA46" i="19" s="1"/>
  <c r="EB43" i="19" s="1"/>
  <c r="V87" i="19" s="1"/>
  <c r="J147" i="21" s="1"/>
  <c r="CM206" i="11"/>
  <c r="CM37" i="5" s="1"/>
  <c r="BW159" i="11"/>
  <c r="BU18" i="15"/>
  <c r="BV228" i="11"/>
  <c r="BV229" i="11" s="1"/>
  <c r="BW63" i="6"/>
  <c r="BK81" i="11"/>
  <c r="BK90" i="11"/>
  <c r="BK38" i="19"/>
  <c r="CO212" i="11"/>
  <c r="CP209" i="11" s="1"/>
  <c r="BW216" i="11"/>
  <c r="BU21" i="15"/>
  <c r="BW221" i="11"/>
  <c r="BU22" i="15"/>
  <c r="BA36" i="5" l="1"/>
  <c r="BA34" i="5" s="1"/>
  <c r="BA202" i="11"/>
  <c r="CM207" i="11"/>
  <c r="CN204" i="11" s="1"/>
  <c r="CN206" i="11" s="1"/>
  <c r="CN37" i="5" s="1"/>
  <c r="BU23" i="15"/>
  <c r="BU20" i="15" s="1"/>
  <c r="BW226" i="11"/>
  <c r="BL80" i="11"/>
  <c r="BL78" i="11"/>
  <c r="BL112" i="5" s="1"/>
  <c r="EB45" i="19"/>
  <c r="EB46" i="19" s="1"/>
  <c r="EC4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45" i="19"/>
  <c r="EC46" i="19" s="1"/>
  <c r="ED43" i="19" s="1"/>
  <c r="BV264" i="11"/>
  <c r="BW228" i="11"/>
  <c r="BW229" i="11" s="1"/>
  <c r="BV269" i="11"/>
  <c r="BL38" i="19"/>
  <c r="BL90" i="11"/>
  <c r="BL81" i="11"/>
  <c r="BV22" i="15"/>
  <c r="BX221" i="11"/>
  <c r="BL79" i="11"/>
  <c r="BX63" i="6"/>
  <c r="BB201" i="11" l="1"/>
  <c r="ED45" i="19"/>
  <c r="ED46" i="19" s="1"/>
  <c r="EE4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45" i="19"/>
  <c r="EE46" i="19" s="1"/>
  <c r="EF4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38" i="19"/>
  <c r="EF45" i="19"/>
  <c r="EF46" i="19" s="1"/>
  <c r="EG43" i="19" s="1"/>
  <c r="BY227" i="11"/>
  <c r="BZ26" i="6" s="1"/>
  <c r="BY223" i="11"/>
  <c r="BY224" i="11" s="1"/>
  <c r="R24" i="18" l="1"/>
  <c r="BC201" i="11"/>
  <c r="CQ207" i="11"/>
  <c r="CR204" i="11" s="1"/>
  <c r="CR206" i="11" s="1"/>
  <c r="CR37" i="5" s="1"/>
  <c r="BX269" i="11"/>
  <c r="CS211" i="11"/>
  <c r="CS38" i="5" s="1"/>
  <c r="BZ216" i="11"/>
  <c r="BX21" i="15"/>
  <c r="BZ221" i="11"/>
  <c r="BX22" i="15"/>
  <c r="BZ63" i="6"/>
  <c r="EG45" i="19"/>
  <c r="EG46" i="19" s="1"/>
  <c r="EH4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45" i="19"/>
  <c r="EH46" i="19" s="1"/>
  <c r="EI43" i="19" s="1"/>
  <c r="BX266" i="11"/>
  <c r="BX267" i="11" s="1"/>
  <c r="BX271" i="11"/>
  <c r="BX272" i="11" s="1"/>
  <c r="BB29" i="15" l="1"/>
  <c r="BD199" i="11"/>
  <c r="BN79" i="11"/>
  <c r="BO76" i="11" s="1"/>
  <c r="BO78" i="11" s="1"/>
  <c r="BO112" i="5" s="1"/>
  <c r="BY269" i="11"/>
  <c r="BY264" i="11"/>
  <c r="CA159" i="11"/>
  <c r="BY18" i="15"/>
  <c r="V13" i="18" s="1"/>
  <c r="EI45" i="19"/>
  <c r="EI46" i="19" s="1"/>
  <c r="EJ43" i="19" s="1"/>
  <c r="BZ228" i="11"/>
  <c r="BZ229" i="11" s="1"/>
  <c r="BN81" i="11"/>
  <c r="BN90" i="11"/>
  <c r="BY22" i="15"/>
  <c r="V17" i="18" s="1"/>
  <c r="CA221" i="11"/>
  <c r="CA63" i="6"/>
  <c r="CS206" i="11"/>
  <c r="CS37" i="5" s="1"/>
  <c r="BY21" i="15"/>
  <c r="CA216" i="11"/>
  <c r="BN38" i="19"/>
  <c r="CT211" i="11"/>
  <c r="CT38" i="5" s="1"/>
  <c r="BD201" i="11" l="1"/>
  <c r="BO80" i="11"/>
  <c r="BO81" i="11" s="1"/>
  <c r="BO79" i="11"/>
  <c r="BP76" i="11" s="1"/>
  <c r="CS207" i="11"/>
  <c r="CT204" i="11" s="1"/>
  <c r="CT206" i="11" s="1"/>
  <c r="CT37" i="5" s="1"/>
  <c r="BY23" i="15"/>
  <c r="V18" i="18" s="1"/>
  <c r="CA226" i="11"/>
  <c r="EJ45" i="19"/>
  <c r="EJ46" i="19" s="1"/>
  <c r="EK43" i="19" s="1"/>
  <c r="BO3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45" i="19"/>
  <c r="EK46" i="19" s="1"/>
  <c r="EL43" i="19" s="1"/>
  <c r="CB221" i="11"/>
  <c r="BZ22" i="15"/>
  <c r="CA228" i="11"/>
  <c r="CA229" i="11" s="1"/>
  <c r="CB63" i="6"/>
  <c r="BE199" i="11" l="1"/>
  <c r="BC29" i="15"/>
  <c r="BZ23" i="15"/>
  <c r="BZ20" i="15" s="1"/>
  <c r="CB226" i="11"/>
  <c r="EL45" i="19"/>
  <c r="EL46" i="19" s="1"/>
  <c r="EM43" i="19" s="1"/>
  <c r="BZ266" i="11"/>
  <c r="BZ267" i="11" s="1"/>
  <c r="CU212" i="11"/>
  <c r="CV209" i="11" s="1"/>
  <c r="BZ271" i="11"/>
  <c r="BZ272" i="11" s="1"/>
  <c r="CU207" i="11"/>
  <c r="CV204" i="11" s="1"/>
  <c r="BP81" i="11"/>
  <c r="BP90" i="11"/>
  <c r="CB218" i="11"/>
  <c r="CB219" i="11" s="1"/>
  <c r="BP38" i="19"/>
  <c r="CB227" i="11"/>
  <c r="CC26" i="6" s="1"/>
  <c r="CB223" i="11"/>
  <c r="CB224" i="11" s="1"/>
  <c r="BP79" i="11"/>
  <c r="CB161" i="11"/>
  <c r="CB162" i="11" s="1"/>
  <c r="BE201" i="11" l="1"/>
  <c r="CA21" i="15"/>
  <c r="CC216" i="11"/>
  <c r="CA264" i="11"/>
  <c r="CA269" i="11"/>
  <c r="BQ76" i="11"/>
  <c r="CC159" i="11"/>
  <c r="CA18" i="15"/>
  <c r="EM45" i="19"/>
  <c r="EM46" i="19" s="1"/>
  <c r="EN4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45" i="19"/>
  <c r="EN46" i="19" s="1"/>
  <c r="EO4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45" i="19"/>
  <c r="EO46" i="19" s="1"/>
  <c r="EP43" i="19" s="1"/>
  <c r="BQ90" i="11"/>
  <c r="BQ81" i="11"/>
  <c r="BQ38" i="19"/>
  <c r="CD159" i="11"/>
  <c r="CB18" i="15"/>
  <c r="CW212" i="11"/>
  <c r="CX209" i="11" s="1"/>
  <c r="CD63" i="6"/>
  <c r="CC228" i="11"/>
  <c r="CC229" i="11" s="1"/>
  <c r="BF201" i="11" l="1"/>
  <c r="EP45" i="19"/>
  <c r="EP46" i="19" s="1"/>
  <c r="EQ4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BF36" i="5" l="1"/>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45" i="19"/>
  <c r="J45" i="19" s="1"/>
  <c r="V68" i="19"/>
  <c r="J128" i="21" s="1"/>
  <c r="V78" i="19"/>
  <c r="J138" i="21" s="1"/>
  <c r="V80" i="19"/>
  <c r="J140" i="21" s="1"/>
  <c r="V83" i="19"/>
  <c r="J143" i="21" s="1"/>
  <c r="V84" i="19"/>
  <c r="J144" i="21" s="1"/>
  <c r="V86" i="19"/>
  <c r="J146" i="21" s="1"/>
  <c r="BR38" i="19"/>
  <c r="BG199" i="11" l="1"/>
  <c r="BE29" i="15"/>
  <c r="EQ4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3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3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3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3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3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3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3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3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3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3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3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3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3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3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3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3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3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3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3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3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3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3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3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3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3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38" i="19"/>
  <c r="DJ223" i="11"/>
  <c r="DJ224" i="11" s="1"/>
  <c r="DJ227" i="11"/>
  <c r="DK26" i="6" s="1"/>
  <c r="CR81" i="11"/>
  <c r="CR90" i="11"/>
  <c r="DH266" i="11"/>
  <c r="DH267" i="11" s="1"/>
  <c r="DJ161" i="11"/>
  <c r="DJ162" i="11" s="1"/>
  <c r="DH271" i="11"/>
  <c r="DH272" i="11" s="1"/>
  <c r="DJ218" i="11"/>
  <c r="DJ219" i="11" s="1"/>
  <c r="CB199" i="11" l="1"/>
  <c r="BZ29" i="15"/>
  <c r="CS78" i="11"/>
  <c r="CS112" i="5" s="1"/>
  <c r="CS3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3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3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3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3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38" i="19"/>
  <c r="DO21" i="15"/>
  <c r="DQ216" i="11"/>
  <c r="CX90" i="11"/>
  <c r="CX81" i="11"/>
  <c r="CF201" i="11" l="1"/>
  <c r="CY80" i="11"/>
  <c r="CY90" i="11" s="1"/>
  <c r="DO23" i="15"/>
  <c r="AC18" i="18" s="1"/>
  <c r="M216" i="32" s="1"/>
  <c r="DQ226" i="11"/>
  <c r="DQ161" i="11"/>
  <c r="DQ162" i="11" s="1"/>
  <c r="CY79" i="11"/>
  <c r="CY3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3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3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3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3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38" i="19"/>
  <c r="DX63" i="6"/>
  <c r="DX221" i="11"/>
  <c r="DV22" i="15"/>
  <c r="DW228" i="11"/>
  <c r="DW229" i="11" s="1"/>
  <c r="CK199" i="11" l="1"/>
  <c r="CI29" i="15"/>
  <c r="DE80" i="11"/>
  <c r="DE90" i="11" s="1"/>
  <c r="DX226" i="11"/>
  <c r="DV23" i="15"/>
  <c r="DV20" i="15" s="1"/>
  <c r="DE79" i="11"/>
  <c r="DX161" i="11"/>
  <c r="DX162" i="11" s="1"/>
  <c r="DE3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3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3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3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3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38" i="19"/>
  <c r="EE159" i="11"/>
  <c r="EC18" i="15"/>
  <c r="ED228" i="11"/>
  <c r="ED229" i="11" s="1"/>
  <c r="DJ90" i="11"/>
  <c r="DJ81" i="11"/>
  <c r="EE63" i="6"/>
  <c r="CO36" i="5" l="1"/>
  <c r="CO34" i="5" s="1"/>
  <c r="CO202" i="11"/>
  <c r="DK78" i="11"/>
  <c r="DK112" i="5" s="1"/>
  <c r="DK3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3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3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3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3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3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3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3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3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3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3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3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3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38" i="19"/>
  <c r="CX29" i="15" l="1"/>
  <c r="CZ199" i="11"/>
  <c r="DY76" i="11"/>
  <c r="CZ201" i="11" l="1"/>
  <c r="DY80" i="11"/>
  <c r="DY78" i="11"/>
  <c r="DY112" i="5" s="1"/>
  <c r="CZ36" i="5" l="1"/>
  <c r="CZ34" i="5" s="1"/>
  <c r="CZ202" i="11"/>
  <c r="DY79" i="11"/>
  <c r="DZ76" i="11" s="1"/>
  <c r="DY81" i="11"/>
  <c r="DY90" i="11"/>
  <c r="DY38" i="19"/>
  <c r="CY29" i="15" l="1"/>
  <c r="DA199" i="11"/>
  <c r="DZ80" i="11"/>
  <c r="DZ78" i="11"/>
  <c r="DZ112" i="5" s="1"/>
  <c r="DA201" i="11" l="1"/>
  <c r="DZ38" i="19"/>
  <c r="DZ79" i="11"/>
  <c r="DZ81" i="11"/>
  <c r="DZ90" i="11"/>
  <c r="DA36" i="5" l="1"/>
  <c r="DA34" i="5" s="1"/>
  <c r="DA202" i="11"/>
  <c r="EA76" i="11"/>
  <c r="CZ29" i="15" l="1"/>
  <c r="DB199" i="11"/>
  <c r="EA78" i="11"/>
  <c r="EA112" i="5" s="1"/>
  <c r="EA80" i="11"/>
  <c r="DB201" i="11" l="1"/>
  <c r="AB78" i="21"/>
  <c r="AA78" i="21"/>
  <c r="EA90" i="11"/>
  <c r="EA81" i="11"/>
  <c r="EA38" i="19"/>
  <c r="EA79" i="11"/>
  <c r="DB36" i="5" l="1"/>
  <c r="DB34" i="5" s="1"/>
  <c r="DB202" i="11"/>
  <c r="EB76" i="11"/>
  <c r="DA29" i="15" l="1"/>
  <c r="DC199" i="11"/>
  <c r="EB80" i="11"/>
  <c r="EB78" i="11"/>
  <c r="EB112" i="5" s="1"/>
  <c r="M19" i="5"/>
  <c r="DC201" i="11" l="1"/>
  <c r="C230" i="32"/>
  <c r="EB38" i="19"/>
  <c r="EB79" i="11"/>
  <c r="EC76" i="11" s="1"/>
  <c r="EB90" i="11"/>
  <c r="EB81" i="11"/>
  <c r="DC36" i="5" l="1"/>
  <c r="DC34" i="5" s="1"/>
  <c r="DC202" i="11"/>
  <c r="EC78" i="11"/>
  <c r="EC112" i="5" s="1"/>
  <c r="EC80" i="11"/>
  <c r="DD199" i="11" l="1"/>
  <c r="DB29" i="15"/>
  <c r="EC79" i="11"/>
  <c r="ED76" i="11" s="1"/>
  <c r="ED78" i="11" s="1"/>
  <c r="ED112" i="5" s="1"/>
  <c r="EC90" i="11"/>
  <c r="EC81" i="11"/>
  <c r="EC38" i="19"/>
  <c r="DD201" i="11" l="1"/>
  <c r="ED80" i="11"/>
  <c r="ED81" i="11" s="1"/>
  <c r="ED79" i="11"/>
  <c r="EE76" i="11" s="1"/>
  <c r="EE80" i="11" s="1"/>
  <c r="ED38" i="19"/>
  <c r="DD36" i="5" l="1"/>
  <c r="DD34" i="5" s="1"/>
  <c r="DD202" i="11"/>
  <c r="EE78" i="11"/>
  <c r="EE112" i="5" s="1"/>
  <c r="EE38" i="19" s="1"/>
  <c r="ED90" i="11"/>
  <c r="EE90" i="11"/>
  <c r="EE81" i="11"/>
  <c r="DC29" i="15" l="1"/>
  <c r="DE199" i="11"/>
  <c r="EE79" i="11"/>
  <c r="EF76" i="11" s="1"/>
  <c r="EF80" i="11" s="1"/>
  <c r="AA24" i="18" l="1"/>
  <c r="DE201" i="11"/>
  <c r="EF78" i="11"/>
  <c r="EF112" i="5" s="1"/>
  <c r="EF38" i="19" s="1"/>
  <c r="EF81" i="11"/>
  <c r="EF90" i="11"/>
  <c r="L220" i="32" l="1"/>
  <c r="DE36" i="5"/>
  <c r="DE34" i="5" s="1"/>
  <c r="DE202" i="11"/>
  <c r="EF79" i="11"/>
  <c r="EG76" i="11" s="1"/>
  <c r="EG80" i="11" s="1"/>
  <c r="DF199" i="11" l="1"/>
  <c r="DD29" i="15"/>
  <c r="EG78" i="11"/>
  <c r="EG112" i="5" s="1"/>
  <c r="EG38" i="19" s="1"/>
  <c r="EG90" i="11"/>
  <c r="EG81" i="11"/>
  <c r="DF201" i="11" l="1"/>
  <c r="EG79" i="11"/>
  <c r="EH76" i="11" s="1"/>
  <c r="EH80" i="11" s="1"/>
  <c r="EH81" i="11" s="1"/>
  <c r="DF36" i="5" l="1"/>
  <c r="DF34" i="5" s="1"/>
  <c r="DF202" i="11"/>
  <c r="EH90" i="11"/>
  <c r="EH78" i="11"/>
  <c r="EH112" i="5" s="1"/>
  <c r="AG107" i="17" s="1"/>
  <c r="N19" i="5"/>
  <c r="DE29" i="15" l="1"/>
  <c r="DG199" i="11"/>
  <c r="EH38" i="19"/>
  <c r="EH79" i="11"/>
  <c r="EI76" i="11" s="1"/>
  <c r="EI80" i="11" s="1"/>
  <c r="EI81" i="11" s="1"/>
  <c r="DG201" i="11" l="1"/>
  <c r="EI90" i="11"/>
  <c r="EI78" i="11"/>
  <c r="EI112" i="5" s="1"/>
  <c r="EI38" i="19" s="1"/>
  <c r="DG36" i="5" l="1"/>
  <c r="DG34" i="5" s="1"/>
  <c r="DG202" i="11"/>
  <c r="EI79" i="11"/>
  <c r="EJ76" i="11" s="1"/>
  <c r="EJ80" i="11" s="1"/>
  <c r="DH199" i="11" l="1"/>
  <c r="DF29" i="15"/>
  <c r="EJ78" i="11"/>
  <c r="EJ112" i="5" s="1"/>
  <c r="EJ38" i="19" s="1"/>
  <c r="EJ90" i="11"/>
  <c r="EJ81" i="11"/>
  <c r="DH201" i="11" l="1"/>
  <c r="EJ79" i="11"/>
  <c r="EK76" i="11" s="1"/>
  <c r="DH36" i="5" l="1"/>
  <c r="DH34" i="5" s="1"/>
  <c r="DH202" i="11"/>
  <c r="EK78" i="11"/>
  <c r="EK112" i="5" s="1"/>
  <c r="EK38" i="19" s="1"/>
  <c r="EK80" i="11"/>
  <c r="DG29" i="15" l="1"/>
  <c r="DI199" i="11"/>
  <c r="EK79" i="11"/>
  <c r="EL76" i="11" s="1"/>
  <c r="EK81" i="11"/>
  <c r="EK90" i="11"/>
  <c r="DI201" i="11" l="1"/>
  <c r="EL80" i="11"/>
  <c r="EL78" i="11"/>
  <c r="EL112" i="5" s="1"/>
  <c r="EL38" i="19" s="1"/>
  <c r="DI36" i="5" l="1"/>
  <c r="DI34" i="5" s="1"/>
  <c r="DI202" i="11"/>
  <c r="EL79" i="11"/>
  <c r="EM76" i="11" s="1"/>
  <c r="EM78" i="11" s="1"/>
  <c r="EL81" i="11"/>
  <c r="EL90" i="11"/>
  <c r="DH29" i="15" l="1"/>
  <c r="DJ199" i="11"/>
  <c r="EM80" i="11"/>
  <c r="EM81" i="11" s="1"/>
  <c r="EM112" i="5"/>
  <c r="EM38" i="19" s="1"/>
  <c r="EM79" i="11"/>
  <c r="EN76" i="11" s="1"/>
  <c r="DJ201" i="11" l="1"/>
  <c r="EM90" i="11"/>
  <c r="EN78" i="11"/>
  <c r="EN112" i="5" s="1"/>
  <c r="EN80" i="11"/>
  <c r="O19" i="5"/>
  <c r="E589" i="32" s="1"/>
  <c r="DJ36" i="5" l="1"/>
  <c r="DJ34" i="5" s="1"/>
  <c r="DJ202" i="11"/>
  <c r="DK199" i="11" s="1"/>
  <c r="DI29" i="15"/>
  <c r="EN81" i="11"/>
  <c r="EN90" i="11"/>
  <c r="EN79" i="11"/>
  <c r="EO76" i="11" s="1"/>
  <c r="AH107" i="17"/>
  <c r="EN38" i="19"/>
  <c r="DK201" i="11" l="1"/>
  <c r="AB24" i="18"/>
  <c r="EO78" i="11"/>
  <c r="EO112" i="5" s="1"/>
  <c r="EO3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38" i="19" s="1"/>
  <c r="EP80" i="11"/>
  <c r="AD74" i="16"/>
  <c r="AD75" i="16" s="1"/>
  <c r="R74" i="16"/>
  <c r="R75" i="16" s="1"/>
  <c r="AC74" i="16"/>
  <c r="AC75" i="16" s="1"/>
  <c r="Q74" i="16"/>
  <c r="Q75" i="16" s="1"/>
  <c r="AB74" i="16"/>
  <c r="AB75" i="16" s="1"/>
  <c r="P74" i="16"/>
  <c r="P75" i="16" s="1"/>
  <c r="AA74" i="16"/>
  <c r="AA75" i="16" s="1"/>
  <c r="O74" i="16"/>
  <c r="O75" i="16" s="1"/>
  <c r="Z74" i="16"/>
  <c r="Z75" i="16" s="1"/>
  <c r="N74" i="16"/>
  <c r="N75" i="16" s="1"/>
  <c r="H93" i="1"/>
  <c r="Y74" i="16"/>
  <c r="Y75" i="16" s="1"/>
  <c r="A43" i="1"/>
  <c r="A44" i="1"/>
  <c r="A45" i="1"/>
  <c r="A46" i="1"/>
  <c r="A47" i="1"/>
  <c r="A48" i="1"/>
  <c r="A49" i="1"/>
  <c r="A50" i="1"/>
  <c r="A51" i="1"/>
  <c r="A52" i="1"/>
  <c r="A53" i="1"/>
  <c r="A54" i="1"/>
  <c r="A55" i="1"/>
  <c r="A56" i="1"/>
  <c r="A57" i="1"/>
  <c r="A58" i="1"/>
  <c r="A59" i="1"/>
  <c r="A60" i="1"/>
  <c r="A61" i="1"/>
  <c r="A62" i="1"/>
  <c r="X74" i="16"/>
  <c r="X75" i="16" s="1"/>
  <c r="W74" i="16"/>
  <c r="W75" i="16" s="1"/>
  <c r="V74" i="16"/>
  <c r="V75" i="16" s="1"/>
  <c r="U74" i="16"/>
  <c r="U75" i="16" s="1"/>
  <c r="AF74" i="16"/>
  <c r="AF75" i="16" s="1"/>
  <c r="T74" i="16"/>
  <c r="T75" i="16" s="1"/>
  <c r="AG74" i="16"/>
  <c r="AG75" i="16" s="1"/>
  <c r="AE74" i="16"/>
  <c r="AE75" i="16" s="1"/>
  <c r="S74" i="16"/>
  <c r="S75"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79"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78" i="21"/>
  <c r="AH78" i="21"/>
  <c r="E396" i="32"/>
  <c r="E422" i="32"/>
  <c r="E423" i="32" s="1"/>
  <c r="J404" i="32"/>
  <c r="X79" i="21"/>
  <c r="J377" i="32"/>
  <c r="U78" i="21"/>
  <c r="J345" i="32"/>
  <c r="EQ81" i="11"/>
  <c r="X107" i="26"/>
  <c r="J107" i="26" s="1"/>
  <c r="AI107" i="17"/>
  <c r="J107" i="17" s="1"/>
  <c r="EQ38" i="19"/>
  <c r="J38" i="19" s="1"/>
  <c r="J112" i="5"/>
  <c r="DM201" i="11" l="1"/>
  <c r="J405" i="32"/>
  <c r="AE80" i="21"/>
  <c r="J378" i="32"/>
  <c r="X80" i="21"/>
  <c r="DM36" i="5" l="1"/>
  <c r="DM34" i="5" s="1"/>
  <c r="DM202" i="11"/>
  <c r="J406" i="32"/>
  <c r="AE81" i="21"/>
  <c r="X81" i="21"/>
  <c r="J379" i="32"/>
  <c r="DL29" i="15" l="1"/>
  <c r="DN199" i="11"/>
  <c r="J407" i="32"/>
  <c r="AE82" i="21"/>
  <c r="J380" i="32"/>
  <c r="X82" i="21"/>
  <c r="DN201" i="11" l="1"/>
  <c r="J408" i="32"/>
  <c r="AE83" i="21"/>
  <c r="J381" i="32"/>
  <c r="X83" i="21"/>
  <c r="DN36" i="5" l="1"/>
  <c r="DN34" i="5" s="1"/>
  <c r="DN202" i="11"/>
  <c r="DO199" i="11" s="1"/>
  <c r="J409" i="32"/>
  <c r="AE84" i="21"/>
  <c r="J382" i="32"/>
  <c r="X84" i="21"/>
  <c r="P19" i="5"/>
  <c r="DM29" i="15" l="1"/>
  <c r="DO201" i="11"/>
  <c r="J410" i="32"/>
  <c r="AE85" i="21"/>
  <c r="J383" i="32"/>
  <c r="X85" i="21"/>
  <c r="DO36" i="5" l="1"/>
  <c r="DO34" i="5" s="1"/>
  <c r="DO202" i="11"/>
  <c r="J411" i="32"/>
  <c r="AE86" i="21"/>
  <c r="J384" i="32"/>
  <c r="X86" i="21"/>
  <c r="DP199" i="11" l="1"/>
  <c r="DN29" i="15"/>
  <c r="J412" i="32"/>
  <c r="AE87" i="21"/>
  <c r="J385" i="32"/>
  <c r="X87" i="21"/>
  <c r="DP201" i="11" l="1"/>
  <c r="J413" i="32"/>
  <c r="AE88" i="21"/>
  <c r="J386" i="32"/>
  <c r="X88" i="21"/>
  <c r="DP36" i="5" l="1"/>
  <c r="DP34" i="5" s="1"/>
  <c r="DP202" i="11"/>
  <c r="J414" i="32"/>
  <c r="AE89" i="21"/>
  <c r="X89" i="21"/>
  <c r="J387" i="32"/>
  <c r="DO29" i="15" l="1"/>
  <c r="DQ199" i="11"/>
  <c r="J415" i="32"/>
  <c r="AE90" i="21"/>
  <c r="J388" i="32"/>
  <c r="X90" i="21"/>
  <c r="AC24" i="18" l="1"/>
  <c r="DQ201" i="11"/>
  <c r="J416" i="32"/>
  <c r="AE91" i="21"/>
  <c r="J389" i="32"/>
  <c r="X91" i="21"/>
  <c r="M220" i="32" l="1"/>
  <c r="DQ36" i="5"/>
  <c r="DQ34" i="5" s="1"/>
  <c r="DQ202" i="11"/>
  <c r="J417" i="32"/>
  <c r="AE92" i="21"/>
  <c r="J390" i="32"/>
  <c r="X92" i="21"/>
  <c r="DP29" i="15" l="1"/>
  <c r="DR199" i="11"/>
  <c r="J418" i="32"/>
  <c r="AE93" i="21"/>
  <c r="J391" i="32"/>
  <c r="X93" i="21"/>
  <c r="Q19" i="5"/>
  <c r="DR201" i="11" l="1"/>
  <c r="J419" i="32"/>
  <c r="AE94" i="21"/>
  <c r="J392" i="32"/>
  <c r="X94" i="21"/>
  <c r="DR36" i="5" l="1"/>
  <c r="DR34" i="5" s="1"/>
  <c r="DR202" i="11"/>
  <c r="J420" i="32"/>
  <c r="AE95" i="21"/>
  <c r="X95" i="21"/>
  <c r="J393" i="32"/>
  <c r="DQ29" i="15" l="1"/>
  <c r="DS199" i="11"/>
  <c r="J421" i="32"/>
  <c r="AE96" i="21"/>
  <c r="X96" i="21"/>
  <c r="J394" i="32"/>
  <c r="DS201" i="11" l="1"/>
  <c r="J422" i="32"/>
  <c r="AE97" i="21"/>
  <c r="J395" i="32"/>
  <c r="X97" i="21"/>
  <c r="DS36" i="5" l="1"/>
  <c r="DS34" i="5" s="1"/>
  <c r="DS202" i="11"/>
  <c r="AE98" i="21"/>
  <c r="J423" i="32"/>
  <c r="X98" i="21"/>
  <c r="J396" i="32"/>
  <c r="DR29" i="15" l="1"/>
  <c r="DT199" i="11"/>
  <c r="AI100" i="21"/>
  <c r="AE99" i="21"/>
  <c r="AB100" i="21"/>
  <c r="X99"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3" i="1" l="1"/>
  <c r="R93" i="1" s="1"/>
  <c r="G16" i="36"/>
  <c r="I16" i="36"/>
  <c r="G18" i="36" l="1"/>
  <c r="G19" i="36" s="1"/>
  <c r="H16" i="36"/>
  <c r="H18" i="36" s="1"/>
  <c r="I18" i="36"/>
  <c r="K16" i="36"/>
  <c r="K18" i="36" s="1"/>
  <c r="R95" i="1"/>
  <c r="R99" i="1"/>
  <c r="R100" i="1"/>
  <c r="S93" i="1"/>
  <c r="I19" i="36" l="1"/>
  <c r="J19" i="36" s="1"/>
  <c r="J17" i="36"/>
  <c r="J14" i="36"/>
  <c r="J18" i="36"/>
  <c r="J13" i="36"/>
  <c r="J15" i="36"/>
  <c r="J16" i="36"/>
  <c r="S99" i="1"/>
  <c r="S100" i="1"/>
  <c r="L15" i="36"/>
  <c r="L17" i="36"/>
  <c r="L13" i="36"/>
  <c r="L14" i="36"/>
  <c r="R102" i="1"/>
  <c r="S95" i="1"/>
  <c r="T93" i="1"/>
  <c r="T95"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D52" i="2" l="1"/>
  <c r="G52" i="2" s="1"/>
  <c r="G53" i="2" s="1"/>
  <c r="J255" i="11"/>
  <c r="L260" i="11"/>
  <c r="L256" i="11"/>
  <c r="G106" i="36"/>
  <c r="I25" i="19"/>
  <c r="I26" i="19" s="1"/>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L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U89" i="19"/>
  <c r="AC89" i="19" s="1"/>
  <c r="AN26" i="19"/>
  <c r="DN26" i="19"/>
  <c r="AX26" i="19"/>
  <c r="DX26" i="19"/>
  <c r="BA26" i="19"/>
  <c r="EB26" i="19"/>
  <c r="BK26" i="19"/>
  <c r="EK26" i="19"/>
  <c r="CX26" i="19"/>
  <c r="BN26" i="19"/>
  <c r="EO26" i="19"/>
  <c r="BX26" i="19"/>
  <c r="CA26" i="19"/>
  <c r="CK26" i="19"/>
  <c r="N26" i="19"/>
  <c r="CN26" i="19"/>
  <c r="L257" i="11"/>
  <c r="DB33" i="19" l="1"/>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L33" i="19"/>
  <c r="Q33" i="19"/>
  <c r="BK33" i="19"/>
  <c r="AA33" i="19"/>
  <c r="EL33" i="19"/>
  <c r="DW33" i="19"/>
  <c r="CV33" i="19"/>
  <c r="BU33" i="19"/>
  <c r="AS33" i="19"/>
  <c r="R33" i="19"/>
  <c r="ED33" i="19"/>
  <c r="DP33" i="19"/>
  <c r="DC33" i="19"/>
  <c r="L73" i="11"/>
  <c r="K31" i="18" l="1"/>
  <c r="K35" i="15"/>
  <c r="D656" i="32"/>
  <c r="S96" i="1"/>
  <c r="M261" i="11"/>
  <c r="M262" i="11" s="1"/>
  <c r="K32" i="18"/>
  <c r="D657" i="32"/>
  <c r="T96" i="1"/>
  <c r="M256" i="11"/>
  <c r="I29" i="19"/>
  <c r="L34" i="19"/>
  <c r="L35" i="19" s="1"/>
  <c r="M32" i="19" s="1"/>
  <c r="J33" i="19"/>
  <c r="L107" i="5"/>
  <c r="L74" i="11"/>
  <c r="M71" i="11" s="1"/>
  <c r="M34" i="19" l="1"/>
  <c r="M35" i="19" s="1"/>
  <c r="N32" i="19" s="1"/>
  <c r="D226" i="32"/>
  <c r="D788" i="32"/>
  <c r="L102" i="17"/>
  <c r="L102" i="26"/>
  <c r="M73" i="11"/>
  <c r="L37" i="15"/>
  <c r="N259" i="11"/>
  <c r="M257" i="11"/>
  <c r="N84" i="6"/>
  <c r="K30" i="18"/>
  <c r="D225" i="32"/>
  <c r="D787" i="32"/>
  <c r="M107" i="5" l="1"/>
  <c r="N85" i="6"/>
  <c r="N86" i="6" s="1"/>
  <c r="O83" i="6" s="1"/>
  <c r="L36" i="15"/>
  <c r="L35" i="15" s="1"/>
  <c r="N254" i="11"/>
  <c r="M74" i="11"/>
  <c r="N71" i="11" s="1"/>
  <c r="N261" i="11"/>
  <c r="N262" i="11" s="1"/>
  <c r="N34" i="19"/>
  <c r="N35" i="19" s="1"/>
  <c r="O32" i="19" s="1"/>
  <c r="M37" i="15" l="1"/>
  <c r="O259" i="11"/>
  <c r="N256" i="11"/>
  <c r="N257" i="11" s="1"/>
  <c r="O34" i="19"/>
  <c r="O35" i="19" s="1"/>
  <c r="P32" i="19" s="1"/>
  <c r="O84" i="6"/>
  <c r="M108" i="5"/>
  <c r="P34" i="19" l="1"/>
  <c r="P35" i="19" s="1"/>
  <c r="Q32" i="19" s="1"/>
  <c r="O261" i="11"/>
  <c r="O262" i="11" s="1"/>
  <c r="N73" i="11"/>
  <c r="M36" i="15"/>
  <c r="M35" i="15" s="1"/>
  <c r="O254" i="11"/>
  <c r="O85" i="6"/>
  <c r="N37" i="15" l="1"/>
  <c r="E657" i="32" s="1"/>
  <c r="P259" i="11"/>
  <c r="Q34" i="19"/>
  <c r="Q35" i="19" s="1"/>
  <c r="R32" i="19" s="1"/>
  <c r="N108" i="5"/>
  <c r="O256" i="11"/>
  <c r="O86" i="6"/>
  <c r="P83" i="6" s="1"/>
  <c r="N107" i="5"/>
  <c r="N74" i="11"/>
  <c r="O71" i="11" s="1"/>
  <c r="P84" i="6" l="1"/>
  <c r="P85" i="6" s="1"/>
  <c r="P86" i="6" s="1"/>
  <c r="Q83" i="6" s="1"/>
  <c r="R34" i="19"/>
  <c r="R35" i="19" s="1"/>
  <c r="S32" i="19" s="1"/>
  <c r="O73" i="11"/>
  <c r="P261" i="11"/>
  <c r="P262" i="11" s="1"/>
  <c r="O257" i="11"/>
  <c r="S34" i="19" l="1"/>
  <c r="S35" i="19" s="1"/>
  <c r="T32" i="19" s="1"/>
  <c r="O37" i="15"/>
  <c r="Q259" i="11"/>
  <c r="O107" i="5"/>
  <c r="O108" i="5"/>
  <c r="N36" i="15"/>
  <c r="P254" i="11"/>
  <c r="O74" i="11"/>
  <c r="P71" i="11" s="1"/>
  <c r="T34" i="19" l="1"/>
  <c r="T35" i="19" s="1"/>
  <c r="U32" i="19" s="1"/>
  <c r="P256" i="11"/>
  <c r="P257" i="11" s="1"/>
  <c r="N35" i="15"/>
  <c r="E656" i="32"/>
  <c r="Q84" i="6"/>
  <c r="Q261" i="11"/>
  <c r="Q262" i="11" s="1"/>
  <c r="P73" i="11" l="1"/>
  <c r="O36" i="15"/>
  <c r="O35" i="15" s="1"/>
  <c r="Q254" i="11"/>
  <c r="Q85" i="6"/>
  <c r="Q86" i="6" s="1"/>
  <c r="R83" i="6" s="1"/>
  <c r="P37" i="15"/>
  <c r="R259" i="11"/>
  <c r="U34" i="19"/>
  <c r="U35" i="19" s="1"/>
  <c r="V32" i="19" s="1"/>
  <c r="V34" i="19" l="1"/>
  <c r="V35" i="19" s="1"/>
  <c r="W32" i="19" s="1"/>
  <c r="P107" i="5"/>
  <c r="P74" i="11"/>
  <c r="Q71" i="11" s="1"/>
  <c r="P108" i="5"/>
  <c r="Q256" i="11"/>
  <c r="Q73" i="11" s="1"/>
  <c r="Q107" i="5" s="1"/>
  <c r="R261" i="11"/>
  <c r="R262" i="11" s="1"/>
  <c r="Q257" i="11" l="1"/>
  <c r="Q74" i="11"/>
  <c r="R71" i="11" s="1"/>
  <c r="D73" i="1" s="1"/>
  <c r="R84" i="6"/>
  <c r="W34" i="19"/>
  <c r="W35" i="19" s="1"/>
  <c r="X32" i="19" s="1"/>
  <c r="Q37" i="15"/>
  <c r="S259" i="11"/>
  <c r="X34" i="19" l="1"/>
  <c r="X35" i="19" s="1"/>
  <c r="Y32" i="19" s="1"/>
  <c r="R69" i="19"/>
  <c r="Z69" i="19"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R108" i="5" l="1"/>
  <c r="S86" i="6"/>
  <c r="T83" i="6" s="1"/>
  <c r="R73" i="11"/>
  <c r="R257" i="11"/>
  <c r="Z34" i="19"/>
  <c r="Z35" i="19" s="1"/>
  <c r="AA32" i="19" s="1"/>
  <c r="E73" i="1"/>
  <c r="M103" i="17"/>
  <c r="E353" i="32"/>
  <c r="J300" i="32"/>
  <c r="L349" i="32"/>
  <c r="J350" i="32"/>
  <c r="D349" i="32"/>
  <c r="M349" i="32"/>
  <c r="T261" i="11"/>
  <c r="T262" i="11" s="1"/>
  <c r="R107" i="5" l="1"/>
  <c r="M102" i="17" s="1"/>
  <c r="R74" i="11"/>
  <c r="S71" i="11" s="1"/>
  <c r="T84" i="6" s="1"/>
  <c r="Q36" i="15"/>
  <c r="L31" i="18" s="1"/>
  <c r="S254" i="11"/>
  <c r="S256" i="11" s="1"/>
  <c r="S73" i="11" s="1"/>
  <c r="S107" i="5" s="1"/>
  <c r="J301" i="32"/>
  <c r="S37" i="15"/>
  <c r="U259" i="11"/>
  <c r="Q79" i="21"/>
  <c r="J351" i="32"/>
  <c r="D79" i="21"/>
  <c r="F299" i="32"/>
  <c r="AA34" i="19"/>
  <c r="AA35" i="19" s="1"/>
  <c r="AB32" i="19" s="1"/>
  <c r="E370" i="32"/>
  <c r="Q35" i="15" l="1"/>
  <c r="F656" i="32"/>
  <c r="J302" i="32"/>
  <c r="S257" i="11"/>
  <c r="Q80" i="21"/>
  <c r="J352" i="32"/>
  <c r="T85" i="6"/>
  <c r="S108" i="5" s="1"/>
  <c r="S74" i="11"/>
  <c r="T71" i="11" s="1"/>
  <c r="L299" i="32"/>
  <c r="H299" i="32"/>
  <c r="AB34" i="19"/>
  <c r="AB35" i="19" s="1"/>
  <c r="AC32" i="19" s="1"/>
  <c r="L30" i="18"/>
  <c r="E787" i="32"/>
  <c r="U261" i="11"/>
  <c r="U262" i="11" s="1"/>
  <c r="J303" i="32" l="1"/>
  <c r="AC34" i="19"/>
  <c r="AC35" i="19" s="1"/>
  <c r="AD32" i="19" s="1"/>
  <c r="U84" i="6"/>
  <c r="T86" i="6"/>
  <c r="U83" i="6" s="1"/>
  <c r="Q81" i="21"/>
  <c r="J353" i="32"/>
  <c r="T37" i="15"/>
  <c r="G657" i="32" s="1"/>
  <c r="V259" i="11"/>
  <c r="R36" i="15"/>
  <c r="R35" i="15" s="1"/>
  <c r="T254" i="11"/>
  <c r="J304" i="32" l="1"/>
  <c r="AD34" i="19"/>
  <c r="AD35" i="19" s="1"/>
  <c r="AE32" i="19" s="1"/>
  <c r="R70" i="19"/>
  <c r="Z70" i="19" s="1"/>
  <c r="T256" i="11"/>
  <c r="T73" i="11" s="1"/>
  <c r="V261" i="11"/>
  <c r="V262" i="11" s="1"/>
  <c r="Q82" i="21"/>
  <c r="J354" i="32"/>
  <c r="U85" i="6"/>
  <c r="T108" i="5" s="1"/>
  <c r="J305" i="32" l="1"/>
  <c r="U37" i="15"/>
  <c r="W259" i="11"/>
  <c r="U86" i="6"/>
  <c r="V83" i="6" s="1"/>
  <c r="T107" i="5"/>
  <c r="T74" i="11"/>
  <c r="U71" i="11" s="1"/>
  <c r="Q83" i="21"/>
  <c r="J355" i="32"/>
  <c r="T257" i="11"/>
  <c r="AE34" i="19"/>
  <c r="AE35" i="19" s="1"/>
  <c r="AF32" i="19" s="1"/>
  <c r="J306" i="32" l="1"/>
  <c r="J307" i="32" s="1"/>
  <c r="AF34" i="19"/>
  <c r="AF35" i="19" s="1"/>
  <c r="AG32" i="19" s="1"/>
  <c r="V84" i="6"/>
  <c r="S36" i="15"/>
  <c r="S35" i="15" s="1"/>
  <c r="U254" i="11"/>
  <c r="W261" i="11"/>
  <c r="W262" i="11" s="1"/>
  <c r="Q84" i="21"/>
  <c r="J356" i="32"/>
  <c r="J308" i="32" l="1"/>
  <c r="V37" i="15"/>
  <c r="X259" i="11"/>
  <c r="AG34" i="19"/>
  <c r="AG35" i="19" s="1"/>
  <c r="AH32" i="19" s="1"/>
  <c r="V85" i="6"/>
  <c r="U108" i="5" s="1"/>
  <c r="Q85" i="21"/>
  <c r="J357" i="32"/>
  <c r="U256" i="11"/>
  <c r="U73" i="11" s="1"/>
  <c r="J309" i="32" l="1"/>
  <c r="AH34" i="19"/>
  <c r="AH35" i="19" s="1"/>
  <c r="AI32" i="19" s="1"/>
  <c r="Q86" i="21"/>
  <c r="J358" i="32"/>
  <c r="U107" i="5"/>
  <c r="U74" i="11"/>
  <c r="V71" i="11" s="1"/>
  <c r="V86" i="6"/>
  <c r="W83" i="6" s="1"/>
  <c r="U257" i="11"/>
  <c r="X261" i="11"/>
  <c r="X262" i="11" s="1"/>
  <c r="J310" i="32" l="1"/>
  <c r="W37" i="15"/>
  <c r="Y259" i="11"/>
  <c r="AI34" i="19"/>
  <c r="AI35" i="19" s="1"/>
  <c r="AJ32" i="19" s="1"/>
  <c r="R71" i="19" s="1"/>
  <c r="Z71" i="19" s="1"/>
  <c r="Q87" i="21"/>
  <c r="J359" i="32"/>
  <c r="W84" i="6"/>
  <c r="W85" i="6" s="1"/>
  <c r="V108" i="5" s="1"/>
  <c r="T36" i="15"/>
  <c r="V254" i="11"/>
  <c r="J311" i="32" l="1"/>
  <c r="J312" i="32" s="1"/>
  <c r="J313" i="32" s="1"/>
  <c r="J314" i="32" s="1"/>
  <c r="J315" i="32" s="1"/>
  <c r="W86" i="6"/>
  <c r="X83" i="6" s="1"/>
  <c r="V256" i="11"/>
  <c r="V73" i="11" s="1"/>
  <c r="T35" i="15"/>
  <c r="G656" i="32"/>
  <c r="AJ34" i="19"/>
  <c r="AJ35" i="19" s="1"/>
  <c r="AK32" i="19" s="1"/>
  <c r="Y261" i="11"/>
  <c r="Y262" i="11" s="1"/>
  <c r="Q88" i="21"/>
  <c r="J360" i="32"/>
  <c r="M32" i="18"/>
  <c r="H657" i="32"/>
  <c r="J316" i="32" l="1"/>
  <c r="J317" i="32" s="1"/>
  <c r="J318" i="32" s="1"/>
  <c r="J319" i="32"/>
  <c r="AK34" i="19"/>
  <c r="AK35" i="19" s="1"/>
  <c r="AL32" i="19" s="1"/>
  <c r="E226" i="32"/>
  <c r="F788" i="32"/>
  <c r="X37" i="15"/>
  <c r="Z259" i="11"/>
  <c r="Q89" i="21"/>
  <c r="J361" i="32"/>
  <c r="V107" i="5"/>
  <c r="V74" i="11"/>
  <c r="W71" i="11" s="1"/>
  <c r="V257" i="11"/>
  <c r="Q90" i="21" l="1"/>
  <c r="J362" i="32"/>
  <c r="X84" i="6"/>
  <c r="Z261" i="11"/>
  <c r="Z262" i="11" s="1"/>
  <c r="AL34" i="19"/>
  <c r="AL35" i="19" s="1"/>
  <c r="AM32" i="19" s="1"/>
  <c r="U36" i="15"/>
  <c r="U35" i="15" s="1"/>
  <c r="W254" i="11"/>
  <c r="Y37" i="15" l="1"/>
  <c r="AA259" i="11"/>
  <c r="Q91" i="21"/>
  <c r="J363" i="32"/>
  <c r="AM34" i="19"/>
  <c r="AM35" i="19" s="1"/>
  <c r="AN32" i="19" s="1"/>
  <c r="X85" i="6"/>
  <c r="W256" i="11"/>
  <c r="W73" i="11" s="1"/>
  <c r="W108" i="5" l="1"/>
  <c r="X86" i="6"/>
  <c r="Y83" i="6" s="1"/>
  <c r="AN34" i="19"/>
  <c r="AN35" i="19" s="1"/>
  <c r="AO32" i="19" s="1"/>
  <c r="Q92" i="21"/>
  <c r="J364" i="32"/>
  <c r="W257" i="11"/>
  <c r="W107" i="5"/>
  <c r="W74" i="11"/>
  <c r="X71" i="11" s="1"/>
  <c r="AA261" i="11"/>
  <c r="AA262" i="11" s="1"/>
  <c r="Z37" i="15" l="1"/>
  <c r="I657" i="32" s="1"/>
  <c r="AB259" i="11"/>
  <c r="V36" i="15"/>
  <c r="V35" i="15" s="1"/>
  <c r="X254" i="11"/>
  <c r="Q93" i="21"/>
  <c r="J365" i="32"/>
  <c r="Y84" i="6"/>
  <c r="AO34" i="19"/>
  <c r="AO35" i="19" s="1"/>
  <c r="AP32" i="19" s="1"/>
  <c r="AB261" i="11" l="1"/>
  <c r="AB262" i="11" s="1"/>
  <c r="AP34" i="19"/>
  <c r="AP35" i="19" s="1"/>
  <c r="AQ32" i="19" s="1"/>
  <c r="R72" i="19"/>
  <c r="Z72" i="19" s="1"/>
  <c r="Q94" i="21"/>
  <c r="J366" i="32"/>
  <c r="Y85" i="6"/>
  <c r="X256" i="11"/>
  <c r="X73" i="11" l="1"/>
  <c r="X257" i="11"/>
  <c r="X108" i="5"/>
  <c r="Y86" i="6"/>
  <c r="Z83" i="6" s="1"/>
  <c r="AA37" i="15"/>
  <c r="AC259" i="11"/>
  <c r="Q95" i="21"/>
  <c r="J367" i="32"/>
  <c r="AQ34" i="19"/>
  <c r="AQ35" i="19" s="1"/>
  <c r="AR32" i="19" s="1"/>
  <c r="W36" i="15" l="1"/>
  <c r="Y254" i="11"/>
  <c r="Y256" i="11" s="1"/>
  <c r="Y73" i="11" s="1"/>
  <c r="Y107" i="5" s="1"/>
  <c r="X107" i="5"/>
  <c r="X74" i="11"/>
  <c r="Y71" i="11" s="1"/>
  <c r="Z84" i="6" s="1"/>
  <c r="AR34" i="19"/>
  <c r="AR35" i="19" s="1"/>
  <c r="AS32" i="19" s="1"/>
  <c r="Q96" i="21"/>
  <c r="J368" i="32"/>
  <c r="AC261" i="11"/>
  <c r="AC262" i="11" s="1"/>
  <c r="M31" i="18" l="1"/>
  <c r="W35" i="15"/>
  <c r="H656" i="32"/>
  <c r="AB37" i="15"/>
  <c r="AD259" i="11"/>
  <c r="Q97" i="21"/>
  <c r="J369" i="32"/>
  <c r="Y257" i="11"/>
  <c r="AS34" i="19"/>
  <c r="AS35" i="19" s="1"/>
  <c r="AT32" i="19" s="1"/>
  <c r="Z85" i="6"/>
  <c r="Y74" i="11"/>
  <c r="Z71" i="11" s="1"/>
  <c r="M30" i="18" l="1"/>
  <c r="F787" i="32"/>
  <c r="E225" i="32"/>
  <c r="Y108" i="5"/>
  <c r="Z86" i="6"/>
  <c r="AA83" i="6" s="1"/>
  <c r="AT34" i="19"/>
  <c r="AT35" i="19" s="1"/>
  <c r="AU32" i="19" s="1"/>
  <c r="AA84" i="6"/>
  <c r="X36" i="15"/>
  <c r="X35" i="15" s="1"/>
  <c r="Z254" i="11"/>
  <c r="AD261" i="11"/>
  <c r="AD262" i="11" s="1"/>
  <c r="Q98" i="21"/>
  <c r="J370" i="32"/>
  <c r="AU34" i="19" l="1"/>
  <c r="AU35" i="19" s="1"/>
  <c r="AV32" i="19" s="1"/>
  <c r="R73" i="19" s="1"/>
  <c r="Z73" i="19" s="1"/>
  <c r="Z256" i="11"/>
  <c r="Z73" i="11" s="1"/>
  <c r="U100" i="21"/>
  <c r="Q99" i="21"/>
  <c r="AC37" i="15"/>
  <c r="AE259" i="11"/>
  <c r="AA85" i="6"/>
  <c r="Z108" i="5" s="1"/>
  <c r="AE261" i="11" l="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B86" i="6" l="1"/>
  <c r="AC83" i="6" s="1"/>
  <c r="AF261" i="11"/>
  <c r="AF262" i="11" s="1"/>
  <c r="AA256" i="11"/>
  <c r="AA73" i="11" s="1"/>
  <c r="AX34" i="19"/>
  <c r="AX35" i="19" s="1"/>
  <c r="AY32" i="19" s="1"/>
  <c r="AE37" i="15" l="1"/>
  <c r="AG259" i="11"/>
  <c r="AY34" i="19"/>
  <c r="AY35" i="19" s="1"/>
  <c r="AZ32" i="19" s="1"/>
  <c r="AA107" i="5"/>
  <c r="AA74" i="11"/>
  <c r="AB71" i="11" s="1"/>
  <c r="AA257" i="11"/>
  <c r="AZ34" i="19" l="1"/>
  <c r="AZ35" i="19" s="1"/>
  <c r="BA32" i="19" s="1"/>
  <c r="Z36" i="15"/>
  <c r="AB254" i="11"/>
  <c r="AC84" i="6"/>
  <c r="AG261" i="11"/>
  <c r="AG262" i="11" s="1"/>
  <c r="BA34" i="19" l="1"/>
  <c r="BA35" i="19" s="1"/>
  <c r="BB32" i="19" s="1"/>
  <c r="AB256" i="11"/>
  <c r="AB73" i="11" s="1"/>
  <c r="AC85" i="6"/>
  <c r="Z35" i="15"/>
  <c r="I656" i="32"/>
  <c r="AF37" i="15"/>
  <c r="K657" i="32" s="1"/>
  <c r="AH259" i="11"/>
  <c r="AB108" i="5" l="1"/>
  <c r="AC86" i="6"/>
  <c r="AD83" i="6" s="1"/>
  <c r="AH261" i="11"/>
  <c r="AH262" i="11" s="1"/>
  <c r="AB107" i="5"/>
  <c r="AB74" i="11"/>
  <c r="AC71" i="11" s="1"/>
  <c r="BB34" i="19"/>
  <c r="BB35" i="19" s="1"/>
  <c r="BC32" i="19" s="1"/>
  <c r="AB257" i="11"/>
  <c r="AG37" i="15" l="1"/>
  <c r="AI259" i="11"/>
  <c r="BC34" i="19"/>
  <c r="BC35" i="19" s="1"/>
  <c r="BD32" i="19" s="1"/>
  <c r="AD84" i="6"/>
  <c r="AA36" i="15"/>
  <c r="AA35" i="15" s="1"/>
  <c r="AC254" i="11"/>
  <c r="BD34" i="19" l="1"/>
  <c r="BD35" i="19" s="1"/>
  <c r="BE32" i="19" s="1"/>
  <c r="AC256" i="11"/>
  <c r="AD85" i="6"/>
  <c r="AI261" i="11"/>
  <c r="AI262" i="11" s="1"/>
  <c r="AC73" i="11" l="1"/>
  <c r="AC257" i="11"/>
  <c r="AC108" i="5"/>
  <c r="AD86" i="6"/>
  <c r="AE83" i="6" s="1"/>
  <c r="AH37" i="15"/>
  <c r="AJ259" i="11"/>
  <c r="BE34" i="19"/>
  <c r="BE35" i="19" s="1"/>
  <c r="BF32" i="19" s="1"/>
  <c r="AB36" i="15" l="1"/>
  <c r="AB35" i="15" s="1"/>
  <c r="AD254" i="11"/>
  <c r="AD256" i="11" s="1"/>
  <c r="AD73" i="11" s="1"/>
  <c r="AD107" i="5" s="1"/>
  <c r="AC107" i="5"/>
  <c r="AC74" i="11"/>
  <c r="AD71" i="11" s="1"/>
  <c r="AE84" i="6" s="1"/>
  <c r="BF34" i="19"/>
  <c r="BF35" i="19" s="1"/>
  <c r="BG32" i="19" s="1"/>
  <c r="AJ261" i="11"/>
  <c r="AJ262" i="11" s="1"/>
  <c r="O102" i="17" l="1"/>
  <c r="AI37" i="15"/>
  <c r="AK259" i="11"/>
  <c r="BG34" i="19"/>
  <c r="BG35" i="19" s="1"/>
  <c r="BH32" i="19" s="1"/>
  <c r="R75" i="19" s="1"/>
  <c r="Z75" i="19" s="1"/>
  <c r="AE85" i="6"/>
  <c r="AD74" i="11"/>
  <c r="AE71" i="11" s="1"/>
  <c r="AD257" i="11"/>
  <c r="AD108" i="5" l="1"/>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AE108" i="5" l="1"/>
  <c r="AF86" i="6"/>
  <c r="AG83" i="6" s="1"/>
  <c r="AE73" i="11"/>
  <c r="AE257" i="11"/>
  <c r="BJ34" i="19"/>
  <c r="BJ35" i="19" s="1"/>
  <c r="BK32" i="19" s="1"/>
  <c r="AL261" i="11"/>
  <c r="AL262" i="11" s="1"/>
  <c r="N30" i="18"/>
  <c r="G787" i="32"/>
  <c r="AE107" i="5" l="1"/>
  <c r="AE74" i="11"/>
  <c r="AF71" i="11" s="1"/>
  <c r="AG84" i="6" s="1"/>
  <c r="AD36" i="15"/>
  <c r="AD35" i="15" s="1"/>
  <c r="AF254" i="11"/>
  <c r="AF256" i="11" s="1"/>
  <c r="AF73" i="11" s="1"/>
  <c r="AF107" i="5" s="1"/>
  <c r="AK37" i="15"/>
  <c r="AM259" i="11"/>
  <c r="BK34" i="19"/>
  <c r="BK35" i="19" s="1"/>
  <c r="BL32" i="19" s="1"/>
  <c r="AF257" i="11" l="1"/>
  <c r="BL34" i="19"/>
  <c r="BL35" i="19" s="1"/>
  <c r="BM32" i="19" s="1"/>
  <c r="AG85" i="6"/>
  <c r="AF74" i="11"/>
  <c r="AG71" i="11" s="1"/>
  <c r="AM261" i="11"/>
  <c r="AM262" i="11" s="1"/>
  <c r="AF108" i="5" l="1"/>
  <c r="AG86" i="6"/>
  <c r="AH83" i="6" s="1"/>
  <c r="BM34" i="19"/>
  <c r="BM35" i="19" s="1"/>
  <c r="BN32" i="19" s="1"/>
  <c r="R76" i="19" s="1"/>
  <c r="Z76" i="19" s="1"/>
  <c r="AL37" i="15"/>
  <c r="AN259" i="11"/>
  <c r="AE36" i="15"/>
  <c r="AE35" i="15" s="1"/>
  <c r="AG254" i="11"/>
  <c r="AH84" i="6"/>
  <c r="AH85" i="6" l="1"/>
  <c r="AN261" i="11"/>
  <c r="AN262" i="11" s="1"/>
  <c r="AG256" i="11"/>
  <c r="AG73" i="11" s="1"/>
  <c r="BN34" i="19"/>
  <c r="BN35" i="19" s="1"/>
  <c r="BO32" i="19" s="1"/>
  <c r="AG108" i="5" l="1"/>
  <c r="AH86" i="6"/>
  <c r="AI83" i="6" s="1"/>
  <c r="BO34" i="19"/>
  <c r="BO35" i="19" s="1"/>
  <c r="BP32" i="19" s="1"/>
  <c r="AM37" i="15"/>
  <c r="AO259" i="11"/>
  <c r="AG107" i="5"/>
  <c r="AG74" i="11"/>
  <c r="AH71" i="11" s="1"/>
  <c r="AG257" i="11"/>
  <c r="BP34" i="19" l="1"/>
  <c r="BP35" i="19" s="1"/>
  <c r="BQ32" i="19" s="1"/>
  <c r="AI84" i="6"/>
  <c r="AO261" i="11"/>
  <c r="AO262" i="11" s="1"/>
  <c r="AF36" i="15"/>
  <c r="AH254" i="11"/>
  <c r="AN37" i="15" l="1"/>
  <c r="AP259" i="11"/>
  <c r="AI85" i="6"/>
  <c r="AH256" i="11"/>
  <c r="AH73" i="11" s="1"/>
  <c r="AF35" i="15"/>
  <c r="K656" i="32"/>
  <c r="BQ34" i="19"/>
  <c r="BQ35" i="19" s="1"/>
  <c r="BR32" i="19" s="1"/>
  <c r="AH108" i="5" l="1"/>
  <c r="AI86" i="6"/>
  <c r="AJ83" i="6" s="1"/>
  <c r="BR34" i="19"/>
  <c r="BR35" i="19" s="1"/>
  <c r="BS32" i="19" s="1"/>
  <c r="AH107" i="5"/>
  <c r="AH74" i="11"/>
  <c r="AI71" i="11" s="1"/>
  <c r="AH257" i="11"/>
  <c r="AP261" i="11"/>
  <c r="AP262" i="11" s="1"/>
  <c r="BS34" i="19" l="1"/>
  <c r="BS35" i="19" s="1"/>
  <c r="BT32" i="19" s="1"/>
  <c r="AO37" i="15"/>
  <c r="P32" i="18" s="1"/>
  <c r="AQ259" i="11"/>
  <c r="AG36" i="15"/>
  <c r="AG35" i="15" s="1"/>
  <c r="AI254" i="11"/>
  <c r="AJ84" i="6"/>
  <c r="AI256" i="11" l="1"/>
  <c r="AI73" i="11" s="1"/>
  <c r="AJ85" i="6"/>
  <c r="AI108" i="5" s="1"/>
  <c r="AQ261" i="11"/>
  <c r="AQ262" i="11" s="1"/>
  <c r="BT34" i="19"/>
  <c r="BT35" i="19" s="1"/>
  <c r="BU32" i="19" s="1"/>
  <c r="R77" i="19"/>
  <c r="Z77" i="19" s="1"/>
  <c r="AP37" i="15" l="1"/>
  <c r="AR259" i="11"/>
  <c r="BU34" i="19"/>
  <c r="BU35" i="19" s="1"/>
  <c r="BV32" i="19" s="1"/>
  <c r="AI107" i="5"/>
  <c r="AI74" i="11"/>
  <c r="AJ71" i="11" s="1"/>
  <c r="AJ86" i="6"/>
  <c r="AK83" i="6" s="1"/>
  <c r="AI257" i="11"/>
  <c r="BV34" i="19" l="1"/>
  <c r="BV35" i="19" s="1"/>
  <c r="BW32" i="19" s="1"/>
  <c r="AK84" i="6"/>
  <c r="AK85" i="6" s="1"/>
  <c r="AJ108" i="5" s="1"/>
  <c r="AH36" i="15"/>
  <c r="AH35" i="15" s="1"/>
  <c r="AJ254" i="11"/>
  <c r="AR261" i="11"/>
  <c r="AR262" i="11" s="1"/>
  <c r="BW34" i="19" l="1"/>
  <c r="BW35" i="19" s="1"/>
  <c r="BX32" i="19" s="1"/>
  <c r="AQ37" i="15"/>
  <c r="AS259" i="11"/>
  <c r="AK86" i="6"/>
  <c r="AL83" i="6" s="1"/>
  <c r="P103" i="17"/>
  <c r="E76" i="1"/>
  <c r="AJ256" i="11"/>
  <c r="AJ73" i="11" s="1"/>
  <c r="BX34" i="19" l="1"/>
  <c r="BX35" i="19" s="1"/>
  <c r="BY32" i="19" s="1"/>
  <c r="AJ107" i="5"/>
  <c r="AJ74" i="11"/>
  <c r="AK71" i="11" s="1"/>
  <c r="AJ257" i="11"/>
  <c r="AS261" i="11"/>
  <c r="AS262" i="11" s="1"/>
  <c r="D82" i="21"/>
  <c r="F302" i="32"/>
  <c r="BY34" i="19" l="1"/>
  <c r="BY35" i="19" s="1"/>
  <c r="BZ32" i="19" s="1"/>
  <c r="R78" i="19" s="1"/>
  <c r="Z78" i="19" s="1"/>
  <c r="AR37" i="15"/>
  <c r="AT259" i="11"/>
  <c r="AL84" i="6"/>
  <c r="AI36" i="15"/>
  <c r="AK254" i="11"/>
  <c r="H302" i="32"/>
  <c r="L302" i="32"/>
  <c r="AL85" i="6" l="1"/>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AK74" i="11" l="1"/>
  <c r="AL71" i="11" s="1"/>
  <c r="AM84" i="6" s="1"/>
  <c r="AK107" i="5"/>
  <c r="AJ36" i="15"/>
  <c r="AJ35" i="15" s="1"/>
  <c r="AL254" i="11"/>
  <c r="AL256" i="11" s="1"/>
  <c r="CB34" i="19"/>
  <c r="CB35" i="19" s="1"/>
  <c r="CC32" i="19" s="1"/>
  <c r="AU261" i="11"/>
  <c r="AU262" i="11" s="1"/>
  <c r="AL73" i="11" l="1"/>
  <c r="AL257" i="11"/>
  <c r="AM85" i="6"/>
  <c r="AT37" i="15"/>
  <c r="AV259" i="11"/>
  <c r="CC34" i="19"/>
  <c r="CC35" i="19" s="1"/>
  <c r="CD32" i="19" s="1"/>
  <c r="AL107" i="5" l="1"/>
  <c r="AL74" i="11"/>
  <c r="AM71" i="11" s="1"/>
  <c r="AN84" i="6" s="1"/>
  <c r="AK36" i="15"/>
  <c r="AK35" i="15" s="1"/>
  <c r="AM254" i="11"/>
  <c r="AL108" i="5"/>
  <c r="AM86" i="6"/>
  <c r="AN83" i="6" s="1"/>
  <c r="CD34" i="19"/>
  <c r="CD35" i="19" s="1"/>
  <c r="CE32" i="19" s="1"/>
  <c r="AV261" i="11"/>
  <c r="AV262" i="11" s="1"/>
  <c r="AM256" i="11" l="1"/>
  <c r="AU37" i="15"/>
  <c r="Q32" i="18" s="1"/>
  <c r="G226" i="32" s="1"/>
  <c r="AW259" i="11"/>
  <c r="AN85" i="6"/>
  <c r="CE34" i="19"/>
  <c r="CE35" i="19" s="1"/>
  <c r="CF32" i="19" s="1"/>
  <c r="AM73" i="11" l="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AO86" i="6" l="1"/>
  <c r="AP83" i="6" s="1"/>
  <c r="AN257" i="11"/>
  <c r="AN73" i="11"/>
  <c r="CH34" i="19"/>
  <c r="CH35" i="19" s="1"/>
  <c r="CI32" i="19" s="1"/>
  <c r="AX261" i="11"/>
  <c r="AX262" i="11" s="1"/>
  <c r="AM36" i="15" l="1"/>
  <c r="AM35" i="15" s="1"/>
  <c r="AO254" i="11"/>
  <c r="AN107" i="5"/>
  <c r="AN74" i="11"/>
  <c r="AO71" i="11" s="1"/>
  <c r="AP84" i="6" s="1"/>
  <c r="CI34" i="19"/>
  <c r="CI35" i="19" s="1"/>
  <c r="CJ32" i="19" s="1"/>
  <c r="AW37" i="15"/>
  <c r="AY259" i="11"/>
  <c r="AP85" i="6" l="1"/>
  <c r="AO256" i="11"/>
  <c r="CJ34" i="19"/>
  <c r="CJ35" i="19" s="1"/>
  <c r="CK32" i="19" s="1"/>
  <c r="AY261" i="11"/>
  <c r="AY262" i="11" s="1"/>
  <c r="AO108" i="5" l="1"/>
  <c r="AP86" i="6"/>
  <c r="AQ83" i="6" s="1"/>
  <c r="AO73" i="11"/>
  <c r="AO257" i="11"/>
  <c r="CK34" i="19"/>
  <c r="CK35" i="19" s="1"/>
  <c r="CL32" i="19" s="1"/>
  <c r="R80" i="19" s="1"/>
  <c r="Z80" i="19" s="1"/>
  <c r="AX37" i="15"/>
  <c r="AZ259" i="11"/>
  <c r="AO74" i="11" l="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AP107" i="5" l="1"/>
  <c r="AP74" i="11"/>
  <c r="AQ71" i="11" s="1"/>
  <c r="AQ254" i="11"/>
  <c r="AO36" i="15"/>
  <c r="AP108" i="5"/>
  <c r="E77" i="1" s="1"/>
  <c r="AQ86" i="6"/>
  <c r="AR83" i="6" s="1"/>
  <c r="CN34" i="19"/>
  <c r="CN35" i="19" s="1"/>
  <c r="CO32" i="19" s="1"/>
  <c r="BA261" i="11"/>
  <c r="BA262" i="11" s="1"/>
  <c r="AR84" i="6" l="1"/>
  <c r="AR85" i="6" s="1"/>
  <c r="AQ256" i="11"/>
  <c r="AO35" i="15"/>
  <c r="P31" i="18"/>
  <c r="P30" i="18" s="1"/>
  <c r="D83" i="21"/>
  <c r="F303" i="32"/>
  <c r="AZ37" i="15"/>
  <c r="BB259" i="11"/>
  <c r="CO34" i="19"/>
  <c r="CO35" i="19" s="1"/>
  <c r="CP32" i="19" s="1"/>
  <c r="L303" i="32" l="1"/>
  <c r="H303" i="32"/>
  <c r="AR86" i="6"/>
  <c r="AS83" i="6" s="1"/>
  <c r="AQ108" i="5"/>
  <c r="AQ73" i="11"/>
  <c r="AQ257" i="11"/>
  <c r="CP34" i="19"/>
  <c r="CP35" i="19" s="1"/>
  <c r="CQ32" i="19" s="1"/>
  <c r="BB261" i="11"/>
  <c r="BB262" i="11" s="1"/>
  <c r="AQ74" i="11" l="1"/>
  <c r="AR71" i="11" s="1"/>
  <c r="AQ107" i="5"/>
  <c r="AP36" i="15"/>
  <c r="AP35" i="15" s="1"/>
  <c r="AR254" i="11"/>
  <c r="BA37" i="15"/>
  <c r="R32" i="18" s="1"/>
  <c r="BC259" i="11"/>
  <c r="CQ34" i="19"/>
  <c r="CQ35" i="19" s="1"/>
  <c r="CR32" i="19" s="1"/>
  <c r="AS84" i="6" l="1"/>
  <c r="AR256" i="11"/>
  <c r="CR34" i="19"/>
  <c r="CR35" i="19" s="1"/>
  <c r="CS32" i="19" s="1"/>
  <c r="BC261" i="11"/>
  <c r="BC262" i="11" s="1"/>
  <c r="AS85" i="6" l="1"/>
  <c r="AR73" i="11"/>
  <c r="AR257" i="11"/>
  <c r="BB37" i="15"/>
  <c r="BD259" i="11"/>
  <c r="CS34" i="19"/>
  <c r="CS35" i="19" s="1"/>
  <c r="CT32" i="19" s="1"/>
  <c r="AR108" i="5" l="1"/>
  <c r="AS86" i="6"/>
  <c r="AT83" i="6" s="1"/>
  <c r="AR74" i="11"/>
  <c r="AS71" i="11" s="1"/>
  <c r="AR107" i="5"/>
  <c r="AQ36" i="15"/>
  <c r="AQ35" i="15" s="1"/>
  <c r="AS254" i="11"/>
  <c r="CT34" i="19"/>
  <c r="CT35" i="19" s="1"/>
  <c r="CU32" i="19" s="1"/>
  <c r="BD261" i="11"/>
  <c r="BD262" i="11" s="1"/>
  <c r="AT84" i="6" l="1"/>
  <c r="AS256" i="11"/>
  <c r="CU34" i="19"/>
  <c r="CU35" i="19" s="1"/>
  <c r="CV32" i="19" s="1"/>
  <c r="BC37" i="15"/>
  <c r="BE259" i="11"/>
  <c r="AT85" i="6" l="1"/>
  <c r="AS73" i="11"/>
  <c r="AS257" i="11"/>
  <c r="CV34" i="19"/>
  <c r="CV35" i="19" s="1"/>
  <c r="CW32" i="19" s="1"/>
  <c r="BE261" i="11"/>
  <c r="BE262" i="11" s="1"/>
  <c r="AS108" i="5" l="1"/>
  <c r="AT86" i="6"/>
  <c r="AU83" i="6" s="1"/>
  <c r="AS74" i="11"/>
  <c r="AT71" i="11" s="1"/>
  <c r="AU84" i="6" s="1"/>
  <c r="AS107" i="5"/>
  <c r="AR36" i="15"/>
  <c r="AR35" i="15" s="1"/>
  <c r="AT254" i="11"/>
  <c r="BD37" i="15"/>
  <c r="BF259" i="11"/>
  <c r="CW34" i="19"/>
  <c r="CW35" i="19" s="1"/>
  <c r="CX32" i="19" s="1"/>
  <c r="AT256" i="11" l="1"/>
  <c r="AU85" i="6"/>
  <c r="CX34" i="19"/>
  <c r="CX35" i="19" s="1"/>
  <c r="CY32" i="19" s="1"/>
  <c r="BF261" i="11"/>
  <c r="BF262" i="11" s="1"/>
  <c r="AT73" i="11" l="1"/>
  <c r="AT257" i="11"/>
  <c r="AT108" i="5"/>
  <c r="AU86" i="6"/>
  <c r="AV83" i="6" s="1"/>
  <c r="CY34" i="19"/>
  <c r="CY35" i="19" s="1"/>
  <c r="CZ32" i="19" s="1"/>
  <c r="BE37" i="15"/>
  <c r="BG259" i="11"/>
  <c r="AT74" i="11" l="1"/>
  <c r="AU71" i="11" s="1"/>
  <c r="AT107" i="5"/>
  <c r="AS36" i="15"/>
  <c r="AS35" i="15" s="1"/>
  <c r="AU254" i="11"/>
  <c r="CZ34" i="19"/>
  <c r="CZ35" i="19" s="1"/>
  <c r="DA32" i="19" s="1"/>
  <c r="BG261" i="11"/>
  <c r="BG262" i="11" s="1"/>
  <c r="AV84" i="6" l="1"/>
  <c r="AU256" i="11"/>
  <c r="DA34" i="19"/>
  <c r="DA35" i="19" s="1"/>
  <c r="DB32" i="19" s="1"/>
  <c r="BF37" i="15"/>
  <c r="BH259" i="11"/>
  <c r="AV85" i="6" l="1"/>
  <c r="AU73" i="11"/>
  <c r="AU257" i="11"/>
  <c r="DB34" i="19"/>
  <c r="DB35" i="19" s="1"/>
  <c r="DC32" i="19" s="1"/>
  <c r="BH261" i="11"/>
  <c r="BH262" i="11" s="1"/>
  <c r="AU74" i="11" l="1"/>
  <c r="AV71" i="11" s="1"/>
  <c r="AU107" i="5"/>
  <c r="AT36" i="15"/>
  <c r="AT35" i="15" s="1"/>
  <c r="AV254" i="11"/>
  <c r="AU108" i="5"/>
  <c r="AV86" i="6"/>
  <c r="AW83" i="6" s="1"/>
  <c r="DC34" i="19"/>
  <c r="DC35" i="19" s="1"/>
  <c r="DD32" i="19" s="1"/>
  <c r="R83" i="19" s="1"/>
  <c r="Z83" i="19" s="1"/>
  <c r="BG37" i="15"/>
  <c r="S32" i="18" s="1"/>
  <c r="H226" i="32" s="1"/>
  <c r="BI259" i="11"/>
  <c r="D78" i="1" l="1"/>
  <c r="C84" i="21" s="1"/>
  <c r="AW84" i="6"/>
  <c r="AV256" i="11"/>
  <c r="BI261" i="11"/>
  <c r="BI262" i="11" s="1"/>
  <c r="DD34" i="19"/>
  <c r="DD35" i="19" s="1"/>
  <c r="DE32" i="19" s="1"/>
  <c r="AW85" i="6" l="1"/>
  <c r="AV73" i="11"/>
  <c r="AV257" i="11"/>
  <c r="BH37" i="15"/>
  <c r="BJ259" i="11"/>
  <c r="DE34" i="19"/>
  <c r="DE35" i="19" s="1"/>
  <c r="DF32" i="19" s="1"/>
  <c r="AV108" i="5" l="1"/>
  <c r="AW86" i="6"/>
  <c r="AX83" i="6" s="1"/>
  <c r="AV74" i="11"/>
  <c r="AW71" i="11" s="1"/>
  <c r="AV107" i="5"/>
  <c r="AW254" i="11"/>
  <c r="AU36" i="15"/>
  <c r="DF34" i="19"/>
  <c r="DF35" i="19" s="1"/>
  <c r="DG32" i="19" s="1"/>
  <c r="BJ261" i="11"/>
  <c r="BJ262" i="11" s="1"/>
  <c r="E78" i="1" l="1"/>
  <c r="R103" i="17"/>
  <c r="R102" i="17"/>
  <c r="AX84" i="6"/>
  <c r="AW256" i="11"/>
  <c r="Q31" i="18"/>
  <c r="AU35" i="15"/>
  <c r="DG34" i="19"/>
  <c r="DG35" i="19" s="1"/>
  <c r="DH32" i="19" s="1"/>
  <c r="BI37" i="15"/>
  <c r="BK259" i="11"/>
  <c r="F304" i="32" l="1"/>
  <c r="D84" i="21"/>
  <c r="AX85" i="6"/>
  <c r="G225" i="32"/>
  <c r="Q30" i="18"/>
  <c r="AW73" i="11"/>
  <c r="AW257" i="11"/>
  <c r="DH34" i="19"/>
  <c r="DH35" i="19" s="1"/>
  <c r="DI32" i="19" s="1"/>
  <c r="BK261" i="11"/>
  <c r="BK262" i="11" s="1"/>
  <c r="H304" i="32" l="1"/>
  <c r="L304" i="32"/>
  <c r="AW74" i="11"/>
  <c r="AX71" i="11" s="1"/>
  <c r="AW107" i="5"/>
  <c r="AV36" i="15"/>
  <c r="AV35" i="15" s="1"/>
  <c r="AX254" i="11"/>
  <c r="AW108" i="5"/>
  <c r="AX86" i="6"/>
  <c r="AY83" i="6" s="1"/>
  <c r="BJ37" i="15"/>
  <c r="BL259" i="11"/>
  <c r="DI34" i="19"/>
  <c r="DI35" i="19" s="1"/>
  <c r="DJ32" i="19" s="1"/>
  <c r="AY84" i="6" l="1"/>
  <c r="AX256" i="11"/>
  <c r="DJ34" i="19"/>
  <c r="DJ35" i="19" s="1"/>
  <c r="DK32" i="19" s="1"/>
  <c r="BL261" i="11"/>
  <c r="BL262" i="11" s="1"/>
  <c r="AY85" i="6" l="1"/>
  <c r="AX73" i="11"/>
  <c r="AX257" i="11"/>
  <c r="BK37" i="15"/>
  <c r="BM259" i="11"/>
  <c r="DK34" i="19"/>
  <c r="DK35" i="19" s="1"/>
  <c r="DL32" i="19" s="1"/>
  <c r="AX74" i="11" l="1"/>
  <c r="AY71" i="11" s="1"/>
  <c r="AX107" i="5"/>
  <c r="AW36" i="15"/>
  <c r="AW35" i="15" s="1"/>
  <c r="AY254" i="11"/>
  <c r="AX108" i="5"/>
  <c r="AY86" i="6"/>
  <c r="AZ83" i="6" s="1"/>
  <c r="DL34" i="19"/>
  <c r="DL35" i="19" s="1"/>
  <c r="DM32" i="19" s="1"/>
  <c r="BM261" i="11"/>
  <c r="BM262" i="11" s="1"/>
  <c r="AZ84" i="6" l="1"/>
  <c r="AY256" i="11"/>
  <c r="BL37" i="15"/>
  <c r="BN259" i="11"/>
  <c r="DM34" i="19"/>
  <c r="DM35" i="19" s="1"/>
  <c r="DN32" i="19" s="1"/>
  <c r="AZ85" i="6" l="1"/>
  <c r="AY73" i="11"/>
  <c r="AY257" i="11"/>
  <c r="BN261" i="11"/>
  <c r="BN262" i="11" s="1"/>
  <c r="DN34" i="19"/>
  <c r="DN35" i="19" s="1"/>
  <c r="DO32" i="19" s="1"/>
  <c r="AY74" i="11" l="1"/>
  <c r="AZ71" i="11" s="1"/>
  <c r="AY107" i="5"/>
  <c r="AX36" i="15"/>
  <c r="AX35" i="15" s="1"/>
  <c r="AZ254" i="11"/>
  <c r="AY108" i="5"/>
  <c r="AZ86" i="6"/>
  <c r="BA83" i="6" s="1"/>
  <c r="DO34" i="19"/>
  <c r="DO35" i="19" s="1"/>
  <c r="DP32" i="19" s="1"/>
  <c r="R85" i="19" s="1"/>
  <c r="Z85" i="19" s="1"/>
  <c r="BM37" i="15"/>
  <c r="T32" i="18" s="1"/>
  <c r="BO259" i="11"/>
  <c r="BA84" i="6" l="1"/>
  <c r="AZ256" i="11"/>
  <c r="BO261" i="11"/>
  <c r="BO262" i="11" s="1"/>
  <c r="DP34" i="19"/>
  <c r="DP35" i="19" s="1"/>
  <c r="DQ32" i="19" s="1"/>
  <c r="BA85" i="6" l="1"/>
  <c r="AZ73" i="11"/>
  <c r="AZ257" i="11"/>
  <c r="BN37" i="15"/>
  <c r="BP259" i="11"/>
  <c r="DQ34" i="19"/>
  <c r="DQ35" i="19" s="1"/>
  <c r="DR32" i="19" s="1"/>
  <c r="AZ107" i="5" l="1"/>
  <c r="AZ74" i="11"/>
  <c r="BA71" i="11" s="1"/>
  <c r="BB84" i="6" s="1"/>
  <c r="AY36" i="15"/>
  <c r="AY35" i="15" s="1"/>
  <c r="BA254" i="11"/>
  <c r="AZ108" i="5"/>
  <c r="BA86" i="6"/>
  <c r="BB83" i="6" s="1"/>
  <c r="DR34" i="19"/>
  <c r="DR35" i="19" s="1"/>
  <c r="DS32" i="19" s="1"/>
  <c r="BP261" i="11"/>
  <c r="BP262" i="11" s="1"/>
  <c r="BA256" i="11" l="1"/>
  <c r="BB85" i="6"/>
  <c r="DS34" i="19"/>
  <c r="DS35" i="19" s="1"/>
  <c r="DT32" i="19" s="1"/>
  <c r="BO37" i="15"/>
  <c r="BQ259" i="11"/>
  <c r="BA73" i="11" l="1"/>
  <c r="BA257" i="11"/>
  <c r="BA108" i="5"/>
  <c r="BB86" i="6"/>
  <c r="BC83" i="6" s="1"/>
  <c r="DT34" i="19"/>
  <c r="DT35" i="19" s="1"/>
  <c r="DU32" i="19" s="1"/>
  <c r="BQ261" i="11"/>
  <c r="BQ262" i="11" s="1"/>
  <c r="BA107" i="5" l="1"/>
  <c r="BA74" i="11"/>
  <c r="BB71" i="11" s="1"/>
  <c r="BB254" i="11"/>
  <c r="AZ36" i="15"/>
  <c r="AZ35" i="15" s="1"/>
  <c r="BP37" i="15"/>
  <c r="BR259" i="11"/>
  <c r="DU34" i="19"/>
  <c r="DU35" i="19" s="1"/>
  <c r="DV32" i="19" s="1"/>
  <c r="R86" i="19" s="1"/>
  <c r="Z86" i="19" s="1"/>
  <c r="BC84" i="6" l="1"/>
  <c r="BB256" i="11"/>
  <c r="DV34" i="19"/>
  <c r="DV35" i="19" s="1"/>
  <c r="DW32" i="19" s="1"/>
  <c r="BR261" i="11"/>
  <c r="BR262" i="11" s="1"/>
  <c r="BC85" i="6" l="1"/>
  <c r="BB73" i="11"/>
  <c r="BB257" i="11"/>
  <c r="BQ37" i="15"/>
  <c r="BS259" i="11"/>
  <c r="DW34" i="19"/>
  <c r="DW35" i="19" s="1"/>
  <c r="DX32" i="19" s="1"/>
  <c r="BB74" i="11" l="1"/>
  <c r="BC71" i="11" s="1"/>
  <c r="BB107" i="5"/>
  <c r="S102" i="17" s="1"/>
  <c r="BA36" i="15"/>
  <c r="BC254" i="11"/>
  <c r="BB108" i="5"/>
  <c r="BC86" i="6"/>
  <c r="BD83" i="6" s="1"/>
  <c r="DX34" i="19"/>
  <c r="DX35" i="19" s="1"/>
  <c r="DY32" i="19" s="1"/>
  <c r="BS261" i="11"/>
  <c r="BS262" i="11" s="1"/>
  <c r="BD84" i="6" l="1"/>
  <c r="BD85" i="6" s="1"/>
  <c r="R31" i="18"/>
  <c r="R30" i="18" s="1"/>
  <c r="BA35" i="15"/>
  <c r="BC256" i="11"/>
  <c r="BR37" i="15"/>
  <c r="BT259" i="11"/>
  <c r="DY34" i="19"/>
  <c r="DY35" i="19" s="1"/>
  <c r="DZ32" i="19" s="1"/>
  <c r="BC73" i="11" l="1"/>
  <c r="BC257" i="11"/>
  <c r="BC108" i="5"/>
  <c r="BD86" i="6"/>
  <c r="BE83" i="6" s="1"/>
  <c r="DZ34" i="19"/>
  <c r="DZ35" i="19" s="1"/>
  <c r="EA32" i="19" s="1"/>
  <c r="BT261" i="11"/>
  <c r="BT262" i="11" s="1"/>
  <c r="BC74" i="11" l="1"/>
  <c r="BD71" i="11" s="1"/>
  <c r="BC107" i="5"/>
  <c r="BD254" i="11"/>
  <c r="BB36" i="15"/>
  <c r="BB35" i="15" s="1"/>
  <c r="BS37" i="15"/>
  <c r="U32" i="18" s="1"/>
  <c r="I226" i="32" s="1"/>
  <c r="BU259" i="11"/>
  <c r="EA34" i="19"/>
  <c r="EA35" i="19" s="1"/>
  <c r="EB32" i="19" s="1"/>
  <c r="BE84" i="6" l="1"/>
  <c r="BD256" i="11"/>
  <c r="BU261" i="11"/>
  <c r="BU262" i="11" s="1"/>
  <c r="EB34" i="19"/>
  <c r="EB35" i="19" s="1"/>
  <c r="EC32" i="19" s="1"/>
  <c r="R87" i="19"/>
  <c r="Z87" i="19" s="1"/>
  <c r="BE85" i="6" l="1"/>
  <c r="BD73" i="11"/>
  <c r="BD257" i="11"/>
  <c r="EC34" i="19"/>
  <c r="EC35" i="19" s="1"/>
  <c r="ED32" i="19" s="1"/>
  <c r="BT37" i="15"/>
  <c r="BV259" i="11"/>
  <c r="BD74" i="11" l="1"/>
  <c r="BE71" i="11" s="1"/>
  <c r="BD107" i="5"/>
  <c r="BC36" i="15"/>
  <c r="BC35" i="15" s="1"/>
  <c r="BE254" i="11"/>
  <c r="BD108" i="5"/>
  <c r="BE86" i="6"/>
  <c r="BF83" i="6" s="1"/>
  <c r="BV261" i="11"/>
  <c r="BV262" i="11" s="1"/>
  <c r="ED34" i="19"/>
  <c r="ED35" i="19" s="1"/>
  <c r="EE32" i="19" s="1"/>
  <c r="BF84" i="6" l="1"/>
  <c r="BF85" i="6" s="1"/>
  <c r="BE256" i="11"/>
  <c r="BU37" i="15"/>
  <c r="BW259" i="11"/>
  <c r="EE34" i="19"/>
  <c r="EE35" i="19"/>
  <c r="EF32" i="19" s="1"/>
  <c r="BE73" i="11" l="1"/>
  <c r="BE257" i="11"/>
  <c r="BE108" i="5"/>
  <c r="BF86" i="6"/>
  <c r="BG83" i="6" s="1"/>
  <c r="BW261" i="11"/>
  <c r="BW262" i="11" s="1"/>
  <c r="EF34" i="19"/>
  <c r="EF35" i="19" s="1"/>
  <c r="EG32" i="19" s="1"/>
  <c r="BE74" i="11" l="1"/>
  <c r="BF71" i="11" s="1"/>
  <c r="BE107" i="5"/>
  <c r="BD36" i="15"/>
  <c r="BD35" i="15" s="1"/>
  <c r="BF254" i="11"/>
  <c r="BV37" i="15"/>
  <c r="BX259" i="11"/>
  <c r="EG34" i="19"/>
  <c r="EG35" i="19" s="1"/>
  <c r="EH32" i="19" s="1"/>
  <c r="BG84" i="6" l="1"/>
  <c r="BF256" i="11"/>
  <c r="EH34" i="19"/>
  <c r="EH35" i="19" s="1"/>
  <c r="EI32" i="19" s="1"/>
  <c r="BX261" i="11"/>
  <c r="BX262" i="11" s="1"/>
  <c r="BG85" i="6" l="1"/>
  <c r="BF73" i="11"/>
  <c r="BF257" i="11"/>
  <c r="BW37" i="15"/>
  <c r="BY259" i="11"/>
  <c r="EI34" i="19"/>
  <c r="EI35" i="19" s="1"/>
  <c r="EJ32" i="19" s="1"/>
  <c r="BF74" i="11" l="1"/>
  <c r="BG71" i="11" s="1"/>
  <c r="BF107" i="5"/>
  <c r="BE36" i="15"/>
  <c r="BE35" i="15" s="1"/>
  <c r="BG254" i="11"/>
  <c r="BF108" i="5"/>
  <c r="BG86" i="6"/>
  <c r="BH83" i="6" s="1"/>
  <c r="EJ34" i="19"/>
  <c r="EJ35" i="19" s="1"/>
  <c r="EK32" i="19" s="1"/>
  <c r="BY261" i="11"/>
  <c r="BY262" i="11" s="1"/>
  <c r="BH84" i="6" l="1"/>
  <c r="BG256" i="11"/>
  <c r="BX37" i="15"/>
  <c r="BZ259" i="11"/>
  <c r="EK34" i="19"/>
  <c r="EK35" i="19" s="1"/>
  <c r="EL32" i="19" s="1"/>
  <c r="BH85" i="6" l="1"/>
  <c r="BG73" i="11"/>
  <c r="BG257" i="11"/>
  <c r="EL34" i="19"/>
  <c r="EL35" i="19" s="1"/>
  <c r="EM32" i="19" s="1"/>
  <c r="BZ261" i="11"/>
  <c r="BZ262" i="11" s="1"/>
  <c r="BG108" i="5" l="1"/>
  <c r="BH86" i="6"/>
  <c r="BI83" i="6" s="1"/>
  <c r="BG107" i="5"/>
  <c r="BG74" i="11"/>
  <c r="BH71" i="11" s="1"/>
  <c r="BI84" i="6" s="1"/>
  <c r="BH254" i="11"/>
  <c r="BF36" i="15"/>
  <c r="BF35" i="15" s="1"/>
  <c r="BY37" i="15"/>
  <c r="V32" i="18" s="1"/>
  <c r="CA259" i="11"/>
  <c r="EM34" i="19"/>
  <c r="EM35" i="19" s="1"/>
  <c r="EN32" i="19" s="1"/>
  <c r="BI85" i="6" l="1"/>
  <c r="BH256" i="11"/>
  <c r="CA261" i="11"/>
  <c r="CA262" i="11" s="1"/>
  <c r="EN34" i="19"/>
  <c r="EN35" i="19" s="1"/>
  <c r="EO32" i="19" s="1"/>
  <c r="BH108" i="5" l="1"/>
  <c r="BI86" i="6"/>
  <c r="BJ83" i="6" s="1"/>
  <c r="BH73" i="11"/>
  <c r="BH257" i="11"/>
  <c r="EO34" i="19"/>
  <c r="EO35" i="19" s="1"/>
  <c r="EP32" i="19" s="1"/>
  <c r="BZ37" i="15"/>
  <c r="CB259" i="11"/>
  <c r="BH107" i="5" l="1"/>
  <c r="BH74" i="11"/>
  <c r="BI71" i="11" s="1"/>
  <c r="BG36" i="15"/>
  <c r="BI254" i="11"/>
  <c r="CB261" i="11"/>
  <c r="CB262" i="11" s="1"/>
  <c r="EP34" i="19"/>
  <c r="EP35" i="19" s="1"/>
  <c r="EQ32" i="19" s="1"/>
  <c r="BJ84" i="6" l="1"/>
  <c r="S31" i="18"/>
  <c r="BG35" i="15"/>
  <c r="BI256" i="11"/>
  <c r="CA37" i="15"/>
  <c r="CC259" i="11"/>
  <c r="EQ34" i="19"/>
  <c r="J34" i="19" s="1"/>
  <c r="R68" i="19"/>
  <c r="Z68" i="19" s="1"/>
  <c r="R74" i="19"/>
  <c r="Z74" i="19" s="1"/>
  <c r="R79" i="19"/>
  <c r="Z79" i="19" s="1"/>
  <c r="R81" i="19"/>
  <c r="Z81" i="19" s="1"/>
  <c r="R82" i="19"/>
  <c r="Z82" i="19" s="1"/>
  <c r="R84" i="19"/>
  <c r="Z84" i="19" s="1"/>
  <c r="BJ85" i="6" l="1"/>
  <c r="H225" i="32"/>
  <c r="S30" i="18"/>
  <c r="BI73" i="11"/>
  <c r="BI257" i="11"/>
  <c r="EQ35" i="19"/>
  <c r="CC261" i="11"/>
  <c r="CC262" i="11" s="1"/>
  <c r="BI74" i="11" l="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c r="DJ83" i="6" s="1"/>
  <c r="DH107" i="5" l="1"/>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AH33" i="1" l="1"/>
  <c r="G172" i="14"/>
  <c r="P172" i="14" s="1"/>
  <c r="G166" i="14"/>
  <c r="P166" i="14" s="1"/>
  <c r="G171" i="14"/>
  <c r="P171" i="14" s="1"/>
  <c r="G173" i="14"/>
  <c r="P173" i="14" s="1"/>
  <c r="E953" i="32"/>
  <c r="E952" i="32"/>
  <c r="Z33" i="1"/>
  <c r="G169" i="14"/>
  <c r="P169" i="14" s="1"/>
  <c r="G168" i="14"/>
  <c r="P168" i="14" s="1"/>
  <c r="G199" i="14"/>
  <c r="P199"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199"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99"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AA51"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99"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S49" i="14"/>
  <c r="S38"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99"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Z49" i="14"/>
  <c r="Z51" i="14"/>
  <c r="Z38" i="14"/>
  <c r="V33" i="14"/>
  <c r="V162" i="14"/>
  <c r="V199"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V51" i="14"/>
  <c r="V38"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199"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R51" i="14"/>
  <c r="R38"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99"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Y49" i="14"/>
  <c r="Y51" i="14"/>
  <c r="Y38"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199" i="14"/>
  <c r="U26" i="14"/>
  <c r="U197" i="14"/>
  <c r="U60" i="14"/>
  <c r="U30" i="14"/>
  <c r="U71" i="14"/>
  <c r="U176" i="14"/>
  <c r="U177" i="14"/>
  <c r="U25" i="14"/>
  <c r="U175" i="14"/>
  <c r="U162" i="14"/>
  <c r="U167" i="14"/>
  <c r="U145" i="14"/>
  <c r="U155" i="14"/>
  <c r="U187" i="14"/>
  <c r="U158" i="14"/>
  <c r="U179" i="14"/>
  <c r="U49" i="14"/>
  <c r="U51" i="14"/>
  <c r="U38"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99" i="14"/>
  <c r="Q174" i="14"/>
  <c r="Q59" i="14"/>
  <c r="Q170" i="14"/>
  <c r="Q143" i="14"/>
  <c r="Q61" i="14"/>
  <c r="Q183" i="14"/>
  <c r="Q154" i="14"/>
  <c r="Q144" i="14"/>
  <c r="Q146" i="14"/>
  <c r="Q161" i="14"/>
  <c r="Q145" i="14"/>
  <c r="Q172" i="14"/>
  <c r="Q149" i="14"/>
  <c r="Q23" i="14"/>
  <c r="Q165" i="14"/>
  <c r="Q164" i="14"/>
  <c r="Q49" i="14"/>
  <c r="Q51" i="14"/>
  <c r="Q38"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99"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AB45" i="14"/>
  <c r="AB51" i="14"/>
  <c r="AB38"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99" i="14"/>
  <c r="X171" i="14"/>
  <c r="X180" i="14"/>
  <c r="X169" i="14"/>
  <c r="X32" i="14"/>
  <c r="X58" i="14"/>
  <c r="X155" i="14"/>
  <c r="X51" i="14"/>
  <c r="X38"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199" i="14"/>
  <c r="T31" i="14"/>
  <c r="T143" i="14"/>
  <c r="T161" i="14"/>
  <c r="T18" i="14"/>
  <c r="T27" i="14"/>
  <c r="T169" i="14"/>
  <c r="T173" i="14"/>
  <c r="T151" i="14"/>
  <c r="T22" i="14"/>
  <c r="T54" i="14"/>
  <c r="T187" i="14"/>
  <c r="T55" i="14"/>
  <c r="T67" i="14"/>
  <c r="T191" i="14"/>
  <c r="T49" i="14"/>
  <c r="T45" i="14"/>
  <c r="T51" i="14"/>
  <c r="T38"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M31" i="35" l="1"/>
  <c r="N31" i="35"/>
  <c r="J31" i="35"/>
  <c r="P31" i="35"/>
  <c r="O31" i="35"/>
  <c r="K31" i="35"/>
  <c r="M33" i="35"/>
  <c r="O33" i="35"/>
  <c r="K33" i="35"/>
  <c r="N33" i="35"/>
  <c r="J33" i="35"/>
  <c r="P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202" i="14"/>
  <c r="CH21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198"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202"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201"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07" i="14"/>
  <c r="AL21" i="14"/>
  <c r="AL143" i="14"/>
  <c r="AL165" i="14"/>
  <c r="AL71" i="14"/>
  <c r="AL192" i="14"/>
  <c r="AL173" i="14"/>
  <c r="AL54" i="14"/>
  <c r="AL208" i="14"/>
  <c r="AL148" i="14"/>
  <c r="AL30" i="14"/>
  <c r="AL59" i="14"/>
  <c r="AL24" i="14"/>
  <c r="AL210"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201"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207" i="14"/>
  <c r="AD147" i="14"/>
  <c r="AD182" i="14"/>
  <c r="AD29" i="14"/>
  <c r="AD153" i="14"/>
  <c r="AD157" i="14"/>
  <c r="AD208" i="14"/>
  <c r="AD183" i="14"/>
  <c r="AD192" i="14"/>
  <c r="AD143" i="14"/>
  <c r="AD17" i="14"/>
  <c r="AD193" i="14"/>
  <c r="AD201"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21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1"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X110" i="14"/>
  <c r="X218" i="14"/>
  <c r="AB123" i="14"/>
  <c r="AB231"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01"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1"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201"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01"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201"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201"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01"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201"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201"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201"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201"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20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201"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01"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20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20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201"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01"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T121" i="14"/>
  <c r="T229" i="14"/>
  <c r="T218" i="14"/>
  <c r="T110"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201"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01"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201"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201"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1"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Q231" i="14"/>
  <c r="Q123"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201"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201"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201"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201"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V231" i="14"/>
  <c r="V123" i="14"/>
  <c r="Z142" i="14"/>
  <c r="Z115" i="14"/>
  <c r="Z223" i="14"/>
  <c r="Z160" i="14"/>
  <c r="N32" i="35"/>
  <c r="K31" i="30"/>
  <c r="J564" i="32"/>
  <c r="J32" i="35"/>
  <c r="G31" i="30"/>
  <c r="F564" i="32"/>
  <c r="M50" i="6"/>
  <c r="L116" i="11"/>
  <c r="BU152" i="14"/>
  <c r="BU201"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201"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201"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1"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201"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201"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U121" i="14"/>
  <c r="U229" i="14"/>
  <c r="Y218" i="14"/>
  <c r="Y110" i="14"/>
  <c r="Y229" i="14"/>
  <c r="Y121"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201"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201"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20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201"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201"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23" i="14"/>
  <c r="Z231"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201"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20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01"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3" i="14"/>
  <c r="AA231"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201"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01"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201"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201"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T231" i="14"/>
  <c r="T123" i="14"/>
  <c r="AB52" i="14"/>
  <c r="AB125" i="14"/>
  <c r="AB110" i="14"/>
  <c r="AB218" i="14"/>
  <c r="AB225" i="14"/>
  <c r="AB117"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201"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201"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201"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201"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23" i="14"/>
  <c r="X231"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201"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1"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201"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201"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201"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U231" i="14"/>
  <c r="U123" i="14"/>
  <c r="Y178" i="14"/>
  <c r="C476" i="32"/>
  <c r="D476" i="32" s="1"/>
  <c r="E476" i="32" s="1"/>
  <c r="F476" i="32" s="1"/>
  <c r="G476" i="32" s="1"/>
  <c r="H476" i="32" s="1"/>
  <c r="I476" i="32" s="1"/>
  <c r="J476" i="32" s="1"/>
  <c r="L477" i="32"/>
  <c r="ED31" i="14"/>
  <c r="ED175" i="14"/>
  <c r="ED66" i="14"/>
  <c r="ED168" i="14"/>
  <c r="ED211" i="14"/>
  <c r="ED20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20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201"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201"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10" i="14"/>
  <c r="R218" i="14"/>
  <c r="R160" i="14"/>
  <c r="R117" i="14"/>
  <c r="R225" i="14"/>
  <c r="V160" i="14"/>
  <c r="Z229" i="14"/>
  <c r="Z121" i="14"/>
  <c r="Z16" i="14"/>
  <c r="Z215" i="14"/>
  <c r="Z107" i="14"/>
  <c r="P32" i="35"/>
  <c r="M31" i="30"/>
  <c r="L564" i="32"/>
  <c r="I31" i="30"/>
  <c r="L32" i="35"/>
  <c r="H564" i="32"/>
  <c r="BW18" i="14"/>
  <c r="BW145" i="14"/>
  <c r="BW179" i="14"/>
  <c r="BW201"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201"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S229" i="14"/>
  <c r="S121"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L31" i="35" s="1"/>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20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201"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201"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201"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0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201"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201"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201"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01"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201"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201"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201"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20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10" i="14"/>
  <c r="Q218" i="14"/>
  <c r="Q178" i="14"/>
  <c r="Q229" i="14"/>
  <c r="Q121" i="14"/>
  <c r="Q52" i="14"/>
  <c r="Q125" i="14"/>
  <c r="U118" i="14"/>
  <c r="U160" i="14"/>
  <c r="U110" i="14"/>
  <c r="U218" i="14"/>
  <c r="Y231" i="14"/>
  <c r="Y123"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201"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1"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01"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1"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231" i="14"/>
  <c r="R123" i="14"/>
  <c r="R125" i="14"/>
  <c r="R52" i="14"/>
  <c r="V125" i="14"/>
  <c r="V52" i="14"/>
  <c r="V110" i="14"/>
  <c r="V218" i="14"/>
  <c r="V142" i="14"/>
  <c r="Z110" i="14"/>
  <c r="Z218"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1"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201" i="14"/>
  <c r="BN161" i="14"/>
  <c r="BN68" i="14"/>
  <c r="BN155" i="14"/>
  <c r="BN159" i="14"/>
  <c r="BN149" i="14"/>
  <c r="BN194" i="14"/>
  <c r="BN39" i="14"/>
  <c r="BN40" i="14"/>
  <c r="BN45" i="14"/>
  <c r="BN42" i="14"/>
  <c r="BN47" i="14"/>
  <c r="BN49" i="14"/>
  <c r="BN41" i="14"/>
  <c r="BN46" i="14"/>
  <c r="BN51" i="14"/>
  <c r="BN43" i="14"/>
  <c r="BN37" i="14"/>
  <c r="BN36" i="14"/>
  <c r="BN44" i="14"/>
  <c r="BN50" i="14"/>
  <c r="BN38" i="14"/>
  <c r="BN48" i="14"/>
  <c r="S110" i="14"/>
  <c r="S21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01"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201"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22" i="14"/>
  <c r="W107" i="14"/>
  <c r="W16" i="14"/>
  <c r="W215" i="14"/>
  <c r="W125" i="14"/>
  <c r="W52" i="14"/>
  <c r="X222" i="14" l="1"/>
  <c r="I31" i="35"/>
  <c r="L33" i="35"/>
  <c r="I33" i="35"/>
  <c r="T119" i="14"/>
  <c r="AB222" i="14"/>
  <c r="AA218" i="14"/>
  <c r="Y220" i="14"/>
  <c r="T109" i="14"/>
  <c r="V121" i="14"/>
  <c r="T222" i="14"/>
  <c r="Q109" i="14"/>
  <c r="AA225" i="14"/>
  <c r="Q119" i="14"/>
  <c r="AL211" i="14"/>
  <c r="AA119" i="14"/>
  <c r="DY78" i="14"/>
  <c r="DY132" i="14" s="1"/>
  <c r="CP85" i="14"/>
  <c r="DB85" i="14"/>
  <c r="BO81" i="14"/>
  <c r="DE85" i="14"/>
  <c r="V230" i="14"/>
  <c r="AS81" i="14"/>
  <c r="CF73" i="14"/>
  <c r="CF127" i="14" s="1"/>
  <c r="DZ85" i="14"/>
  <c r="DZ139" i="14" s="1"/>
  <c r="BI78" i="14"/>
  <c r="BI132" i="14" s="1"/>
  <c r="CF78" i="14"/>
  <c r="CF132" i="14" s="1"/>
  <c r="ED78" i="14"/>
  <c r="DL78" i="14"/>
  <c r="DL132" i="14" s="1"/>
  <c r="DZ81" i="14"/>
  <c r="DZ135" i="14" s="1"/>
  <c r="Y216" i="14"/>
  <c r="V216" i="14"/>
  <c r="BF73" i="14"/>
  <c r="Y222" i="14"/>
  <c r="DB73" i="14"/>
  <c r="DB127" i="14" s="1"/>
  <c r="DY81" i="14"/>
  <c r="DY135" i="14" s="1"/>
  <c r="BV73" i="14"/>
  <c r="BV127" i="14" s="1"/>
  <c r="CT85" i="14"/>
  <c r="CT139" i="14" s="1"/>
  <c r="AT85" i="14"/>
  <c r="AT139" i="14" s="1"/>
  <c r="CT78" i="14"/>
  <c r="CT132" i="14" s="1"/>
  <c r="BB81" i="14"/>
  <c r="BB135" i="14" s="1"/>
  <c r="S119" i="14"/>
  <c r="AQ85" i="14"/>
  <c r="AQ139" i="14" s="1"/>
  <c r="Z114" i="14"/>
  <c r="BV78" i="14"/>
  <c r="BF78" i="14"/>
  <c r="BF132" i="14" s="1"/>
  <c r="BV85" i="14"/>
  <c r="BV139" i="14" s="1"/>
  <c r="AT73" i="14"/>
  <c r="AT127" i="14" s="1"/>
  <c r="AX73" i="14"/>
  <c r="AX127" i="14" s="1"/>
  <c r="AT81" i="14"/>
  <c r="AT135" i="14" s="1"/>
  <c r="DE78" i="14"/>
  <c r="DE132" i="14" s="1"/>
  <c r="AJ73" i="14"/>
  <c r="AJ127" i="14" s="1"/>
  <c r="AC73" i="14"/>
  <c r="AC127" i="14" s="1"/>
  <c r="AW73" i="14"/>
  <c r="CB81" i="14"/>
  <c r="CB135" i="14" s="1"/>
  <c r="AJ85" i="14"/>
  <c r="AJ139" i="14" s="1"/>
  <c r="BE81" i="14"/>
  <c r="DZ78" i="14"/>
  <c r="CI230" i="14"/>
  <c r="BG118" i="14"/>
  <c r="CI221" i="14"/>
  <c r="CS230" i="14"/>
  <c r="EB230" i="14"/>
  <c r="BA203" i="14"/>
  <c r="DY206" i="14"/>
  <c r="BC206" i="14"/>
  <c r="EA203" i="14"/>
  <c r="EB203" i="14"/>
  <c r="DD206" i="14"/>
  <c r="DD196" i="14" s="1"/>
  <c r="DH206" i="14"/>
  <c r="DS206" i="14"/>
  <c r="AI206" i="14"/>
  <c r="CA203" i="14"/>
  <c r="CA196" i="14" s="1"/>
  <c r="CE203" i="14"/>
  <c r="AK203" i="14"/>
  <c r="AY203" i="14"/>
  <c r="DG206" i="14"/>
  <c r="DJ206" i="14"/>
  <c r="DL203" i="14"/>
  <c r="DL196" i="14" s="1"/>
  <c r="CF203" i="14"/>
  <c r="CX206" i="14"/>
  <c r="BA206" i="14"/>
  <c r="BE203" i="14"/>
  <c r="BE196" i="14" s="1"/>
  <c r="CW203" i="14"/>
  <c r="CW196" i="14" s="1"/>
  <c r="AN203" i="14"/>
  <c r="AN196" i="14" s="1"/>
  <c r="CF206" i="14"/>
  <c r="BF206" i="14"/>
  <c r="BG206" i="14"/>
  <c r="BD203" i="14"/>
  <c r="BL203" i="14"/>
  <c r="AZ203" i="14"/>
  <c r="DH203" i="14"/>
  <c r="CC203" i="14"/>
  <c r="DT206" i="14"/>
  <c r="DT196" i="14" s="1"/>
  <c r="AX203" i="14"/>
  <c r="BI203" i="14"/>
  <c r="BN203" i="14"/>
  <c r="DA206" i="14"/>
  <c r="DA196" i="14" s="1"/>
  <c r="DE206" i="14"/>
  <c r="DE196" i="14" s="1"/>
  <c r="CJ206" i="14"/>
  <c r="BF203" i="14"/>
  <c r="BS206" i="14"/>
  <c r="DZ206" i="14"/>
  <c r="ED203" i="14"/>
  <c r="AT206" i="14"/>
  <c r="AC206" i="14"/>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BP196" i="14" s="1"/>
  <c r="EE206" i="14"/>
  <c r="BH203" i="14"/>
  <c r="BQ206" i="14"/>
  <c r="CO206" i="14"/>
  <c r="CS206" i="14"/>
  <c r="AK206" i="14"/>
  <c r="DR206" i="14"/>
  <c r="CH203" i="14"/>
  <c r="AT203" i="14"/>
  <c r="BY206" i="14"/>
  <c r="BZ203" i="14"/>
  <c r="BC203" i="14"/>
  <c r="CN206" i="14"/>
  <c r="CV203" i="14"/>
  <c r="EE203" i="14"/>
  <c r="DC206" i="14"/>
  <c r="BK203" i="14"/>
  <c r="BT206" i="14"/>
  <c r="BT196" i="14" s="1"/>
  <c r="CR203" i="14"/>
  <c r="CV206" i="14"/>
  <c r="DW206" i="14"/>
  <c r="DW196" i="14" s="1"/>
  <c r="EA206" i="14"/>
  <c r="BD206" i="14"/>
  <c r="CS203" i="14"/>
  <c r="EB206" i="14"/>
  <c r="CE206" i="14"/>
  <c r="CG203" i="14"/>
  <c r="DR203" i="14"/>
  <c r="DU203" i="14"/>
  <c r="BB203" i="14"/>
  <c r="BW206" i="14"/>
  <c r="DF203" i="14"/>
  <c r="BN206" i="14"/>
  <c r="BR203" i="14"/>
  <c r="BV206" i="14"/>
  <c r="BV196" i="14" s="1"/>
  <c r="CT203" i="14"/>
  <c r="CT196" i="14" s="1"/>
  <c r="DY203" i="14"/>
  <c r="AS203" i="14"/>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CL196" i="14" s="1"/>
  <c r="BB206" i="14"/>
  <c r="AP206" i="14"/>
  <c r="BI206" i="14"/>
  <c r="BR206" i="14"/>
  <c r="DU206" i="14"/>
  <c r="DP206" i="14"/>
  <c r="AJ206" i="14"/>
  <c r="AJ196" i="14" s="1"/>
  <c r="BJ203" i="14"/>
  <c r="BJ196" i="14" s="1"/>
  <c r="CQ203" i="14"/>
  <c r="DZ203" i="14"/>
  <c r="DF206" i="14"/>
  <c r="BQ203" i="14"/>
  <c r="DI206" i="14"/>
  <c r="AG203" i="14"/>
  <c r="CG206" i="14"/>
  <c r="AQ203" i="14"/>
  <c r="AD203" i="14"/>
  <c r="CD211" i="14"/>
  <c r="BZ206" i="14"/>
  <c r="DX206" i="14"/>
  <c r="DX196" i="14" s="1"/>
  <c r="AR203" i="14"/>
  <c r="AV203" i="14"/>
  <c r="DO206" i="14"/>
  <c r="DO196" i="14" s="1"/>
  <c r="AI203" i="14"/>
  <c r="AM206" i="14"/>
  <c r="AM196" i="14" s="1"/>
  <c r="AY206" i="14"/>
  <c r="CY206" i="14"/>
  <c r="AD206" i="14"/>
  <c r="CU203" i="14"/>
  <c r="AX206" i="14"/>
  <c r="CX203" i="14"/>
  <c r="BY203" i="14"/>
  <c r="BX203" i="14"/>
  <c r="BU206" i="14"/>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N78" i="14"/>
  <c r="CN132" i="14" s="1"/>
  <c r="DK73" i="14"/>
  <c r="DK127" i="14" s="1"/>
  <c r="DI73" i="14"/>
  <c r="DI127" i="14" s="1"/>
  <c r="AU85" i="14"/>
  <c r="AU139" i="14" s="1"/>
  <c r="DH73" i="14"/>
  <c r="DH127" i="14" s="1"/>
  <c r="BK78" i="14"/>
  <c r="BK132" i="14" s="1"/>
  <c r="DL81" i="14"/>
  <c r="DL135" i="14" s="1"/>
  <c r="DB81" i="14"/>
  <c r="DB135" i="14" s="1"/>
  <c r="BV81" i="14"/>
  <c r="BV135" i="14" s="1"/>
  <c r="CP81" i="14"/>
  <c r="CP135" i="14" s="1"/>
  <c r="AF81" i="14"/>
  <c r="AF135" i="14" s="1"/>
  <c r="DF85" i="14"/>
  <c r="DF139" i="14" s="1"/>
  <c r="BE73" i="14"/>
  <c r="BE127" i="14" s="1"/>
  <c r="BE78" i="14"/>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U114" i="14"/>
  <c r="BH78" i="14"/>
  <c r="BH132" i="14" s="1"/>
  <c r="BU73" i="14"/>
  <c r="BU127" i="14" s="1"/>
  <c r="CK85" i="14"/>
  <c r="CK139" i="14" s="1"/>
  <c r="AE78" i="14"/>
  <c r="AE132" i="14" s="1"/>
  <c r="CC81" i="14"/>
  <c r="CC135" i="14" s="1"/>
  <c r="DG73" i="14"/>
  <c r="DG127" i="14" s="1"/>
  <c r="BX78" i="14"/>
  <c r="BX132" i="14" s="1"/>
  <c r="DW85" i="14"/>
  <c r="DW139" i="14" s="1"/>
  <c r="BH81" i="14"/>
  <c r="BU85" i="14"/>
  <c r="BU139" i="14" s="1"/>
  <c r="CK78" i="14"/>
  <c r="CK132" i="14" s="1"/>
  <c r="AM85" i="14"/>
  <c r="AM139" i="14" s="1"/>
  <c r="CG78" i="14"/>
  <c r="CG132" i="14" s="1"/>
  <c r="DG81" i="14"/>
  <c r="DG135" i="14" s="1"/>
  <c r="DJ85" i="14"/>
  <c r="DJ139" i="14" s="1"/>
  <c r="AU81" i="14"/>
  <c r="AU135" i="14" s="1"/>
  <c r="BZ81" i="14"/>
  <c r="BZ135" i="14" s="1"/>
  <c r="DW73" i="14"/>
  <c r="DW127" i="14" s="1"/>
  <c r="BL73" i="14"/>
  <c r="BL127" i="14" s="1"/>
  <c r="BU81" i="14"/>
  <c r="BU135" i="14" s="1"/>
  <c r="CK81" i="14"/>
  <c r="CK135" i="14" s="1"/>
  <c r="AM81" i="14"/>
  <c r="AM135" i="14" s="1"/>
  <c r="CG85" i="14"/>
  <c r="DJ73" i="14"/>
  <c r="DJ127" i="14" s="1"/>
  <c r="DX73" i="14"/>
  <c r="DX127" i="14" s="1"/>
  <c r="AZ73" i="14"/>
  <c r="AZ127" i="14" s="1"/>
  <c r="CA73" i="14"/>
  <c r="CA127" i="14" s="1"/>
  <c r="DR73" i="14"/>
  <c r="DR127" i="14" s="1"/>
  <c r="DC78" i="14"/>
  <c r="DC132" i="14" s="1"/>
  <c r="EC73" i="14"/>
  <c r="EC127" i="14" s="1"/>
  <c r="AW78" i="14"/>
  <c r="AW132" i="14" s="1"/>
  <c r="DP73" i="14"/>
  <c r="DP127" i="14" s="1"/>
  <c r="BO73" i="14"/>
  <c r="BO127" i="14" s="1"/>
  <c r="DX85" i="14"/>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CO73" i="14"/>
  <c r="CO127" i="14" s="1"/>
  <c r="BM73" i="14"/>
  <c r="BM127" i="14" s="1"/>
  <c r="CY73" i="14"/>
  <c r="CY127" i="14" s="1"/>
  <c r="DD73" i="14"/>
  <c r="DD127" i="14" s="1"/>
  <c r="AV73" i="14"/>
  <c r="AV127" i="14" s="1"/>
  <c r="CS73" i="14"/>
  <c r="CS127" i="14" s="1"/>
  <c r="EE73" i="14"/>
  <c r="CV73" i="14"/>
  <c r="CV127" i="14" s="1"/>
  <c r="AP73" i="14"/>
  <c r="AP127" i="14" s="1"/>
  <c r="CM73" i="14"/>
  <c r="CM127" i="14" s="1"/>
  <c r="BW73" i="14"/>
  <c r="BW127" i="14" s="1"/>
  <c r="BQ73" i="14"/>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BD73" i="14"/>
  <c r="BD127" i="14" s="1"/>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C139" i="14" s="1"/>
  <c r="CI85" i="14"/>
  <c r="CI139" i="14" s="1"/>
  <c r="DD85" i="14"/>
  <c r="DD139" i="14" s="1"/>
  <c r="AV85" i="14"/>
  <c r="AV139" i="14" s="1"/>
  <c r="CS85" i="14"/>
  <c r="CS139" i="14" s="1"/>
  <c r="CV85" i="14"/>
  <c r="CV139" i="14" s="1"/>
  <c r="CB85" i="14"/>
  <c r="CB139" i="14" s="1"/>
  <c r="BA85" i="14"/>
  <c r="BA139" i="14" s="1"/>
  <c r="BW85" i="14"/>
  <c r="BW139" i="14" s="1"/>
  <c r="DT85" i="14"/>
  <c r="DT139" i="14" s="1"/>
  <c r="AY85" i="14"/>
  <c r="AY139" i="14" s="1"/>
  <c r="AE85" i="14"/>
  <c r="AE139" i="14" s="1"/>
  <c r="BL85" i="14"/>
  <c r="BL139" i="14" s="1"/>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CD139" i="14" s="1"/>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AC139" i="14" s="1"/>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Y81" i="14"/>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CZ81" i="14"/>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Y113" i="14"/>
  <c r="DB139" i="14"/>
  <c r="BF77" i="14"/>
  <c r="BF131" i="14" s="1"/>
  <c r="V118" i="14"/>
  <c r="DV77" i="14"/>
  <c r="DV131" i="14" s="1"/>
  <c r="Y115" i="14"/>
  <c r="CV77" i="14"/>
  <c r="CV131" i="14" s="1"/>
  <c r="AB116" i="14"/>
  <c r="DP77" i="14"/>
  <c r="DP131" i="14" s="1"/>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AY127"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BO135" i="14"/>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P140"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35" i="14"/>
  <c r="BE113" i="14"/>
  <c r="BR135" i="14"/>
  <c r="DU113" i="14"/>
  <c r="EC118" i="14"/>
  <c r="AQ122" i="14"/>
  <c r="CH226" i="14"/>
  <c r="AO221" i="14"/>
  <c r="AS226" i="14"/>
  <c r="AW113" i="14"/>
  <c r="CW122" i="14"/>
  <c r="CY230" i="14"/>
  <c r="CH230" i="14"/>
  <c r="BV118" i="14"/>
  <c r="O18" i="10"/>
  <c r="O20" i="6" s="1"/>
  <c r="CL118" i="14"/>
  <c r="CT226" i="14"/>
  <c r="AW127" i="14"/>
  <c r="CW113"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DN127"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DQ196" i="14"/>
  <c r="AG178" i="14"/>
  <c r="BS221" i="14"/>
  <c r="CM221" i="14"/>
  <c r="CU113" i="14"/>
  <c r="ED132"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130" i="14" s="1"/>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78" i="14"/>
  <c r="BI142" i="14"/>
  <c r="BI225" i="14"/>
  <c r="BI117" i="14"/>
  <c r="BI226" i="14"/>
  <c r="BI229" i="14"/>
  <c r="BI121" i="14"/>
  <c r="BI109" i="14"/>
  <c r="BI217" i="14"/>
  <c r="BI215" i="14"/>
  <c r="BI107" i="14"/>
  <c r="BI16" i="14"/>
  <c r="F32" i="30"/>
  <c r="F30" i="30"/>
  <c r="N41" i="16"/>
  <c r="N46" i="6"/>
  <c r="BN135" i="14"/>
  <c r="BN110" i="14"/>
  <c r="BN218" i="14"/>
  <c r="BN230" i="14"/>
  <c r="BN120" i="14"/>
  <c r="BN228" i="14"/>
  <c r="BN119" i="14"/>
  <c r="BN227" i="14"/>
  <c r="BN34" i="14"/>
  <c r="BR118" i="14"/>
  <c r="BR34" i="14"/>
  <c r="BR112" i="14"/>
  <c r="BR220" i="14"/>
  <c r="BR119" i="14"/>
  <c r="BR227" i="14"/>
  <c r="BR216" i="14"/>
  <c r="BR108" i="14"/>
  <c r="BR230" i="14"/>
  <c r="BV132" i="14"/>
  <c r="BV115" i="14"/>
  <c r="BV223" i="14"/>
  <c r="BV117" i="14"/>
  <c r="BV225" i="14"/>
  <c r="BV121" i="14"/>
  <c r="BV229" i="14"/>
  <c r="BV16" i="14"/>
  <c r="BV215" i="14"/>
  <c r="BV107" i="14"/>
  <c r="H32" i="35"/>
  <c r="D32" i="35"/>
  <c r="O695" i="32"/>
  <c r="J134" i="32"/>
  <c r="W695" i="32"/>
  <c r="N134" i="32"/>
  <c r="CL113" i="14"/>
  <c r="CL160" i="14"/>
  <c r="CL112" i="14"/>
  <c r="CL220" i="14"/>
  <c r="CL110" i="14"/>
  <c r="CL218" i="14"/>
  <c r="CL111" i="14"/>
  <c r="CL219" i="14"/>
  <c r="CP13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138" i="14"/>
  <c r="CW221" i="14"/>
  <c r="CW225" i="14"/>
  <c r="CW117" i="14"/>
  <c r="CW116" i="14"/>
  <c r="CW224" i="14"/>
  <c r="CW178" i="14"/>
  <c r="DA221" i="14"/>
  <c r="DA178" i="14"/>
  <c r="DA218" i="14"/>
  <c r="DA110" i="14"/>
  <c r="DA226" i="14"/>
  <c r="DE139" i="14"/>
  <c r="DE230" i="14"/>
  <c r="DE111" i="14"/>
  <c r="DE219" i="14"/>
  <c r="DE115" i="14"/>
  <c r="DE223" i="14"/>
  <c r="DE116" i="14"/>
  <c r="DE224" i="14"/>
  <c r="DE121" i="14"/>
  <c r="DE229" i="14"/>
  <c r="DE120" i="14"/>
  <c r="DE228" i="14"/>
  <c r="DL140"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196"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27"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13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196" i="14"/>
  <c r="DB217" i="14"/>
  <c r="DB109" i="14"/>
  <c r="DB227" i="14"/>
  <c r="DB119" i="14"/>
  <c r="DB108" i="14"/>
  <c r="DB216" i="14"/>
  <c r="DB34" i="14"/>
  <c r="DB223" i="14"/>
  <c r="DB115" i="14"/>
  <c r="DF218" i="14"/>
  <c r="DF110" i="14"/>
  <c r="DF230" i="14"/>
  <c r="DF220" i="14"/>
  <c r="DF112" i="14"/>
  <c r="DF121" i="14"/>
  <c r="DF229" i="14"/>
  <c r="DF116" i="14"/>
  <c r="DF224"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2" i="14"/>
  <c r="DW135"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35"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139" i="14"/>
  <c r="BM226" i="14"/>
  <c r="BM52" i="14"/>
  <c r="BM125" i="14"/>
  <c r="BM121" i="14"/>
  <c r="BM229" i="14"/>
  <c r="BM221" i="14"/>
  <c r="BM217" i="14"/>
  <c r="BM109" i="14"/>
  <c r="BM111" i="14"/>
  <c r="BM219" i="14"/>
  <c r="BM218" i="14"/>
  <c r="BM110" i="14"/>
  <c r="BM215" i="14"/>
  <c r="BM16" i="14"/>
  <c r="BM107" i="14"/>
  <c r="BM108" i="14"/>
  <c r="BM216" i="14"/>
  <c r="BQ127"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139"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139" i="14"/>
  <c r="CG226" i="14"/>
  <c r="CG217" i="14"/>
  <c r="CG109" i="14"/>
  <c r="CG125" i="14"/>
  <c r="CG52" i="14"/>
  <c r="CG196"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3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196" i="14"/>
  <c r="CH222" i="14"/>
  <c r="CH114" i="14"/>
  <c r="CH121" i="14"/>
  <c r="CH229" i="14"/>
  <c r="BA220" i="14"/>
  <c r="BA112" i="14"/>
  <c r="BA34" i="14"/>
  <c r="BA217" i="14"/>
  <c r="BA109" i="14"/>
  <c r="BA118" i="14"/>
  <c r="BA230" i="14"/>
  <c r="BA231" i="14"/>
  <c r="BA123" i="14"/>
  <c r="BA160" i="14"/>
  <c r="BE132" i="14"/>
  <c r="BE121" i="14"/>
  <c r="BE229" i="14"/>
  <c r="BE115" i="14"/>
  <c r="BE223" i="14"/>
  <c r="BE225" i="14"/>
  <c r="BE117" i="14"/>
  <c r="BE116" i="14"/>
  <c r="BE224" i="14"/>
  <c r="BE111" i="14"/>
  <c r="BE219" i="14"/>
  <c r="BE125" i="14"/>
  <c r="BE52" i="14"/>
  <c r="BI160" i="14"/>
  <c r="BI123" i="14"/>
  <c r="BI231" i="14"/>
  <c r="BI220" i="14"/>
  <c r="BI112" i="14"/>
  <c r="F133" i="32"/>
  <c r="G694" i="32"/>
  <c r="P40" i="16"/>
  <c r="BN127" i="14"/>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96"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196"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135" i="14"/>
  <c r="AS217" i="14"/>
  <c r="AS109" i="14"/>
  <c r="AS160" i="14"/>
  <c r="AS196"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F196"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196"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132"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132"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127"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AC196" i="14"/>
  <c r="BY135" i="14"/>
  <c r="BY115" i="14"/>
  <c r="BY223" i="14"/>
  <c r="BY220" i="14"/>
  <c r="BY112" i="14"/>
  <c r="BY52" i="14"/>
  <c r="BY125" i="14"/>
  <c r="BY160" i="14"/>
  <c r="BY228" i="14"/>
  <c r="BY120" i="14"/>
  <c r="BY196"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60" i="14"/>
  <c r="CV196"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7" i="14"/>
  <c r="EE122" i="14"/>
  <c r="EE229" i="14"/>
  <c r="EE121" i="14"/>
  <c r="EE109" i="14"/>
  <c r="EE217" i="14"/>
  <c r="BD110" i="14"/>
  <c r="BD218" i="14"/>
  <c r="BD109" i="14"/>
  <c r="BD217" i="14"/>
  <c r="BD219" i="14"/>
  <c r="BD111" i="14"/>
  <c r="BD216" i="14"/>
  <c r="BD108" i="14"/>
  <c r="BD142" i="14"/>
  <c r="BD224" i="14"/>
  <c r="BD116" i="14"/>
  <c r="BD113" i="14"/>
  <c r="BH135"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16" i="14"/>
  <c r="BQ224" i="14"/>
  <c r="BQ230" i="14"/>
  <c r="BQ222" i="14"/>
  <c r="BQ114" i="14"/>
  <c r="BU123" i="14"/>
  <c r="BU231" i="14"/>
  <c r="BU222" i="14"/>
  <c r="BU114" i="14"/>
  <c r="BU109" i="14"/>
  <c r="BU217" i="14"/>
  <c r="BU178" i="14"/>
  <c r="BU108" i="14"/>
  <c r="BU216" i="14"/>
  <c r="D564" i="32"/>
  <c r="C564" i="32" s="1"/>
  <c r="M44" i="16"/>
  <c r="K50" i="6"/>
  <c r="CK138" i="14"/>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V196" i="14"/>
  <c r="AZ221" i="14"/>
  <c r="AZ110" i="14"/>
  <c r="AZ218" i="14"/>
  <c r="AZ160" i="14"/>
  <c r="AZ116" i="14"/>
  <c r="AZ224" i="14"/>
  <c r="AZ222" i="14"/>
  <c r="AZ114" i="14"/>
  <c r="AZ142" i="14"/>
  <c r="AZ120" i="14"/>
  <c r="AZ228" i="14"/>
  <c r="CZ135"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3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196"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AW196"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96"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196" i="14"/>
  <c r="DK52" i="14"/>
  <c r="DK125" i="14"/>
  <c r="DK108" i="14"/>
  <c r="DK216" i="14"/>
  <c r="DO226" i="14"/>
  <c r="DO142" i="14"/>
  <c r="DO34" i="14"/>
  <c r="DS114" i="14"/>
  <c r="DS222" i="14"/>
  <c r="DS215" i="14"/>
  <c r="DS16" i="14"/>
  <c r="DS107" i="14"/>
  <c r="DS178" i="14"/>
  <c r="DS142" i="14"/>
  <c r="DS160" i="14"/>
  <c r="AE216" i="14"/>
  <c r="AE108" i="14"/>
  <c r="AE117" i="14"/>
  <c r="AE225" i="14"/>
  <c r="AE228" i="14"/>
  <c r="AE120" i="14"/>
  <c r="AI114" i="14"/>
  <c r="AI222"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DC196" i="14" l="1"/>
  <c r="BI196" i="14"/>
  <c r="AI196" i="14"/>
  <c r="AF40" i="10" s="1"/>
  <c r="CJ196" i="14"/>
  <c r="BQ196" i="14"/>
  <c r="BN196" i="14"/>
  <c r="DS196" i="14"/>
  <c r="DG196" i="14"/>
  <c r="DD40" i="10" s="1"/>
  <c r="EJ133" i="14"/>
  <c r="BB196" i="14"/>
  <c r="BX196" i="14"/>
  <c r="CE196" i="14"/>
  <c r="BA196" i="14"/>
  <c r="AX40" i="10" s="1"/>
  <c r="DF196" i="14"/>
  <c r="DC40" i="10" s="1"/>
  <c r="CI196" i="14"/>
  <c r="CF40" i="10" s="1"/>
  <c r="AR196" i="14"/>
  <c r="AO40" i="10" s="1"/>
  <c r="BH196" i="14"/>
  <c r="BC196" i="14"/>
  <c r="AZ40" i="10" s="1"/>
  <c r="CO196" i="14"/>
  <c r="AX196" i="14"/>
  <c r="AU40" i="10" s="1"/>
  <c r="DN196" i="14"/>
  <c r="DK40" i="10" s="1"/>
  <c r="DV196" i="14"/>
  <c r="CX196" i="14"/>
  <c r="CC196" i="14"/>
  <c r="BZ40" i="10" s="1"/>
  <c r="AQ196" i="14"/>
  <c r="AN40" i="10" s="1"/>
  <c r="BD196" i="14"/>
  <c r="CR196" i="14"/>
  <c r="CO40" i="10" s="1"/>
  <c r="BF196" i="14"/>
  <c r="AY196" i="14"/>
  <c r="CK196" i="14"/>
  <c r="CH40" i="10" s="1"/>
  <c r="DR196" i="14"/>
  <c r="DO40" i="10" s="1"/>
  <c r="CU196" i="14"/>
  <c r="CR40" i="10" s="1"/>
  <c r="BR196" i="14"/>
  <c r="BO40" i="10" s="1"/>
  <c r="DJ196" i="14"/>
  <c r="CZ196" i="14"/>
  <c r="CW40" i="10" s="1"/>
  <c r="CM196" i="14"/>
  <c r="CJ40" i="10" s="1"/>
  <c r="BM196" i="14"/>
  <c r="BJ40" i="10" s="1"/>
  <c r="AK196" i="14"/>
  <c r="CS196" i="14"/>
  <c r="CP40" i="10" s="1"/>
  <c r="DH196" i="14"/>
  <c r="DE40" i="10" s="1"/>
  <c r="DP196" i="14"/>
  <c r="AG196" i="14"/>
  <c r="AD40" i="10" s="1"/>
  <c r="AP196" i="14"/>
  <c r="BK196" i="14"/>
  <c r="BH40" i="10" s="1"/>
  <c r="DU196" i="14"/>
  <c r="DR40" i="10" s="1"/>
  <c r="DI196" i="14"/>
  <c r="AU196" i="14"/>
  <c r="AR40" i="10" s="1"/>
  <c r="BL196" i="14"/>
  <c r="BI40" i="10" s="1"/>
  <c r="BS196" i="14"/>
  <c r="BP40" i="10" s="1"/>
  <c r="DZ196" i="14"/>
  <c r="AZ196" i="14"/>
  <c r="EA196" i="14"/>
  <c r="AL196" i="14"/>
  <c r="ED196" i="14"/>
  <c r="EA40" i="10" s="1"/>
  <c r="DM196" i="14"/>
  <c r="DJ40" i="10" s="1"/>
  <c r="BZ196" i="14"/>
  <c r="BW40" i="10" s="1"/>
  <c r="AH196" i="14"/>
  <c r="AE40" i="10" s="1"/>
  <c r="CF196" i="14"/>
  <c r="BG196" i="14"/>
  <c r="EE196" i="14"/>
  <c r="EB40" i="10" s="1"/>
  <c r="BW196" i="14"/>
  <c r="BT40" i="10" s="1"/>
  <c r="CY196" i="14"/>
  <c r="EB196" i="14"/>
  <c r="DY40" i="10" s="1"/>
  <c r="CN196" i="14"/>
  <c r="CQ196" i="14"/>
  <c r="AT196" i="14"/>
  <c r="AQ40" i="10" s="1"/>
  <c r="EO133" i="14"/>
  <c r="W106" i="14"/>
  <c r="T17" i="10" s="1"/>
  <c r="S17" i="5" s="1"/>
  <c r="U214" i="14"/>
  <c r="R32" i="10" s="1"/>
  <c r="R37" i="6" s="1"/>
  <c r="CD196" i="14"/>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BF38" i="10" s="1"/>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L962" i="32"/>
  <c r="F961" i="32" s="1"/>
  <c r="EF122" i="14"/>
  <c r="BA70" i="14"/>
  <c r="AX38" i="10" s="1"/>
  <c r="AW70" i="14"/>
  <c r="AT38" i="10" s="1"/>
  <c r="AG40" i="10"/>
  <c r="EF127" i="14"/>
  <c r="EI131" i="14"/>
  <c r="ET131" i="14"/>
  <c r="BX70" i="14"/>
  <c r="BU38" i="10" s="1"/>
  <c r="L976" i="32"/>
  <c r="BG70" i="14"/>
  <c r="BD38" i="10" s="1"/>
  <c r="CX70" i="14"/>
  <c r="BN70" i="14"/>
  <c r="BK38" i="10" s="1"/>
  <c r="DG70" i="14"/>
  <c r="DD38" i="10" s="1"/>
  <c r="AQ70" i="14"/>
  <c r="AN38" i="10" s="1"/>
  <c r="BJ70" i="14"/>
  <c r="BG38" i="10" s="1"/>
  <c r="AZ70" i="14"/>
  <c r="AW38" i="10" s="1"/>
  <c r="CY70" i="14"/>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DR70" i="14"/>
  <c r="DO38" i="10" s="1"/>
  <c r="DX70" i="14"/>
  <c r="DU38" i="10" s="1"/>
  <c r="AW136" i="14"/>
  <c r="AW124" i="14" s="1"/>
  <c r="AT39" i="10" s="1"/>
  <c r="CU70" i="14"/>
  <c r="CR38" i="10" s="1"/>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CW124" i="14" s="1"/>
  <c r="CT39" i="10" s="1"/>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BO38" i="10" s="1"/>
  <c r="CD141" i="14"/>
  <c r="CD124" i="14" s="1"/>
  <c r="CA39" i="10" s="1"/>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CQ40" i="10"/>
  <c r="S18" i="5"/>
  <c r="AI40" i="10"/>
  <c r="AX16" i="10"/>
  <c r="AW16" i="5" s="1"/>
  <c r="DA40" i="10"/>
  <c r="BT18" i="10"/>
  <c r="BS18" i="5" s="1"/>
  <c r="CN16" i="10"/>
  <c r="CM16" i="5" s="1"/>
  <c r="CO18" i="10"/>
  <c r="CO20" i="6" s="1"/>
  <c r="AZ16" i="10"/>
  <c r="AY16" i="5" s="1"/>
  <c r="CZ18" i="10"/>
  <c r="CY18" i="5" s="1"/>
  <c r="DM18" i="10"/>
  <c r="DM20" i="6" s="1"/>
  <c r="BZ18" i="10"/>
  <c r="BY18" i="5" s="1"/>
  <c r="AB16" i="10"/>
  <c r="AA16" i="5" s="1"/>
  <c r="Q20" i="6"/>
  <c r="BB16" i="10"/>
  <c r="BA16" i="5" s="1"/>
  <c r="EN137" i="14"/>
  <c r="BA18" i="10"/>
  <c r="AZ18" i="5" s="1"/>
  <c r="H33" i="35"/>
  <c r="AT16" i="10"/>
  <c r="AS16" i="5" s="1"/>
  <c r="BN18" i="10"/>
  <c r="BN20" i="6" s="1"/>
  <c r="DJ18" i="10"/>
  <c r="DJ20" i="6" s="1"/>
  <c r="BK16" i="10"/>
  <c r="BJ16" i="5" s="1"/>
  <c r="DZ40" i="10"/>
  <c r="DL16" i="10"/>
  <c r="DK16" i="5" s="1"/>
  <c r="AN18" i="10"/>
  <c r="AM18" i="5" s="1"/>
  <c r="S20" i="6"/>
  <c r="DS40" i="10"/>
  <c r="EB18" i="10"/>
  <c r="EA18" i="5" s="1"/>
  <c r="DC18" i="10"/>
  <c r="DC20" i="6" s="1"/>
  <c r="BE40" i="10"/>
  <c r="AM18" i="10"/>
  <c r="AM20" i="6" s="1"/>
  <c r="CX16" i="10"/>
  <c r="CW16" i="5" s="1"/>
  <c r="DR18" i="10"/>
  <c r="DQ18" i="5" s="1"/>
  <c r="CV18" i="10"/>
  <c r="CV20" i="6" s="1"/>
  <c r="CA40" i="10"/>
  <c r="BT16" i="10"/>
  <c r="BS16" i="5" s="1"/>
  <c r="AQ16" i="10"/>
  <c r="AP16" i="5" s="1"/>
  <c r="CG18" i="10"/>
  <c r="CG20" i="6" s="1"/>
  <c r="EI134" i="14"/>
  <c r="DG18" i="10"/>
  <c r="DF18" i="5" s="1"/>
  <c r="CL18" i="10"/>
  <c r="CL20" i="6" s="1"/>
  <c r="BU16" i="10"/>
  <c r="BT16" i="5" s="1"/>
  <c r="CD40" i="10"/>
  <c r="AA16" i="10"/>
  <c r="Z16" i="5" s="1"/>
  <c r="DG40" i="10"/>
  <c r="CQ18" i="10"/>
  <c r="CQ20" i="6" s="1"/>
  <c r="BS18" i="10"/>
  <c r="BS20" i="6" s="1"/>
  <c r="AK40" i="10"/>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AJ40" i="10"/>
  <c r="AS18" i="10"/>
  <c r="AR18" i="5" s="1"/>
  <c r="AD16" i="10"/>
  <c r="AC16" i="5" s="1"/>
  <c r="EH131" i="14"/>
  <c r="ES230" i="14"/>
  <c r="EG135" i="14"/>
  <c r="CU40" i="10"/>
  <c r="DY18" i="10"/>
  <c r="DY20" i="6" s="1"/>
  <c r="DN18" i="10"/>
  <c r="DM18" i="5" s="1"/>
  <c r="N53" i="14"/>
  <c r="BE16" i="10"/>
  <c r="BD16" i="5" s="1"/>
  <c r="ER137" i="14"/>
  <c r="CL16" i="10"/>
  <c r="CK16" i="5" s="1"/>
  <c r="DT40" i="10"/>
  <c r="CE214" i="14"/>
  <c r="CB32" i="10" s="1"/>
  <c r="CA33" i="5" s="1"/>
  <c r="AH40" i="10"/>
  <c r="EM137" i="14"/>
  <c r="EM230" i="14"/>
  <c r="ER127" i="14"/>
  <c r="EF221" i="14"/>
  <c r="EI139" i="14"/>
  <c r="ET129" i="14"/>
  <c r="DZ124" i="14"/>
  <c r="DW39" i="10" s="1"/>
  <c r="BU18" i="10"/>
  <c r="BT18" i="5" s="1"/>
  <c r="DJ16" i="10"/>
  <c r="DI16" i="5" s="1"/>
  <c r="Y36" i="1"/>
  <c r="C4" i="21" s="1"/>
  <c r="EA16" i="10"/>
  <c r="DZ16" i="5" s="1"/>
  <c r="CR18" i="10"/>
  <c r="CQ18" i="5" s="1"/>
  <c r="Y20" i="6"/>
  <c r="AA18" i="10"/>
  <c r="AA20" i="6" s="1"/>
  <c r="BX18" i="10"/>
  <c r="BW18" i="5" s="1"/>
  <c r="EL136" i="14"/>
  <c r="EL221" i="14"/>
  <c r="ER140" i="14"/>
  <c r="EQ129" i="14"/>
  <c r="EQ118" i="14"/>
  <c r="EP128" i="14"/>
  <c r="BP16" i="10"/>
  <c r="BO16" i="5" s="1"/>
  <c r="N18" i="5"/>
  <c r="E588" i="32" s="1"/>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EO141" i="14"/>
  <c r="EM127" i="14"/>
  <c r="EK129" i="14"/>
  <c r="EK230" i="14"/>
  <c r="EJ134" i="14"/>
  <c r="BN40" i="10"/>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T124" i="14"/>
  <c r="DQ39" i="10" s="1"/>
  <c r="D911" i="32"/>
  <c r="D929" i="32" s="1"/>
  <c r="EO139" i="14"/>
  <c r="EM130" i="14"/>
  <c r="EP134" i="14"/>
  <c r="L42" i="35"/>
  <c r="EJ127" i="14"/>
  <c r="AL124" i="14"/>
  <c r="AI39" i="10" s="1"/>
  <c r="CU38" i="10"/>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CS40" i="10"/>
  <c r="AV40" i="10"/>
  <c r="EG130" i="14"/>
  <c r="EG139" i="14"/>
  <c r="BC124" i="14"/>
  <c r="AZ39" i="10" s="1"/>
  <c r="EL133" i="14"/>
  <c r="EQ132" i="14"/>
  <c r="EQ133" i="14"/>
  <c r="EQ122" i="14"/>
  <c r="EP129" i="14"/>
  <c r="EP230" i="14"/>
  <c r="EO127" i="14"/>
  <c r="EO132" i="14"/>
  <c r="EO138" i="14"/>
  <c r="N179" i="14"/>
  <c r="EU131" i="14"/>
  <c r="EU113" i="14"/>
  <c r="EI127" i="14"/>
  <c r="ET230" i="14"/>
  <c r="AU106" i="14"/>
  <c r="AR17" i="10" s="1"/>
  <c r="AQ17" i="5" s="1"/>
  <c r="DF214" i="14"/>
  <c r="DC32" i="10" s="1"/>
  <c r="DC21" i="10" s="1"/>
  <c r="CX214" i="14"/>
  <c r="CU32" i="10" s="1"/>
  <c r="CU37" i="6" s="1"/>
  <c r="DB40" i="10"/>
  <c r="CE40" i="10"/>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AD18" i="10"/>
  <c r="AC18" i="5" s="1"/>
  <c r="EH221" i="14"/>
  <c r="ES132" i="14"/>
  <c r="EG127" i="14"/>
  <c r="EG132" i="14"/>
  <c r="EN138" i="14"/>
  <c r="DW124" i="14"/>
  <c r="DT39" i="10" s="1"/>
  <c r="AG16" i="10"/>
  <c r="AF16" i="5" s="1"/>
  <c r="BX40" i="10"/>
  <c r="EL129" i="14"/>
  <c r="EL127" i="14"/>
  <c r="EL131" i="14"/>
  <c r="ER138" i="14"/>
  <c r="EQ127" i="14"/>
  <c r="EQ134" i="14"/>
  <c r="EQ139" i="14"/>
  <c r="EP139" i="14"/>
  <c r="EP142" i="14"/>
  <c r="CV40" i="10"/>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DP40" i="10"/>
  <c r="CZ124" i="14"/>
  <c r="CW39" i="10" s="1"/>
  <c r="AV106" i="14"/>
  <c r="AS17" i="10" s="1"/>
  <c r="AR17" i="5" s="1"/>
  <c r="EF135" i="14"/>
  <c r="EU128" i="14"/>
  <c r="N152" i="14"/>
  <c r="EI132" i="14"/>
  <c r="CR106" i="14"/>
  <c r="CO17" i="10" s="1"/>
  <c r="CN17" i="5" s="1"/>
  <c r="CO16" i="10"/>
  <c r="AE18" i="10"/>
  <c r="AE20" i="6" s="1"/>
  <c r="CA18" i="10"/>
  <c r="CA20" i="6" s="1"/>
  <c r="DL40" i="10"/>
  <c r="EH122" i="14"/>
  <c r="BG124" i="14"/>
  <c r="BD39" i="10" s="1"/>
  <c r="AM40" i="10"/>
  <c r="EQ160" i="14"/>
  <c r="DC124" i="14"/>
  <c r="CZ39" i="10" s="1"/>
  <c r="CZ16" i="10"/>
  <c r="CY16" i="5" s="1"/>
  <c r="CP124" i="14"/>
  <c r="CM39" i="10" s="1"/>
  <c r="CB40" i="10"/>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L40" i="10"/>
  <c r="CK214" i="14"/>
  <c r="CH32" i="10" s="1"/>
  <c r="BL214" i="14"/>
  <c r="BI32" i="10" s="1"/>
  <c r="BP214" i="14"/>
  <c r="BM32" i="10" s="1"/>
  <c r="BP124" i="14"/>
  <c r="BM39" i="10" s="1"/>
  <c r="DW40" i="10"/>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N148" i="11"/>
  <c r="N50" i="5" s="1"/>
  <c r="M117" i="11"/>
  <c r="N114" i="11" s="1"/>
  <c r="N116" i="11" s="1"/>
  <c r="M44" i="5"/>
  <c r="BR18" i="10"/>
  <c r="BH106" i="14"/>
  <c r="BE17" i="10" s="1"/>
  <c r="BD17" i="5" s="1"/>
  <c r="BD214" i="14"/>
  <c r="BA32" i="10" s="1"/>
  <c r="EE106" i="14"/>
  <c r="EB17" i="10" s="1"/>
  <c r="EA17" i="5" s="1"/>
  <c r="EB16" i="10"/>
  <c r="CK18" i="10"/>
  <c r="BT106" i="14"/>
  <c r="BQ17" i="10" s="1"/>
  <c r="BP17" i="5" s="1"/>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DV40" i="10"/>
  <c r="CT124" i="14"/>
  <c r="CQ39" i="10" s="1"/>
  <c r="CM18" i="10"/>
  <c r="E30" i="30"/>
  <c r="BI214" i="14"/>
  <c r="BF32" i="10" s="1"/>
  <c r="BF18" i="10"/>
  <c r="AX18" i="10"/>
  <c r="CH124" i="14"/>
  <c r="CE39" i="10" s="1"/>
  <c r="DK18" i="10"/>
  <c r="DD18" i="10"/>
  <c r="AK106" i="14"/>
  <c r="AH17" i="10" s="1"/>
  <c r="AG17" i="5" s="1"/>
  <c r="AH18" i="10"/>
  <c r="DI106" i="14"/>
  <c r="DF17" i="10" s="1"/>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BD40" i="10"/>
  <c r="AH214" i="14"/>
  <c r="AE32" i="10" s="1"/>
  <c r="BV40" i="10"/>
  <c r="CY40" i="10"/>
  <c r="AT214" i="14"/>
  <c r="AQ32" i="10" s="1"/>
  <c r="CQ106" i="14"/>
  <c r="CN17" i="10" s="1"/>
  <c r="CM17" i="5" s="1"/>
  <c r="W148" i="11"/>
  <c r="W50" i="5" s="1"/>
  <c r="AY40" i="10"/>
  <c r="AF106" i="14"/>
  <c r="AC17" i="10" s="1"/>
  <c r="AB17" i="5" s="1"/>
  <c r="X148" i="11"/>
  <c r="X50"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H40" i="10"/>
  <c r="DD214" i="14"/>
  <c r="DA32" i="10" s="1"/>
  <c r="AS40" i="10"/>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DX40" i="10"/>
  <c r="CN214" i="14"/>
  <c r="CK32" i="10" s="1"/>
  <c r="BP106" i="14"/>
  <c r="BM17" i="10" s="1"/>
  <c r="BL17" i="5" s="1"/>
  <c r="L479" i="32"/>
  <c r="C478" i="32"/>
  <c r="D478" i="32" s="1"/>
  <c r="E478" i="32" s="1"/>
  <c r="F478" i="32" s="1"/>
  <c r="G478" i="32" s="1"/>
  <c r="H478" i="32" s="1"/>
  <c r="I478" i="32" s="1"/>
  <c r="J478" i="32" s="1"/>
  <c r="DV106" i="14"/>
  <c r="DS17" i="10" s="1"/>
  <c r="DR17" i="5" s="1"/>
  <c r="BO214" i="14"/>
  <c r="BL32" i="10" s="1"/>
  <c r="CG40" i="10"/>
  <c r="CC40" i="10"/>
  <c r="AK18" i="10"/>
  <c r="DT214" i="14"/>
  <c r="DQ32" i="10" s="1"/>
  <c r="CW214" i="14"/>
  <c r="CT32" i="10" s="1"/>
  <c r="AT40" i="10"/>
  <c r="N78" i="14"/>
  <c r="CM40" i="10"/>
  <c r="CA16" i="10"/>
  <c r="AI1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BF40" i="10"/>
  <c r="DN106" i="14"/>
  <c r="DK17" i="10" s="1"/>
  <c r="DJ17" i="5" s="1"/>
  <c r="DJ106" i="14"/>
  <c r="DG17" i="10" s="1"/>
  <c r="DF17" i="5" s="1"/>
  <c r="CV38" i="10"/>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CN40" i="10"/>
  <c r="BL40" i="10"/>
  <c r="X19" i="6"/>
  <c r="CJ106" i="14"/>
  <c r="CG17" i="10" s="1"/>
  <c r="CF17" i="5" s="1"/>
  <c r="AC16" i="10"/>
  <c r="DL106" i="14"/>
  <c r="DI17" i="10" s="1"/>
  <c r="DH17" i="5" s="1"/>
  <c r="Y19" i="6"/>
  <c r="DE214" i="14"/>
  <c r="DB32" i="10" s="1"/>
  <c r="CT16" i="10"/>
  <c r="AW106" i="14"/>
  <c r="AT17" i="10" s="1"/>
  <c r="AS17" i="5" s="1"/>
  <c r="BR214" i="14"/>
  <c r="BO32" i="10" s="1"/>
  <c r="BA106" i="14"/>
  <c r="AX17" i="10" s="1"/>
  <c r="J911" i="32"/>
  <c r="J929" i="32" s="1"/>
  <c r="E911" i="32"/>
  <c r="S33" i="5"/>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Q40" i="10"/>
  <c r="BD16" i="10"/>
  <c r="BZ214" i="14"/>
  <c r="BW32" i="10" s="1"/>
  <c r="N82" i="14"/>
  <c r="CM214" i="14"/>
  <c r="CJ32" i="10" s="1"/>
  <c r="CF106" i="14"/>
  <c r="CC17" i="10" s="1"/>
  <c r="CB17" i="5" s="1"/>
  <c r="CB106" i="14"/>
  <c r="BY17" i="10" s="1"/>
  <c r="BX17" i="5" s="1"/>
  <c r="AN214" i="14"/>
  <c r="AK32" i="10" s="1"/>
  <c r="AK38" i="10"/>
  <c r="AC18" i="10"/>
  <c r="DI40"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U40" i="10"/>
  <c r="BK214" i="14"/>
  <c r="BH32" i="10" s="1"/>
  <c r="AR16" i="10"/>
  <c r="AC106" i="14"/>
  <c r="Z17" i="10" s="1"/>
  <c r="AU16" i="10"/>
  <c r="AX124" i="14"/>
  <c r="AU39" i="10" s="1"/>
  <c r="AP214" i="14"/>
  <c r="AM32" i="10" s="1"/>
  <c r="N80" i="14"/>
  <c r="DZ106" i="14"/>
  <c r="DW17" i="10" s="1"/>
  <c r="DV17" i="5" s="1"/>
  <c r="DS38" i="10"/>
  <c r="BG16" i="10"/>
  <c r="CC16" i="10"/>
  <c r="AT18" i="10"/>
  <c r="AS106" i="14"/>
  <c r="AP17" i="10" s="1"/>
  <c r="AO17" i="5" s="1"/>
  <c r="DZ18" i="10"/>
  <c r="BV106" i="14"/>
  <c r="BS17" i="10" s="1"/>
  <c r="BR17" i="5" s="1"/>
  <c r="D31" i="35"/>
  <c r="D33" i="35" s="1"/>
  <c r="H31" i="35"/>
  <c r="AA40" i="10"/>
  <c r="DN214" i="14"/>
  <c r="DK32" i="10" s="1"/>
  <c r="AY106" i="14"/>
  <c r="AV17" i="10" s="1"/>
  <c r="AU17" i="5" s="1"/>
  <c r="DF18" i="10"/>
  <c r="CI106" i="14"/>
  <c r="CF17" i="10" s="1"/>
  <c r="CE17" i="5" s="1"/>
  <c r="CB18" i="10"/>
  <c r="DA16" i="10"/>
  <c r="AW40"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BA40" i="10"/>
  <c r="CS18" i="10"/>
  <c r="V16" i="5"/>
  <c r="W19" i="6"/>
  <c r="V148" i="11"/>
  <c r="V50" i="5" s="1"/>
  <c r="W15" i="10"/>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B38" i="10"/>
  <c r="BA214" i="14"/>
  <c r="AX32" i="10" s="1"/>
  <c r="L911" i="32"/>
  <c r="L929" i="32" s="1"/>
  <c r="CI40" i="10"/>
  <c r="K44" i="16"/>
  <c r="BS16" i="10"/>
  <c r="I911" i="32"/>
  <c r="N84" i="14"/>
  <c r="K911" i="32"/>
  <c r="K929" i="32" s="1"/>
  <c r="BF16" i="10"/>
  <c r="BE106" i="14"/>
  <c r="BB17" i="10" s="1"/>
  <c r="BA17" i="5" s="1"/>
  <c r="BK40" i="10"/>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DO18" i="10"/>
  <c r="DG106" i="14"/>
  <c r="DD17" i="10" s="1"/>
  <c r="DC17" i="5" s="1"/>
  <c r="AV18" i="10"/>
  <c r="DM214" i="14"/>
  <c r="DJ32" i="10" s="1"/>
  <c r="AI214" i="14"/>
  <c r="AF32" i="10" s="1"/>
  <c r="DP16" i="10"/>
  <c r="DK124" i="14"/>
  <c r="DH39" i="10" s="1"/>
  <c r="DD106" i="14"/>
  <c r="DA17" i="10" s="1"/>
  <c r="CZ17" i="5" s="1"/>
  <c r="CW38" i="10"/>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AP40" i="10"/>
  <c r="N143" i="14"/>
  <c r="DV16" i="10"/>
  <c r="DY124" i="14"/>
  <c r="DV39" i="10" s="1"/>
  <c r="BV214" i="14"/>
  <c r="BS32" i="10" s="1"/>
  <c r="BI106" i="14"/>
  <c r="BF17" i="10" s="1"/>
  <c r="BE17" i="5" s="1"/>
  <c r="BE124" i="14"/>
  <c r="BB39" i="10" s="1"/>
  <c r="DJ214" i="14"/>
  <c r="DG32" i="10" s="1"/>
  <c r="AY214" i="14"/>
  <c r="AV32" i="10" s="1"/>
  <c r="Q16" i="5"/>
  <c r="Q148" i="11"/>
  <c r="Q50" i="5" s="1"/>
  <c r="R19" i="6"/>
  <c r="R15" i="10"/>
  <c r="DF40" i="10"/>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CK40" i="10"/>
  <c r="BX214" i="14"/>
  <c r="BU32" i="10" s="1"/>
  <c r="BM16" i="10"/>
  <c r="BM40" i="10"/>
  <c r="AH106" i="14"/>
  <c r="AE17" i="10" s="1"/>
  <c r="AD17" i="5" s="1"/>
  <c r="CZ40" i="10"/>
  <c r="AR18" i="10"/>
  <c r="BV38" i="10"/>
  <c r="Z40" i="10"/>
  <c r="DB106" i="14"/>
  <c r="CY17" i="10" s="1"/>
  <c r="CX17" i="5" s="1"/>
  <c r="CQ214" i="14"/>
  <c r="CN32" i="10" s="1"/>
  <c r="CJ16" i="10"/>
  <c r="BS124" i="14"/>
  <c r="BP39" i="10" s="1"/>
  <c r="BS214" i="14"/>
  <c r="BP32" i="10" s="1"/>
  <c r="X15" i="10"/>
  <c r="C563" i="32"/>
  <c r="BG40" i="10"/>
  <c r="BC40" i="10"/>
  <c r="AF214" i="14"/>
  <c r="AC32" i="10" s="1"/>
  <c r="DQ18" i="10"/>
  <c r="DQ40" i="10"/>
  <c r="DM40" i="10"/>
  <c r="DL214" i="14"/>
  <c r="DI32" i="10" s="1"/>
  <c r="Y15" i="10"/>
  <c r="DE124" i="14"/>
  <c r="DB39" i="10" s="1"/>
  <c r="CX18" i="10"/>
  <c r="AP18" i="10"/>
  <c r="C524" i="32"/>
  <c r="C526" i="32" s="1"/>
  <c r="N81" i="14"/>
  <c r="CP106" i="14"/>
  <c r="CM17" i="10" s="1"/>
  <c r="CL17" i="5" s="1"/>
  <c r="CI16" i="10"/>
  <c r="BR106" i="14"/>
  <c r="BO17" i="10" s="1"/>
  <c r="BN17" i="5" s="1"/>
  <c r="BR124" i="14"/>
  <c r="BO39" i="10" s="1"/>
  <c r="N197" i="14"/>
  <c r="BB40" i="10"/>
  <c r="BE214" i="14"/>
  <c r="BB32" i="10" s="1"/>
  <c r="H911" i="32"/>
  <c r="H929" i="32" s="1"/>
  <c r="O15" i="10" l="1"/>
  <c r="O19" i="6"/>
  <c r="O18" i="6" s="1"/>
  <c r="Y21" i="10"/>
  <c r="S148" i="11"/>
  <c r="S50" i="5" s="1"/>
  <c r="T19" i="6"/>
  <c r="T15" i="10"/>
  <c r="O148" i="11"/>
  <c r="O50" i="5" s="1"/>
  <c r="P15" i="10"/>
  <c r="O21" i="10"/>
  <c r="N37" i="6"/>
  <c r="N37" i="10"/>
  <c r="N55" i="10" s="1"/>
  <c r="F587" i="32"/>
  <c r="F586" i="32" s="1"/>
  <c r="N21" i="10"/>
  <c r="Q19" i="6"/>
  <c r="P37" i="6"/>
  <c r="O153" i="11" s="1"/>
  <c r="O52" i="5" s="1"/>
  <c r="M17" i="5"/>
  <c r="X21" i="10"/>
  <c r="X37" i="6"/>
  <c r="M148" i="11"/>
  <c r="O33" i="5"/>
  <c r="O22" i="5" s="1"/>
  <c r="V19" i="6"/>
  <c r="V18" i="6" s="1"/>
  <c r="R21" i="10"/>
  <c r="R33" i="10" s="1"/>
  <c r="Q33" i="5"/>
  <c r="Q22" i="5" s="1"/>
  <c r="U15" i="10"/>
  <c r="U19" i="6"/>
  <c r="O37" i="6"/>
  <c r="T148" i="11"/>
  <c r="T50" i="5" s="1"/>
  <c r="P19" i="6"/>
  <c r="P18" i="6" s="1"/>
  <c r="N12" i="17"/>
  <c r="Y37" i="1"/>
  <c r="Y41" i="1" s="1"/>
  <c r="Y56" i="1" s="1"/>
  <c r="D166" i="21" s="1"/>
  <c r="T21" i="10"/>
  <c r="Q21" i="10"/>
  <c r="Y37" i="6"/>
  <c r="P33" i="5"/>
  <c r="P22" i="5" s="1"/>
  <c r="V37" i="6"/>
  <c r="V24" i="6" s="1"/>
  <c r="U33" i="5"/>
  <c r="U22" i="5" s="1"/>
  <c r="Y52" i="1"/>
  <c r="C15" i="21" s="1"/>
  <c r="C16" i="21" s="1"/>
  <c r="S21" i="10"/>
  <c r="S37" i="6"/>
  <c r="R153" i="11" s="1"/>
  <c r="R52" i="5" s="1"/>
  <c r="W21" i="10"/>
  <c r="W33" i="10" s="1"/>
  <c r="W37" i="6"/>
  <c r="U21" i="10"/>
  <c r="U37" i="6"/>
  <c r="N15" i="10"/>
  <c r="S37" i="10"/>
  <c r="S55" i="10" s="1"/>
  <c r="Q15" i="10"/>
  <c r="P148" i="11"/>
  <c r="P50" i="5" s="1"/>
  <c r="V37" i="10"/>
  <c r="V55" i="10" s="1"/>
  <c r="BJ19" i="6"/>
  <c r="BJ18" i="6" s="1"/>
  <c r="U37" i="10"/>
  <c r="U55" i="10" s="1"/>
  <c r="U148" i="11"/>
  <c r="U50" i="5"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Y18" i="6"/>
  <c r="Z18" i="5"/>
  <c r="BH18" i="5"/>
  <c r="CP18" i="5"/>
  <c r="DH19" i="6"/>
  <c r="AS20" i="6"/>
  <c r="CF18" i="5"/>
  <c r="EI40" i="10"/>
  <c r="EL40" i="10"/>
  <c r="R18" i="6"/>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Y33" i="10"/>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E587" i="32"/>
  <c r="M12" i="26"/>
  <c r="M12" i="17"/>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S22" i="5"/>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T33"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X33"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P24" i="6"/>
  <c r="CG16" i="5"/>
  <c r="AE36" i="1"/>
  <c r="CG148" i="11"/>
  <c r="CG50" i="5" s="1"/>
  <c r="CH19" i="6"/>
  <c r="CH15" i="10"/>
  <c r="DO37" i="6"/>
  <c r="DN33" i="5"/>
  <c r="DN22" i="5" s="1"/>
  <c r="DO21" i="10"/>
  <c r="CT16" i="5"/>
  <c r="CU19" i="6"/>
  <c r="CT148" i="11"/>
  <c r="CT50" i="5" s="1"/>
  <c r="CU15" i="10"/>
  <c r="EK38" i="10"/>
  <c r="ED38" i="10"/>
  <c r="EP16" i="10"/>
  <c r="M50" i="5"/>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G558" i="32"/>
  <c r="G550" i="32"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O33"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J7" i="35"/>
  <c r="F547" i="32"/>
  <c r="Q18" i="6"/>
  <c r="AB12" i="17"/>
  <c r="BM37" i="10"/>
  <c r="BM55" i="10" s="1"/>
  <c r="BN37" i="6"/>
  <c r="BM33" i="5"/>
  <c r="BM22" i="5" s="1"/>
  <c r="BN21" i="10"/>
  <c r="EO106" i="14"/>
  <c r="EL17" i="10" s="1"/>
  <c r="EK17" i="5" s="1"/>
  <c r="CB20" i="6"/>
  <c r="CA18" i="5"/>
  <c r="DJ33" i="5"/>
  <c r="DJ22" i="5" s="1"/>
  <c r="DK37" i="6"/>
  <c r="DK21" i="10"/>
  <c r="DY18" i="5"/>
  <c r="DZ20" i="6"/>
  <c r="T153" i="11"/>
  <c r="T52" i="5" s="1"/>
  <c r="U24"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547" i="32"/>
  <c r="F7" i="30"/>
  <c r="EQ18" i="10"/>
  <c r="EI214" i="14"/>
  <c r="EF32" i="10" s="1"/>
  <c r="N107" i="14"/>
  <c r="EU106" i="14"/>
  <c r="ER17" i="10" s="1"/>
  <c r="EQ17" i="5" s="1"/>
  <c r="N130" i="14"/>
  <c r="EF106" i="14"/>
  <c r="EC17" i="10" s="1"/>
  <c r="EB17" i="5" s="1"/>
  <c r="AF12" i="17" s="1"/>
  <c r="BW16" i="5"/>
  <c r="BX19" i="6"/>
  <c r="BW148" i="11"/>
  <c r="BW50" i="5" s="1"/>
  <c r="BX15" i="10"/>
  <c r="AM148" i="11"/>
  <c r="AM50" i="5" s="1"/>
  <c r="DD19" i="6"/>
  <c r="P33" i="10"/>
  <c r="E929" i="32"/>
  <c r="BO37" i="6"/>
  <c r="BN33" i="5"/>
  <c r="BN22" i="5" s="1"/>
  <c r="BO21" i="10"/>
  <c r="CX33" i="5"/>
  <c r="CX22" i="5" s="1"/>
  <c r="CY37" i="6"/>
  <c r="CY21" i="10"/>
  <c r="M41" i="5"/>
  <c r="EG16" i="10"/>
  <c r="EO124" i="14"/>
  <c r="EL39" i="10" s="1"/>
  <c r="DD16" i="5"/>
  <c r="DE19" i="6"/>
  <c r="DE18" i="6" s="1"/>
  <c r="DD148" i="11"/>
  <c r="DD50" i="5" s="1"/>
  <c r="DE15" i="10"/>
  <c r="M153" i="11"/>
  <c r="N24" i="6"/>
  <c r="N17" i="6" s="1"/>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T18" i="6"/>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L21" i="35"/>
  <c r="L10" i="35" s="1"/>
  <c r="V153" i="11"/>
  <c r="V52" i="5" s="1"/>
  <c r="W24" i="6"/>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W153" i="11"/>
  <c r="W52" i="5" s="1"/>
  <c r="X24" i="6"/>
  <c r="EG38" i="10"/>
  <c r="EG40" i="10"/>
  <c r="EJ214" i="14"/>
  <c r="EG32" i="10" s="1"/>
  <c r="EJ16" i="10"/>
  <c r="CE33" i="5"/>
  <c r="CE22" i="5" s="1"/>
  <c r="CF37" i="6"/>
  <c r="CF21" i="10"/>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L7" i="35"/>
  <c r="I7" i="30"/>
  <c r="H547" i="32"/>
  <c r="W18"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5" i="21"/>
  <c r="CA37" i="10"/>
  <c r="CA55" i="10" s="1"/>
  <c r="CJ37" i="6"/>
  <c r="CI33" i="5"/>
  <c r="CI22" i="5" s="1"/>
  <c r="CJ21" i="10"/>
  <c r="N13" i="16"/>
  <c r="X153" i="11"/>
  <c r="X52" i="5" s="1"/>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E598" i="32"/>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H21" i="30" l="1"/>
  <c r="H10" i="30" s="1"/>
  <c r="U153" i="11"/>
  <c r="U52" i="5" s="1"/>
  <c r="G7" i="30"/>
  <c r="N45" i="17"/>
  <c r="F558" i="32"/>
  <c r="F550" i="32" s="1"/>
  <c r="O31" i="16"/>
  <c r="I21" i="30"/>
  <c r="I10" i="30" s="1"/>
  <c r="Y24" i="6"/>
  <c r="Y17" i="6" s="1"/>
  <c r="H558" i="32"/>
  <c r="H550" i="32" s="1"/>
  <c r="N33" i="10"/>
  <c r="I7" i="35"/>
  <c r="Q33" i="10"/>
  <c r="M28" i="17"/>
  <c r="M17" i="17" s="1"/>
  <c r="K21" i="35"/>
  <c r="K10" i="35" s="1"/>
  <c r="F21" i="30"/>
  <c r="K7" i="35"/>
  <c r="K6" i="35" s="1"/>
  <c r="U33" i="10"/>
  <c r="N31" i="16"/>
  <c r="M28" i="26"/>
  <c r="E168" i="32" s="1"/>
  <c r="G547" i="32"/>
  <c r="G546" i="32" s="1"/>
  <c r="G560" i="32" s="1"/>
  <c r="U18" i="6"/>
  <c r="O13" i="16"/>
  <c r="E117" i="32" s="1"/>
  <c r="H7" i="30"/>
  <c r="H6" i="30" s="1"/>
  <c r="H24" i="30" s="1"/>
  <c r="O24" i="6"/>
  <c r="O17" i="6" s="1"/>
  <c r="N153" i="11"/>
  <c r="N52" i="5" s="1"/>
  <c r="G598" i="32"/>
  <c r="G590" i="32" s="1"/>
  <c r="E558" i="32"/>
  <c r="E550" i="32" s="1"/>
  <c r="N28" i="17"/>
  <c r="N17" i="17" s="1"/>
  <c r="I21" i="35"/>
  <c r="F598" i="32"/>
  <c r="F590" i="32" s="1"/>
  <c r="F599" i="32" s="1"/>
  <c r="C78" i="32"/>
  <c r="C79" i="32" s="1"/>
  <c r="Y53" i="1"/>
  <c r="Y54" i="1" s="1"/>
  <c r="O28" i="1" s="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EC20" i="6"/>
  <c r="AG14" i="16" s="1"/>
  <c r="X679" i="32" s="1"/>
  <c r="DT18" i="6"/>
  <c r="F546" i="32"/>
  <c r="DH18" i="6"/>
  <c r="EL20" i="6"/>
  <c r="G6" i="30"/>
  <c r="AM33" i="10"/>
  <c r="DC24" i="6"/>
  <c r="DC17" i="6" s="1"/>
  <c r="BB18" i="6"/>
  <c r="AH33" i="10"/>
  <c r="CI24" i="6"/>
  <c r="AX33" i="10"/>
  <c r="CB24" i="6"/>
  <c r="CB33" i="10"/>
  <c r="AY18" i="6"/>
  <c r="DB33" i="10"/>
  <c r="BW18" i="6"/>
  <c r="Z11" i="17"/>
  <c r="H546" i="32"/>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J8" i="30"/>
  <c r="DG18" i="6"/>
  <c r="EJ37" i="10"/>
  <c r="EJ55" i="10" s="1"/>
  <c r="L6" i="35"/>
  <c r="L24" i="35" s="1"/>
  <c r="L30" i="35" s="1"/>
  <c r="CF33" i="10"/>
  <c r="BL33" i="10"/>
  <c r="BX18" i="6"/>
  <c r="CK18" i="6"/>
  <c r="BJ33" i="10"/>
  <c r="AD18" i="6"/>
  <c r="K588" i="32"/>
  <c r="K586" i="32" s="1"/>
  <c r="AT18" i="6"/>
  <c r="Y13" i="17"/>
  <c r="AE33" i="10"/>
  <c r="BO33" i="10"/>
  <c r="CX18" i="6"/>
  <c r="EQ37" i="10"/>
  <c r="EQ55" i="10" s="1"/>
  <c r="AQ18" i="6"/>
  <c r="EO37" i="10"/>
  <c r="EO55" i="10" s="1"/>
  <c r="AV18" i="6"/>
  <c r="J6" i="35"/>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V17" i="6"/>
  <c r="CU18" i="6"/>
  <c r="CU17" i="6" s="1"/>
  <c r="AR33" i="10"/>
  <c r="AO18" i="6"/>
  <c r="U13" i="17"/>
  <c r="EQ18" i="5"/>
  <c r="P11" i="17"/>
  <c r="H718" i="32" s="1"/>
  <c r="DU24" i="6"/>
  <c r="DU17" i="6" s="1"/>
  <c r="CN18" i="6"/>
  <c r="EB33" i="10"/>
  <c r="CN33" i="10"/>
  <c r="AY33" i="10"/>
  <c r="AA14" i="16"/>
  <c r="R679" i="32" s="1"/>
  <c r="EC15" i="10"/>
  <c r="EB148" i="11"/>
  <c r="EB50" i="5" s="1"/>
  <c r="V45" i="26" s="1"/>
  <c r="D167" i="21"/>
  <c r="AB41" i="1"/>
  <c r="G167" i="21" s="1"/>
  <c r="U11" i="17"/>
  <c r="U17" i="6"/>
  <c r="C8" i="21"/>
  <c r="C17" i="21" s="1"/>
  <c r="D168" i="21" s="1"/>
  <c r="U14" i="16"/>
  <c r="L679" i="32" s="1"/>
  <c r="W11" i="17"/>
  <c r="DJ33" i="10"/>
  <c r="BK33" i="10"/>
  <c r="DK18" i="6"/>
  <c r="CZ33" i="10"/>
  <c r="AU33" i="10"/>
  <c r="Q11" i="26"/>
  <c r="BE33" i="10"/>
  <c r="EN18" i="5"/>
  <c r="DR33" i="10"/>
  <c r="AI33" i="10"/>
  <c r="AC14" i="16"/>
  <c r="T679" i="32" s="1"/>
  <c r="CX33" i="10"/>
  <c r="AH38" i="1"/>
  <c r="L6" i="21" s="1"/>
  <c r="Z45" i="17"/>
  <c r="EN148" i="11"/>
  <c r="EN50" i="5" s="1"/>
  <c r="I6" i="30"/>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E678" i="32"/>
  <c r="N12" i="1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W17" i="6"/>
  <c r="DY153" i="11"/>
  <c r="DY52" i="5" s="1"/>
  <c r="DZ24" i="6"/>
  <c r="EP33" i="5"/>
  <c r="EP22" i="5" s="1"/>
  <c r="EQ37" i="6"/>
  <c r="EQ21" i="10"/>
  <c r="M52" i="5"/>
  <c r="F10" i="30"/>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EE18" i="5"/>
  <c r="EF20" i="6"/>
  <c r="EP20" i="6"/>
  <c r="EO18" i="5"/>
  <c r="N124" i="14"/>
  <c r="BA33" i="10"/>
  <c r="AC31" i="16"/>
  <c r="CY153" i="11"/>
  <c r="CY52" i="5" s="1"/>
  <c r="CZ24" i="6"/>
  <c r="J4" i="21"/>
  <c r="J8" i="21" s="1"/>
  <c r="AF41" i="1"/>
  <c r="P45" i="26"/>
  <c r="S45" i="17"/>
  <c r="DD33" i="10"/>
  <c r="BD33" i="10"/>
  <c r="AE13" i="17"/>
  <c r="EO16" i="5"/>
  <c r="EP19" i="6"/>
  <c r="EO148" i="11"/>
  <c r="EO50" i="5" s="1"/>
  <c r="EP15" i="10"/>
  <c r="DN153" i="11"/>
  <c r="DN52" i="5" s="1"/>
  <c r="DO24" i="6"/>
  <c r="I4" i="21"/>
  <c r="I8" i="21" s="1"/>
  <c r="AE41" i="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F13" i="16"/>
  <c r="DR18" i="6"/>
  <c r="R13" i="16"/>
  <c r="AL18" i="6"/>
  <c r="L481" i="32"/>
  <c r="C480" i="32"/>
  <c r="D480" i="32" s="1"/>
  <c r="E480" i="32" s="1"/>
  <c r="F480" i="32" s="1"/>
  <c r="G480" i="32" s="1"/>
  <c r="H480" i="32" s="1"/>
  <c r="I480" i="32" s="1"/>
  <c r="J480" i="32" s="1"/>
  <c r="EL16" i="5"/>
  <c r="EM19" i="6"/>
  <c r="EM18" i="6" s="1"/>
  <c r="EL148" i="11"/>
  <c r="EL50" i="5" s="1"/>
  <c r="EM15" i="10"/>
  <c r="E590" i="32"/>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E689" i="32"/>
  <c r="E128" i="32"/>
  <c r="N18" i="16"/>
  <c r="M40" i="5"/>
  <c r="F6" i="30"/>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E157" i="32"/>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E729" i="32"/>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E546" i="32"/>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N47" i="17"/>
  <c r="F689" i="32"/>
  <c r="F681" i="32" s="1"/>
  <c r="O18" i="16"/>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D7" i="35"/>
  <c r="I6" i="3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AI36" i="1"/>
  <c r="K38" i="10"/>
  <c r="F8" i="21"/>
  <c r="AG41" i="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I10" i="35"/>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E718" i="32"/>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O12" i="16" l="1"/>
  <c r="F678" i="32"/>
  <c r="F677" i="32" s="1"/>
  <c r="F560" i="32"/>
  <c r="F454" i="32" s="1"/>
  <c r="K24" i="35"/>
  <c r="K30" i="35" s="1"/>
  <c r="K34" i="35" s="1"/>
  <c r="I24" i="30"/>
  <c r="H560" i="32"/>
  <c r="M17" i="26"/>
  <c r="Z68" i="1"/>
  <c r="C64" i="21" s="1"/>
  <c r="E10" i="33" s="1"/>
  <c r="BT17" i="6"/>
  <c r="D21" i="35"/>
  <c r="D10" i="35" s="1"/>
  <c r="E10" i="35" s="1"/>
  <c r="G599" i="32"/>
  <c r="F729" i="32"/>
  <c r="F721" i="32" s="1"/>
  <c r="F730" i="32" s="1"/>
  <c r="J24" i="35"/>
  <c r="J30" i="35" s="1"/>
  <c r="J34" i="35" s="1"/>
  <c r="G24" i="30"/>
  <c r="G29" i="30" s="1"/>
  <c r="G35" i="30"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L36" i="35"/>
  <c r="L34" i="35"/>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AB56" i="1"/>
  <c r="G166" i="21" s="1"/>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AQ17" i="6"/>
  <c r="AO17" i="6"/>
  <c r="AF17" i="6"/>
  <c r="DK17" i="6"/>
  <c r="EG18" i="6"/>
  <c r="EC33" i="10"/>
  <c r="AI68" i="1" s="1"/>
  <c r="C73" i="21" s="1"/>
  <c r="H157" i="32"/>
  <c r="H156" i="32" s="1"/>
  <c r="J904" i="32"/>
  <c r="J921" i="32" s="1"/>
  <c r="O11" i="16"/>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N11" i="16"/>
  <c r="X47" i="17"/>
  <c r="AE68" i="1"/>
  <c r="C69" i="21" s="1"/>
  <c r="Z17" i="6"/>
  <c r="AD68" i="1"/>
  <c r="C68" i="21" s="1"/>
  <c r="DZ17" i="6"/>
  <c r="P678" i="32"/>
  <c r="P677" i="32" s="1"/>
  <c r="Y12" i="16"/>
  <c r="Y11" i="16" s="1"/>
  <c r="EB153" i="11"/>
  <c r="EB52" i="5" s="1"/>
  <c r="V47" i="26" s="1"/>
  <c r="EC24" i="6"/>
  <c r="N678" i="32"/>
  <c r="N677" i="32" s="1"/>
  <c r="W12" i="16"/>
  <c r="H10" i="35"/>
  <c r="Y10" i="35" s="1"/>
  <c r="E167" i="21"/>
  <c r="Z56" i="1"/>
  <c r="E166" i="21" s="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I29" i="30"/>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AD56" i="1"/>
  <c r="I166" i="21" s="1"/>
  <c r="AD54" i="1"/>
  <c r="AD55" i="1" s="1"/>
  <c r="I169" i="21" s="1"/>
  <c r="J168" i="32"/>
  <c r="J160" i="32" s="1"/>
  <c r="R17" i="26"/>
  <c r="C548" i="32"/>
  <c r="J167" i="21"/>
  <c r="AE56" i="1"/>
  <c r="J166" i="21" s="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D506" i="32"/>
  <c r="D507" i="32"/>
  <c r="D493" i="32"/>
  <c r="D490" i="32"/>
  <c r="D508" i="32"/>
  <c r="D494" i="32"/>
  <c r="D492" i="32"/>
  <c r="D505" i="32"/>
  <c r="D491" i="32"/>
  <c r="D504" i="32"/>
  <c r="F455" i="32"/>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G454" i="32"/>
  <c r="K167" i="21"/>
  <c r="AF56" i="1"/>
  <c r="K166" i="21" s="1"/>
  <c r="AF54" i="1"/>
  <c r="AF55" i="1" s="1"/>
  <c r="K169" i="21" s="1"/>
  <c r="T689" i="32"/>
  <c r="T681" i="32" s="1"/>
  <c r="AC18" i="16"/>
  <c r="AJ14" i="16"/>
  <c r="P47" i="17"/>
  <c r="V678" i="32"/>
  <c r="V677" i="32" s="1"/>
  <c r="AE12" i="16"/>
  <c r="K689" i="32"/>
  <c r="K681" i="32" s="1"/>
  <c r="H128" i="32"/>
  <c r="H120" i="32" s="1"/>
  <c r="T18" i="16"/>
  <c r="E10" i="30"/>
  <c r="F691" i="32"/>
  <c r="G718" i="32"/>
  <c r="G717" i="32" s="1"/>
  <c r="K15" i="10"/>
  <c r="K33" i="10" s="1"/>
  <c r="R689" i="32"/>
  <c r="R681" i="32" s="1"/>
  <c r="AA18" i="16"/>
  <c r="ED153" i="11"/>
  <c r="ED52" i="5" s="1"/>
  <c r="EE24" i="6"/>
  <c r="EE17" i="6" s="1"/>
  <c r="I168" i="32"/>
  <c r="I160" i="32" s="1"/>
  <c r="Q17" i="26"/>
  <c r="L586" i="32"/>
  <c r="L599" i="32" s="1"/>
  <c r="S678" i="32"/>
  <c r="L117" i="32"/>
  <c r="AB12" i="16"/>
  <c r="AE47" i="17"/>
  <c r="EQ18" i="6"/>
  <c r="V689" i="32"/>
  <c r="V681" i="32" s="1"/>
  <c r="AE18" i="16"/>
  <c r="AJ36" i="1"/>
  <c r="K37" i="10"/>
  <c r="K55" i="10" s="1"/>
  <c r="H167" i="21"/>
  <c r="AC54" i="1"/>
  <c r="AC55" i="1" s="1"/>
  <c r="H169" i="21" s="1"/>
  <c r="AC56" i="1"/>
  <c r="H166" i="21" s="1"/>
  <c r="I24" i="35"/>
  <c r="I30" i="35" s="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E120" i="32"/>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717" i="32"/>
  <c r="C921" i="32"/>
  <c r="I679" i="32"/>
  <c r="E904" i="32" s="1"/>
  <c r="E921" i="32" s="1"/>
  <c r="G118" i="32"/>
  <c r="EL153" i="11"/>
  <c r="EL52" i="5" s="1"/>
  <c r="EM24" i="6"/>
  <c r="EM17" i="6" s="1"/>
  <c r="W689" i="32"/>
  <c r="W681" i="32" s="1"/>
  <c r="AF18" i="16"/>
  <c r="H454" i="32"/>
  <c r="L167" i="21"/>
  <c r="AG54" i="1"/>
  <c r="AG55" i="1" s="1"/>
  <c r="L169" i="21" s="1"/>
  <c r="AG56" i="1"/>
  <c r="L166" i="21" s="1"/>
  <c r="X36" i="1"/>
  <c r="T678" i="32"/>
  <c r="T677" i="32" s="1"/>
  <c r="AC12" i="16"/>
  <c r="F168" i="32"/>
  <c r="F160" i="32" s="1"/>
  <c r="N17" i="26"/>
  <c r="G679" i="32"/>
  <c r="F118" i="32"/>
  <c r="E599" i="32"/>
  <c r="D6" i="35"/>
  <c r="E7" i="35"/>
  <c r="W47" i="17"/>
  <c r="R47" i="26"/>
  <c r="BF17" i="6"/>
  <c r="L168" i="32"/>
  <c r="L160" i="32" s="1"/>
  <c r="T17" i="26"/>
  <c r="L689" i="32"/>
  <c r="L681" i="32" s="1"/>
  <c r="U18" i="16"/>
  <c r="N47" i="26"/>
  <c r="O47" i="17"/>
  <c r="M24" i="35"/>
  <c r="M30" i="35" s="1"/>
  <c r="E156" i="32"/>
  <c r="O6" i="35"/>
  <c r="O24" i="35" s="1"/>
  <c r="O30" i="35" s="1"/>
  <c r="J50" i="5"/>
  <c r="H29" i="30"/>
  <c r="E7" i="30"/>
  <c r="E681" i="32"/>
  <c r="Y47" i="17"/>
  <c r="S47" i="26"/>
  <c r="ER33" i="10"/>
  <c r="AH11" i="17"/>
  <c r="CP17" i="6"/>
  <c r="C590" i="32"/>
  <c r="J157" i="32"/>
  <c r="J156" i="32" s="1"/>
  <c r="L5" i="21"/>
  <c r="L8" i="21" s="1"/>
  <c r="L17" i="21" s="1"/>
  <c r="M168" i="21" s="1"/>
  <c r="AH41" i="1"/>
  <c r="AC17" i="6"/>
  <c r="M689" i="32"/>
  <c r="M681" i="32" s="1"/>
  <c r="I128" i="32"/>
  <c r="I120" i="32" s="1"/>
  <c r="V18" i="16"/>
  <c r="N689" i="32"/>
  <c r="N681" i="32" s="1"/>
  <c r="W18" i="16"/>
  <c r="X11" i="26"/>
  <c r="AI11" i="17"/>
  <c r="CZ17" i="6"/>
  <c r="F167" i="21"/>
  <c r="AA56" i="1"/>
  <c r="F166" i="21" s="1"/>
  <c r="AA54" i="1"/>
  <c r="AA55" i="1" s="1"/>
  <c r="F169" i="21" s="1"/>
  <c r="L470" i="32"/>
  <c r="C469" i="32"/>
  <c r="D469" i="32" s="1"/>
  <c r="E469" i="32" s="1"/>
  <c r="F469" i="32" s="1"/>
  <c r="G469" i="32" s="1"/>
  <c r="H469" i="32" s="1"/>
  <c r="I469" i="32" s="1"/>
  <c r="J469" i="32" s="1"/>
  <c r="AX17" i="6"/>
  <c r="AJ31" i="16"/>
  <c r="AJ18" i="16" s="1"/>
  <c r="EO153" i="11"/>
  <c r="EO52" i="5" s="1"/>
  <c r="EP24" i="6"/>
  <c r="EP153" i="11"/>
  <c r="EP52" i="5" s="1"/>
  <c r="EQ24" i="6"/>
  <c r="K17" i="21"/>
  <c r="L168" i="21" s="1"/>
  <c r="EJ153" i="11"/>
  <c r="EJ52" i="5" s="1"/>
  <c r="EK24" i="6"/>
  <c r="E116" i="32"/>
  <c r="U689" i="32"/>
  <c r="U681" i="32" s="1"/>
  <c r="M128" i="32"/>
  <c r="M120" i="32" s="1"/>
  <c r="AD18" i="16"/>
  <c r="E21" i="35" l="1"/>
  <c r="K36" i="35"/>
  <c r="J36" i="35"/>
  <c r="J41" i="35" s="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J40" i="35" s="1"/>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Y68" i="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AH56" i="1"/>
  <c r="M166" i="21" s="1"/>
  <c r="AH54" i="1"/>
  <c r="AH55" i="1" s="1"/>
  <c r="M169" i="21" s="1"/>
  <c r="M36" i="35"/>
  <c r="M34" i="35"/>
  <c r="N34" i="35"/>
  <c r="N36" i="35"/>
  <c r="W677" i="32"/>
  <c r="W691" i="32" s="1"/>
  <c r="N41" i="5"/>
  <c r="H6" i="35"/>
  <c r="Y6" i="35" s="1"/>
  <c r="J10" i="33"/>
  <c r="V691" i="32"/>
  <c r="AC11" i="16"/>
  <c r="F459" i="32"/>
  <c r="D515" i="32" s="1"/>
  <c r="F458" i="32"/>
  <c r="D501" i="32" s="1"/>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K40" i="35" s="1"/>
  <c r="H35" i="30"/>
  <c r="K41" i="35" s="1"/>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E6" i="35"/>
  <c r="D24" i="35"/>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L40" i="35" s="1"/>
  <c r="I35" i="30"/>
  <c r="L41" i="35" s="1"/>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M35" i="30"/>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P40" i="35" l="1"/>
  <c r="D30" i="35"/>
  <c r="D34" i="35" s="1"/>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N41" i="35" s="1"/>
  <c r="K33" i="30"/>
  <c r="N40" i="35" s="1"/>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M40" i="35" s="1"/>
  <c r="J35" i="30"/>
  <c r="M41" i="35" s="1"/>
  <c r="O102" i="11"/>
  <c r="O41" i="5"/>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O40" i="35" s="1"/>
  <c r="L35" i="30"/>
  <c r="O41" i="35" s="1"/>
  <c r="O586" i="32"/>
  <c r="I928" i="32"/>
  <c r="I930" i="32" s="1"/>
  <c r="I912" i="32"/>
  <c r="I913" i="32" s="1"/>
  <c r="I40" i="35" l="1"/>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D211" i="32" l="1"/>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AJ64" i="1"/>
  <c r="AH64" i="1" s="1"/>
  <c r="I57" i="5"/>
  <c r="I52" i="17"/>
  <c r="AI60" i="1"/>
  <c r="I52" i="26"/>
  <c r="C108" i="32"/>
  <c r="E472" i="32"/>
  <c r="D498" i="32"/>
  <c r="D512" i="32"/>
  <c r="U117" i="11"/>
  <c r="V114" i="11" s="1"/>
  <c r="V116" i="11" s="1"/>
  <c r="U44" i="5"/>
  <c r="M17" i="15" l="1"/>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Q40" i="5" s="1"/>
  <c r="C110" i="32"/>
  <c r="AJ65" i="1"/>
  <c r="R51" i="17"/>
  <c r="X51" i="17"/>
  <c r="S51" i="26"/>
  <c r="Y51" i="17"/>
  <c r="O53" i="5" l="1"/>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O49" i="5"/>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P149" i="11" l="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P150" i="11" l="1"/>
  <c r="Q147" i="11" s="1"/>
  <c r="Q149" i="11" s="1"/>
  <c r="Q150" i="11" s="1"/>
  <c r="R147" i="11" s="1"/>
  <c r="E745" i="32"/>
  <c r="J184" i="32"/>
  <c r="M75" i="6"/>
  <c r="M80" i="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37" i="5"/>
  <c r="H14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O26" i="15" l="1"/>
  <c r="O25" i="15" s="1"/>
  <c r="O24" i="15" s="1"/>
  <c r="Q51" i="5"/>
  <c r="P26" i="15"/>
  <c r="P25" i="15" s="1"/>
  <c r="P24" i="15" s="1"/>
  <c r="M81" i="6"/>
  <c r="N78" i="6" s="1"/>
  <c r="L103" i="5"/>
  <c r="L28" i="19"/>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Q49" i="5" l="1"/>
  <c r="M46" i="17"/>
  <c r="J512" i="32"/>
  <c r="J498" i="32"/>
  <c r="J474" i="32"/>
  <c r="I514" i="32"/>
  <c r="I500" i="32"/>
  <c r="S67" i="19"/>
  <c r="L30" i="19"/>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67" i="19"/>
  <c r="L19" i="19"/>
  <c r="F14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M48" i="17" l="1"/>
  <c r="M44" i="17" s="1"/>
  <c r="R49" i="5"/>
  <c r="AE39" i="16"/>
  <c r="V698" i="32" s="1"/>
  <c r="E821" i="32" s="1"/>
  <c r="AA39" i="16"/>
  <c r="R698" i="32" s="1"/>
  <c r="E817" i="32" s="1"/>
  <c r="AJ39" i="16"/>
  <c r="Z39" i="16"/>
  <c r="Q698" i="32" s="1"/>
  <c r="E816" i="32" s="1"/>
  <c r="BJ127" i="5"/>
  <c r="BJ128" i="5"/>
  <c r="BT127" i="5"/>
  <c r="BT128" i="5"/>
  <c r="DU128" i="5"/>
  <c r="DU127" i="5"/>
  <c r="AV127" i="5"/>
  <c r="AV128" i="5"/>
  <c r="AN127" i="5"/>
  <c r="AN128" i="5"/>
  <c r="AX127" i="5"/>
  <c r="AX128" i="5"/>
  <c r="AI127" i="5"/>
  <c r="AI128" i="5"/>
  <c r="AM127" i="5"/>
  <c r="AM128" i="5"/>
  <c r="DF128" i="5"/>
  <c r="DF127" i="5"/>
  <c r="DD128" i="5"/>
  <c r="DD127" i="5"/>
  <c r="DA127" i="5"/>
  <c r="DA128" i="5"/>
  <c r="Z127" i="5"/>
  <c r="Z128" i="5"/>
  <c r="CI128" i="5"/>
  <c r="CI127" i="5"/>
  <c r="P104" i="26"/>
  <c r="S104" i="17"/>
  <c r="S100" i="17" s="1"/>
  <c r="AW105" i="5"/>
  <c r="CK127" i="5"/>
  <c r="CK128" i="5"/>
  <c r="CQ128" i="5"/>
  <c r="CQ127" i="5"/>
  <c r="EN128" i="5"/>
  <c r="EN127" i="5"/>
  <c r="T104" i="17"/>
  <c r="T100" i="17" s="1"/>
  <c r="BC105" i="5"/>
  <c r="N104" i="17"/>
  <c r="S105" i="5"/>
  <c r="G623" i="32"/>
  <c r="BK127" i="5"/>
  <c r="BK128" i="5"/>
  <c r="O128" i="5"/>
  <c r="O127" i="5"/>
  <c r="DV127" i="5"/>
  <c r="DV128" i="5"/>
  <c r="R104" i="17"/>
  <c r="R100" i="17" s="1"/>
  <c r="AQ105" i="5"/>
  <c r="AY127" i="5"/>
  <c r="AY128" i="5"/>
  <c r="CX127" i="5"/>
  <c r="CX128" i="5"/>
  <c r="W128" i="5"/>
  <c r="W127" i="5"/>
  <c r="V105" i="5"/>
  <c r="H623" i="32"/>
  <c r="AU128" i="5"/>
  <c r="AU127" i="5"/>
  <c r="DS128" i="5"/>
  <c r="DS127" i="5"/>
  <c r="N128" i="5"/>
  <c r="N127" i="5"/>
  <c r="DN128" i="5"/>
  <c r="DN127" i="5"/>
  <c r="U104" i="26"/>
  <c r="AC104" i="17"/>
  <c r="AC100" i="17" s="1"/>
  <c r="DE105" i="5"/>
  <c r="EK128" i="5"/>
  <c r="EK127" i="5"/>
  <c r="EP127" i="5"/>
  <c r="EP128" i="5"/>
  <c r="EH128" i="5"/>
  <c r="EH127" i="5"/>
  <c r="CD127" i="5"/>
  <c r="CD128" i="5"/>
  <c r="AI104" i="17"/>
  <c r="AI100" i="17" s="1"/>
  <c r="X104" i="26"/>
  <c r="X100" i="26" s="1"/>
  <c r="EO105" i="5"/>
  <c r="BF128" i="5"/>
  <c r="BF127" i="5"/>
  <c r="DM127" i="5"/>
  <c r="DM128" i="5"/>
  <c r="CI40" i="19"/>
  <c r="CJ104" i="6"/>
  <c r="CJ105" i="6" s="1"/>
  <c r="CJ109" i="6"/>
  <c r="EG40" i="19"/>
  <c r="EH104" i="6"/>
  <c r="EH105" i="6" s="1"/>
  <c r="EH109" i="6"/>
  <c r="Q109" i="17"/>
  <c r="O109" i="26"/>
  <c r="G200" i="32" s="1"/>
  <c r="AK40" i="19"/>
  <c r="J77" i="1"/>
  <c r="AL104" i="6"/>
  <c r="AL105" i="6" s="1"/>
  <c r="AL109" i="6"/>
  <c r="DA40" i="19"/>
  <c r="DB104" i="6"/>
  <c r="DB105" i="6" s="1"/>
  <c r="DB109" i="6"/>
  <c r="EH40" i="19"/>
  <c r="EI104" i="6"/>
  <c r="EI105" i="6" s="1"/>
  <c r="EI109" i="6"/>
  <c r="BJ40" i="19"/>
  <c r="BK104" i="6"/>
  <c r="BK105" i="6" s="1"/>
  <c r="BK109" i="6"/>
  <c r="CQ40" i="19"/>
  <c r="CR109" i="6"/>
  <c r="CR104" i="6"/>
  <c r="CR105" i="6" s="1"/>
  <c r="EE40" i="19"/>
  <c r="EF104" i="6"/>
  <c r="EF105" i="6" s="1"/>
  <c r="EF109" i="6"/>
  <c r="CA40" i="19"/>
  <c r="X109" i="17"/>
  <c r="J84" i="1"/>
  <c r="CB104" i="6"/>
  <c r="CB105" i="6" s="1"/>
  <c r="CB109" i="6"/>
  <c r="DZ40" i="19"/>
  <c r="EA104" i="6"/>
  <c r="EA105" i="6" s="1"/>
  <c r="EA109" i="6"/>
  <c r="J82" i="1"/>
  <c r="BO40" i="19"/>
  <c r="V109" i="17"/>
  <c r="BP104" i="6"/>
  <c r="BP105" i="6" s="1"/>
  <c r="BP109" i="6"/>
  <c r="ED40" i="19"/>
  <c r="EE104" i="6"/>
  <c r="EE105" i="6" s="1"/>
  <c r="EE109" i="6"/>
  <c r="CK40" i="19"/>
  <c r="CL104" i="6"/>
  <c r="CL105" i="6" s="1"/>
  <c r="CL109" i="6"/>
  <c r="EJ40" i="19"/>
  <c r="EK104" i="6"/>
  <c r="EK105" i="6" s="1"/>
  <c r="EK109" i="6"/>
  <c r="P40" i="19"/>
  <c r="Q104" i="6"/>
  <c r="Q105" i="6" s="1"/>
  <c r="Q109" i="6"/>
  <c r="F630" i="32"/>
  <c r="BB40" i="19"/>
  <c r="BC104" i="6"/>
  <c r="BC105" i="6" s="1"/>
  <c r="BC109" i="6"/>
  <c r="EN40" i="19"/>
  <c r="EO109" i="6"/>
  <c r="EO104" i="6"/>
  <c r="EO105" i="6" s="1"/>
  <c r="CB40" i="19"/>
  <c r="CC104" i="6"/>
  <c r="CC105" i="6" s="1"/>
  <c r="CC109" i="6"/>
  <c r="J73" i="1"/>
  <c r="N109" i="6"/>
  <c r="N104" i="6"/>
  <c r="N105" i="6" s="1"/>
  <c r="M40" i="19"/>
  <c r="M109" i="17"/>
  <c r="E761" i="32" s="1"/>
  <c r="M109" i="26"/>
  <c r="E200" i="32" s="1"/>
  <c r="E630" i="32"/>
  <c r="AW40" i="19"/>
  <c r="J79" i="1"/>
  <c r="S109" i="17"/>
  <c r="P109" i="26"/>
  <c r="H200" i="32" s="1"/>
  <c r="AX109" i="6"/>
  <c r="AX104" i="6"/>
  <c r="AX105" i="6" s="1"/>
  <c r="CH40" i="19"/>
  <c r="CI109" i="6"/>
  <c r="CI104" i="6"/>
  <c r="CI105" i="6" s="1"/>
  <c r="EQ40" i="19"/>
  <c r="ER109" i="6"/>
  <c r="ER104" i="6"/>
  <c r="DS40" i="19"/>
  <c r="DT104" i="6"/>
  <c r="DT105" i="6" s="1"/>
  <c r="DT109" i="6"/>
  <c r="DY40" i="19"/>
  <c r="DZ109" i="6"/>
  <c r="DZ104" i="6"/>
  <c r="DZ105" i="6" s="1"/>
  <c r="S109" i="26"/>
  <c r="K200" i="32" s="1"/>
  <c r="Y109" i="17"/>
  <c r="CG40" i="19"/>
  <c r="J85" i="1"/>
  <c r="CH104" i="6"/>
  <c r="CH105" i="6" s="1"/>
  <c r="CH109" i="6"/>
  <c r="CX40" i="19"/>
  <c r="CY104" i="6"/>
  <c r="CY105" i="6" s="1"/>
  <c r="CY109" i="6"/>
  <c r="DQ40" i="19"/>
  <c r="V109" i="26"/>
  <c r="N200" i="32" s="1"/>
  <c r="AE109" i="17"/>
  <c r="J91" i="1"/>
  <c r="DR104" i="6"/>
  <c r="DR105" i="6" s="1"/>
  <c r="DR109" i="6"/>
  <c r="DM40" i="19"/>
  <c r="DN104" i="6"/>
  <c r="DN105" i="6" s="1"/>
  <c r="DN109" i="6"/>
  <c r="CP40" i="19"/>
  <c r="CQ109" i="6"/>
  <c r="CQ104" i="6"/>
  <c r="CQ105" i="6" s="1"/>
  <c r="CW40" i="19"/>
  <c r="CX109" i="6"/>
  <c r="CX104" i="6"/>
  <c r="CX105" i="6" s="1"/>
  <c r="BG40" i="19"/>
  <c r="BH109" i="6"/>
  <c r="BH104" i="6"/>
  <c r="BH105" i="6" s="1"/>
  <c r="X109" i="26"/>
  <c r="AI109" i="17"/>
  <c r="EO40" i="19"/>
  <c r="EP104" i="6"/>
  <c r="EP105" i="6" s="1"/>
  <c r="EP109" i="6"/>
  <c r="DX40" i="19"/>
  <c r="DY109" i="6"/>
  <c r="DY104" i="6"/>
  <c r="DY105" i="6" s="1"/>
  <c r="CL40" i="19"/>
  <c r="CM109" i="6"/>
  <c r="CM104" i="6"/>
  <c r="CM105" i="6" s="1"/>
  <c r="L125" i="5"/>
  <c r="L126" i="5"/>
  <c r="S102" i="11"/>
  <c r="F76" i="1"/>
  <c r="P94" i="17"/>
  <c r="H759" i="32" s="1"/>
  <c r="K628" i="32"/>
  <c r="F46" i="1"/>
  <c r="AE18" i="19"/>
  <c r="H628" i="32"/>
  <c r="V18" i="19"/>
  <c r="F73" i="1"/>
  <c r="M94" i="17"/>
  <c r="E759" i="32" s="1"/>
  <c r="E628" i="32"/>
  <c r="M18" i="19"/>
  <c r="F43" i="1"/>
  <c r="M94" i="26"/>
  <c r="E198" i="32" s="1"/>
  <c r="P94" i="26"/>
  <c r="H198" i="32" s="1"/>
  <c r="AW18" i="19"/>
  <c r="P74" i="19" s="1"/>
  <c r="E134" i="21" s="1"/>
  <c r="F49" i="1"/>
  <c r="S94" i="17"/>
  <c r="F79" i="1"/>
  <c r="AI94" i="17"/>
  <c r="EO18" i="19"/>
  <c r="X94" i="26"/>
  <c r="O94" i="26"/>
  <c r="G198" i="32" s="1"/>
  <c r="AK18" i="19"/>
  <c r="P72" i="19" s="1"/>
  <c r="E132" i="21" s="1"/>
  <c r="F47" i="1"/>
  <c r="F77" i="1"/>
  <c r="Q94" i="17"/>
  <c r="J567" i="32"/>
  <c r="N39" i="16"/>
  <c r="E567" i="32"/>
  <c r="X39" i="16"/>
  <c r="L567" i="32"/>
  <c r="AD39" i="16"/>
  <c r="F567" i="32"/>
  <c r="J54" i="1"/>
  <c r="X99" i="17"/>
  <c r="CA29" i="19"/>
  <c r="T79" i="19" s="1"/>
  <c r="Z99" i="17"/>
  <c r="J56" i="1"/>
  <c r="CM29" i="19"/>
  <c r="T81" i="19" s="1"/>
  <c r="G629" i="32"/>
  <c r="N99" i="17"/>
  <c r="F760" i="32" s="1"/>
  <c r="J44" i="1"/>
  <c r="S29" i="19"/>
  <c r="AF99" i="17"/>
  <c r="J62" i="1"/>
  <c r="DW29" i="19"/>
  <c r="T87" i="19" s="1"/>
  <c r="T99" i="26"/>
  <c r="L199" i="32" s="1"/>
  <c r="AA99" i="17"/>
  <c r="J57" i="1"/>
  <c r="CS29" i="19"/>
  <c r="T82" i="19" s="1"/>
  <c r="L95" i="5"/>
  <c r="J514" i="32"/>
  <c r="J500" i="32"/>
  <c r="P105" i="5"/>
  <c r="F623" i="32"/>
  <c r="W104" i="26"/>
  <c r="W100" i="26" s="1"/>
  <c r="AG104" i="17"/>
  <c r="AG100" i="17" s="1"/>
  <c r="EC105" i="5"/>
  <c r="CO128" i="5"/>
  <c r="CO127" i="5"/>
  <c r="EQ128" i="5"/>
  <c r="EQ127" i="5"/>
  <c r="BS128" i="5"/>
  <c r="BS127" i="5"/>
  <c r="BX127" i="5"/>
  <c r="BX128" i="5"/>
  <c r="AH104" i="17"/>
  <c r="AH100" i="17" s="1"/>
  <c r="EI105" i="5"/>
  <c r="CH127" i="5"/>
  <c r="CH128" i="5"/>
  <c r="AO128" i="5"/>
  <c r="AO127" i="5"/>
  <c r="M104" i="26"/>
  <c r="M104" i="17"/>
  <c r="M105" i="5"/>
  <c r="E623" i="32"/>
  <c r="U128" i="5"/>
  <c r="U127" i="5"/>
  <c r="CR128" i="5"/>
  <c r="CR127" i="5"/>
  <c r="BB128" i="5"/>
  <c r="BB127" i="5"/>
  <c r="V104" i="17"/>
  <c r="V100" i="17" s="1"/>
  <c r="BO105" i="5"/>
  <c r="AC127" i="5"/>
  <c r="AC128" i="5"/>
  <c r="DY127" i="5"/>
  <c r="DY128" i="5"/>
  <c r="BR128" i="5"/>
  <c r="BR127" i="5"/>
  <c r="DI128" i="5"/>
  <c r="DI127" i="5"/>
  <c r="Q104" i="26"/>
  <c r="U104" i="17"/>
  <c r="U100" i="17" s="1"/>
  <c r="BI105" i="5"/>
  <c r="DG127" i="5"/>
  <c r="DG128" i="5"/>
  <c r="EL127" i="5"/>
  <c r="EL128" i="5"/>
  <c r="CL128" i="5"/>
  <c r="CL127" i="5"/>
  <c r="W104" i="17"/>
  <c r="W100" i="17" s="1"/>
  <c r="R104" i="26"/>
  <c r="BU105" i="5"/>
  <c r="DB40" i="19"/>
  <c r="DC109" i="6"/>
  <c r="DC104" i="6"/>
  <c r="DC105" i="6" s="1"/>
  <c r="CN40" i="19"/>
  <c r="CO109" i="6"/>
  <c r="CO104" i="6"/>
  <c r="CO105" i="6" s="1"/>
  <c r="CC40" i="19"/>
  <c r="CD109" i="6"/>
  <c r="CD104" i="6"/>
  <c r="CD105" i="6" s="1"/>
  <c r="CJ40" i="19"/>
  <c r="CK104" i="6"/>
  <c r="CK105" i="6" s="1"/>
  <c r="CK109" i="6"/>
  <c r="EF40" i="19"/>
  <c r="EG104" i="6"/>
  <c r="EG105" i="6" s="1"/>
  <c r="EG109" i="6"/>
  <c r="CY40" i="19"/>
  <c r="AB109" i="17"/>
  <c r="J88" i="1"/>
  <c r="CZ109" i="6"/>
  <c r="CZ104" i="6"/>
  <c r="CZ105" i="6" s="1"/>
  <c r="BE40" i="19"/>
  <c r="BF109" i="6"/>
  <c r="BF104" i="6"/>
  <c r="BF105" i="6" s="1"/>
  <c r="DJ40" i="19"/>
  <c r="DK109" i="6"/>
  <c r="DK104" i="6"/>
  <c r="DK105" i="6" s="1"/>
  <c r="EK40" i="19"/>
  <c r="EL109" i="6"/>
  <c r="EL104" i="6"/>
  <c r="EL105" i="6" s="1"/>
  <c r="AM40" i="19"/>
  <c r="AN109" i="6"/>
  <c r="AN104" i="6"/>
  <c r="AN105" i="6" s="1"/>
  <c r="Z40" i="19"/>
  <c r="AA109" i="6"/>
  <c r="AA104" i="6"/>
  <c r="AA105" i="6" s="1"/>
  <c r="BU40" i="19"/>
  <c r="R109" i="26"/>
  <c r="J200" i="32" s="1"/>
  <c r="W109" i="17"/>
  <c r="J83" i="1"/>
  <c r="BV104" i="6"/>
  <c r="BV105" i="6" s="1"/>
  <c r="BV109" i="6"/>
  <c r="AJ40" i="19"/>
  <c r="AK109" i="6"/>
  <c r="AK104" i="6"/>
  <c r="AK105" i="6" s="1"/>
  <c r="AU40" i="19"/>
  <c r="AV109" i="6"/>
  <c r="AV104" i="6"/>
  <c r="AV105" i="6" s="1"/>
  <c r="AO40" i="19"/>
  <c r="AP104" i="6"/>
  <c r="AP105" i="6" s="1"/>
  <c r="AP109" i="6"/>
  <c r="O40" i="19"/>
  <c r="P109" i="6"/>
  <c r="P104" i="6"/>
  <c r="P105" i="6" s="1"/>
  <c r="BV40" i="19"/>
  <c r="BW104" i="6"/>
  <c r="BW105" i="6" s="1"/>
  <c r="BW109" i="6"/>
  <c r="CU40" i="19"/>
  <c r="CV109" i="6"/>
  <c r="CV104" i="6"/>
  <c r="CV105" i="6" s="1"/>
  <c r="CE40" i="19"/>
  <c r="CF104" i="6"/>
  <c r="CF105" i="6" s="1"/>
  <c r="CF109" i="6"/>
  <c r="CT40" i="19"/>
  <c r="CU104" i="6"/>
  <c r="CU105" i="6" s="1"/>
  <c r="CU109" i="6"/>
  <c r="AA40" i="19"/>
  <c r="AB104" i="6"/>
  <c r="AB105" i="6" s="1"/>
  <c r="AB109" i="6"/>
  <c r="AD40" i="19"/>
  <c r="AE109" i="6"/>
  <c r="AE104" i="6"/>
  <c r="AE105" i="6" s="1"/>
  <c r="CO40" i="19"/>
  <c r="CP109" i="6"/>
  <c r="CP104" i="6"/>
  <c r="CP105" i="6" s="1"/>
  <c r="BM40" i="19"/>
  <c r="BN109" i="6"/>
  <c r="BN104" i="6"/>
  <c r="BN105" i="6" s="1"/>
  <c r="BZ40" i="19"/>
  <c r="CA104" i="6"/>
  <c r="CA105" i="6" s="1"/>
  <c r="CA109" i="6"/>
  <c r="DU40" i="19"/>
  <c r="DV109" i="6"/>
  <c r="DV104" i="6"/>
  <c r="DV105" i="6" s="1"/>
  <c r="Q40" i="19"/>
  <c r="R104" i="6"/>
  <c r="R105" i="6" s="1"/>
  <c r="R109" i="6"/>
  <c r="AB40" i="19"/>
  <c r="AC104" i="6"/>
  <c r="AC105" i="6" s="1"/>
  <c r="AC109" i="6"/>
  <c r="J630" i="32"/>
  <c r="DF40" i="19"/>
  <c r="DG104" i="6"/>
  <c r="DG105" i="6" s="1"/>
  <c r="DG109" i="6"/>
  <c r="BQ40" i="19"/>
  <c r="BR104" i="6"/>
  <c r="BR105" i="6" s="1"/>
  <c r="BR109" i="6"/>
  <c r="AN40" i="19"/>
  <c r="AO104" i="6"/>
  <c r="AO105" i="6" s="1"/>
  <c r="AO109" i="6"/>
  <c r="DI40" i="19"/>
  <c r="DJ104" i="6"/>
  <c r="DJ105" i="6" s="1"/>
  <c r="DJ109" i="6"/>
  <c r="CD40" i="19"/>
  <c r="CE109" i="6"/>
  <c r="CE104" i="6"/>
  <c r="CE105" i="6" s="1"/>
  <c r="BF40" i="19"/>
  <c r="BG104" i="6"/>
  <c r="BG105" i="6" s="1"/>
  <c r="BG109" i="6"/>
  <c r="K26" i="21"/>
  <c r="S40" i="5"/>
  <c r="AH18" i="19"/>
  <c r="L628" i="32"/>
  <c r="I628" i="32"/>
  <c r="F75" i="1"/>
  <c r="N94" i="26"/>
  <c r="F198" i="32" s="1"/>
  <c r="Y18" i="19"/>
  <c r="F45" i="1"/>
  <c r="O94" i="17"/>
  <c r="G759" i="32" s="1"/>
  <c r="F58" i="1"/>
  <c r="CY18" i="19"/>
  <c r="P83" i="19" s="1"/>
  <c r="E143" i="21" s="1"/>
  <c r="AB94" i="17"/>
  <c r="F88" i="1"/>
  <c r="U94" i="17"/>
  <c r="BI18" i="19"/>
  <c r="P76" i="19" s="1"/>
  <c r="E136" i="21" s="1"/>
  <c r="F81" i="1"/>
  <c r="Q94" i="26"/>
  <c r="I198" i="32" s="1"/>
  <c r="F51" i="1"/>
  <c r="F55" i="1"/>
  <c r="F85" i="1"/>
  <c r="S94" i="26"/>
  <c r="K198" i="32" s="1"/>
  <c r="Y94" i="17"/>
  <c r="CG18" i="19"/>
  <c r="P80" i="19" s="1"/>
  <c r="E140" i="21" s="1"/>
  <c r="BO18" i="19"/>
  <c r="P77" i="19" s="1"/>
  <c r="E137" i="21" s="1"/>
  <c r="F82" i="1"/>
  <c r="V94" i="17"/>
  <c r="F52" i="1"/>
  <c r="F86" i="1"/>
  <c r="F56" i="1"/>
  <c r="Z94" i="17"/>
  <c r="CM18" i="19"/>
  <c r="P81" i="19" s="1"/>
  <c r="E141" i="21" s="1"/>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T76" i="19" s="1"/>
  <c r="D629" i="32"/>
  <c r="L99" i="26"/>
  <c r="L95" i="26" s="1"/>
  <c r="J104" i="5"/>
  <c r="L99" i="17"/>
  <c r="L95" i="17" s="1"/>
  <c r="J42" i="1"/>
  <c r="L29" i="19"/>
  <c r="J48" i="1"/>
  <c r="R99" i="17"/>
  <c r="AQ29" i="19"/>
  <c r="T73" i="19" s="1"/>
  <c r="D26" i="21"/>
  <c r="DB128" i="5"/>
  <c r="DB127" i="5"/>
  <c r="AB104" i="17"/>
  <c r="AB100" i="17" s="1"/>
  <c r="CY105" i="5"/>
  <c r="DJ127" i="5"/>
  <c r="DJ128" i="5"/>
  <c r="BM128" i="5"/>
  <c r="BM127" i="5"/>
  <c r="J513" i="32"/>
  <c r="J499" i="32"/>
  <c r="T128" i="5"/>
  <c r="T127" i="5"/>
  <c r="AT127" i="5"/>
  <c r="AT128" i="5"/>
  <c r="AF104" i="17"/>
  <c r="AF100" i="17" s="1"/>
  <c r="DW105" i="5"/>
  <c r="O104" i="17"/>
  <c r="N104" i="26"/>
  <c r="Y105" i="5"/>
  <c r="I623" i="32"/>
  <c r="BN128" i="5"/>
  <c r="BN127" i="5"/>
  <c r="X128" i="5"/>
  <c r="X127" i="5"/>
  <c r="Q127" i="5"/>
  <c r="Q128" i="5"/>
  <c r="Z104" i="17"/>
  <c r="Z100" i="17" s="1"/>
  <c r="CM105" i="5"/>
  <c r="BP128" i="5"/>
  <c r="BP127" i="5"/>
  <c r="BH128" i="5"/>
  <c r="BH127" i="5"/>
  <c r="AL128" i="5"/>
  <c r="AL127" i="5"/>
  <c r="CT128" i="5"/>
  <c r="CT127" i="5"/>
  <c r="DT127" i="5"/>
  <c r="DT128" i="5"/>
  <c r="AA127" i="5"/>
  <c r="AA128" i="5"/>
  <c r="BL127" i="5"/>
  <c r="BL128" i="5"/>
  <c r="DX128" i="5"/>
  <c r="DX127" i="5"/>
  <c r="CJ127" i="5"/>
  <c r="CJ128" i="5"/>
  <c r="DC127" i="5"/>
  <c r="DC128" i="5"/>
  <c r="CB128" i="5"/>
  <c r="CB127" i="5"/>
  <c r="R127" i="5"/>
  <c r="R128" i="5"/>
  <c r="BY127" i="5"/>
  <c r="BY128" i="5"/>
  <c r="O104" i="26"/>
  <c r="Q104" i="17"/>
  <c r="Q100" i="17" s="1"/>
  <c r="AK105" i="5"/>
  <c r="BG127" i="5"/>
  <c r="BG128" i="5"/>
  <c r="AZ128" i="5"/>
  <c r="AZ127" i="5"/>
  <c r="EA128" i="5"/>
  <c r="EA127" i="5"/>
  <c r="EF127" i="5"/>
  <c r="EF128" i="5"/>
  <c r="BV128" i="5"/>
  <c r="BV127" i="5"/>
  <c r="CC127" i="5"/>
  <c r="CC128" i="5"/>
  <c r="AP127" i="5"/>
  <c r="AP128" i="5"/>
  <c r="EM127" i="5"/>
  <c r="EM128" i="5"/>
  <c r="CV128" i="5"/>
  <c r="CV127" i="5"/>
  <c r="AD128" i="5"/>
  <c r="AD127" i="5"/>
  <c r="ED127" i="5"/>
  <c r="ED128" i="5"/>
  <c r="V104" i="26"/>
  <c r="AE104" i="17"/>
  <c r="AE100" i="17" s="1"/>
  <c r="DQ105" i="5"/>
  <c r="D127" i="21"/>
  <c r="AI40" i="19"/>
  <c r="AJ109" i="6"/>
  <c r="AJ104" i="6"/>
  <c r="AJ105" i="6" s="1"/>
  <c r="W40" i="19"/>
  <c r="X104" i="6"/>
  <c r="X105" i="6" s="1"/>
  <c r="X109" i="6"/>
  <c r="AR40" i="19"/>
  <c r="AS109" i="6"/>
  <c r="AS104" i="6"/>
  <c r="AS105" i="6" s="1"/>
  <c r="CS40" i="19"/>
  <c r="AA109" i="17"/>
  <c r="J87" i="1"/>
  <c r="T109" i="26"/>
  <c r="L200" i="32" s="1"/>
  <c r="CT104" i="6"/>
  <c r="CT105" i="6" s="1"/>
  <c r="CT109" i="6"/>
  <c r="EB40" i="19"/>
  <c r="EC104" i="6"/>
  <c r="EC105" i="6" s="1"/>
  <c r="EC109" i="6"/>
  <c r="BS40" i="19"/>
  <c r="BT109" i="6"/>
  <c r="BT104" i="6"/>
  <c r="BT105" i="6" s="1"/>
  <c r="U109" i="26"/>
  <c r="M200" i="32" s="1"/>
  <c r="J89" i="1"/>
  <c r="AC109" i="17"/>
  <c r="DE40" i="19"/>
  <c r="DF109" i="6"/>
  <c r="DF104" i="6"/>
  <c r="DF105" i="6" s="1"/>
  <c r="EA40" i="19"/>
  <c r="EB109" i="6"/>
  <c r="EB104" i="6"/>
  <c r="EB105" i="6" s="1"/>
  <c r="AP40" i="19"/>
  <c r="AQ104" i="6"/>
  <c r="AQ105" i="6" s="1"/>
  <c r="AQ109" i="6"/>
  <c r="CR40" i="19"/>
  <c r="CS109" i="6"/>
  <c r="CS104" i="6"/>
  <c r="CS105" i="6" s="1"/>
  <c r="BY40" i="19"/>
  <c r="BZ109" i="6"/>
  <c r="BZ104" i="6"/>
  <c r="BZ105" i="6" s="1"/>
  <c r="EI40" i="19"/>
  <c r="AH109" i="17"/>
  <c r="EJ104" i="6"/>
  <c r="EJ105" i="6" s="1"/>
  <c r="EJ109" i="6"/>
  <c r="EL40" i="19"/>
  <c r="EM109" i="6"/>
  <c r="EM104" i="6"/>
  <c r="EM105" i="6" s="1"/>
  <c r="CV40" i="19"/>
  <c r="CW109" i="6"/>
  <c r="CW104" i="6"/>
  <c r="CW105" i="6" s="1"/>
  <c r="DG40" i="19"/>
  <c r="DH104" i="6"/>
  <c r="DH105" i="6" s="1"/>
  <c r="DH109" i="6"/>
  <c r="U40" i="19"/>
  <c r="V109" i="6"/>
  <c r="V104" i="6"/>
  <c r="V105" i="6" s="1"/>
  <c r="AL40" i="19"/>
  <c r="AM109" i="6"/>
  <c r="AM104" i="6"/>
  <c r="AM105" i="6" s="1"/>
  <c r="D630" i="32"/>
  <c r="L109" i="26"/>
  <c r="M104" i="6"/>
  <c r="M105" i="6" s="1"/>
  <c r="L109" i="17"/>
  <c r="J72" i="1"/>
  <c r="M109" i="6"/>
  <c r="L40" i="19"/>
  <c r="J114" i="5"/>
  <c r="AH40" i="19"/>
  <c r="AI104" i="6"/>
  <c r="AI105" i="6" s="1"/>
  <c r="AI109" i="6"/>
  <c r="L630" i="32"/>
  <c r="BP40" i="19"/>
  <c r="BQ109" i="6"/>
  <c r="BQ104" i="6"/>
  <c r="BQ105" i="6" s="1"/>
  <c r="BT40" i="19"/>
  <c r="BU104" i="6"/>
  <c r="BU105" i="6" s="1"/>
  <c r="BU109" i="6"/>
  <c r="AG109" i="17"/>
  <c r="W109" i="26"/>
  <c r="EC40" i="19"/>
  <c r="ED104" i="6"/>
  <c r="ED105" i="6" s="1"/>
  <c r="ED109" i="6"/>
  <c r="AS40" i="19"/>
  <c r="AT104" i="6"/>
  <c r="AT105" i="6" s="1"/>
  <c r="AT109" i="6"/>
  <c r="AZ40" i="19"/>
  <c r="BA109" i="6"/>
  <c r="BA104" i="6"/>
  <c r="BA105" i="6" s="1"/>
  <c r="DH40" i="19"/>
  <c r="DI109" i="6"/>
  <c r="DI104" i="6"/>
  <c r="DI105" i="6" s="1"/>
  <c r="DO40" i="19"/>
  <c r="DP104" i="6"/>
  <c r="DP105" i="6" s="1"/>
  <c r="DP109" i="6"/>
  <c r="AG40" i="19"/>
  <c r="AH109" i="6"/>
  <c r="AH104" i="6"/>
  <c r="AH105" i="6" s="1"/>
  <c r="BW40" i="19"/>
  <c r="BX109" i="6"/>
  <c r="BX104" i="6"/>
  <c r="BX105" i="6" s="1"/>
  <c r="EP40" i="19"/>
  <c r="EQ109" i="6"/>
  <c r="EQ104" i="6"/>
  <c r="EQ105" i="6" s="1"/>
  <c r="AQ40" i="19"/>
  <c r="R109" i="17"/>
  <c r="J78" i="1"/>
  <c r="AR109" i="6"/>
  <c r="AR104" i="6"/>
  <c r="AR105" i="6" s="1"/>
  <c r="V40" i="19"/>
  <c r="W109" i="6"/>
  <c r="W104" i="6"/>
  <c r="W105" i="6" s="1"/>
  <c r="H630" i="32"/>
  <c r="BA40" i="19"/>
  <c r="BB104" i="6"/>
  <c r="BB105" i="6" s="1"/>
  <c r="BB109" i="6"/>
  <c r="DD40" i="19"/>
  <c r="DE104" i="6"/>
  <c r="DE105" i="6" s="1"/>
  <c r="DE109" i="6"/>
  <c r="EM40" i="19"/>
  <c r="EN104" i="6"/>
  <c r="EN105" i="6" s="1"/>
  <c r="EN109" i="6"/>
  <c r="D757" i="32"/>
  <c r="R94" i="17"/>
  <c r="F48" i="1"/>
  <c r="AQ18" i="19"/>
  <c r="P73" i="19" s="1"/>
  <c r="E133" i="21" s="1"/>
  <c r="F78" i="1"/>
  <c r="EI18" i="19"/>
  <c r="AH94" i="17"/>
  <c r="F60" i="1"/>
  <c r="AD94" i="17"/>
  <c r="F90" i="1"/>
  <c r="DK18" i="19"/>
  <c r="P85" i="19" s="1"/>
  <c r="E145" i="21" s="1"/>
  <c r="V94" i="26"/>
  <c r="N198" i="32" s="1"/>
  <c r="F91" i="1"/>
  <c r="F61" i="1"/>
  <c r="DQ18" i="19"/>
  <c r="P86" i="19" s="1"/>
  <c r="E146" i="21" s="1"/>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T72" i="19" s="1"/>
  <c r="J50" i="1"/>
  <c r="T99" i="17"/>
  <c r="BC29" i="19"/>
  <c r="T75" i="19" s="1"/>
  <c r="J43" i="1"/>
  <c r="M99" i="17"/>
  <c r="E760" i="32" s="1"/>
  <c r="E629" i="32"/>
  <c r="M99" i="26"/>
  <c r="E199" i="32" s="1"/>
  <c r="M29" i="19"/>
  <c r="J49" i="1"/>
  <c r="P99" i="26"/>
  <c r="H199" i="32" s="1"/>
  <c r="S99" i="17"/>
  <c r="AW29" i="19"/>
  <c r="T74" i="19" s="1"/>
  <c r="J52" i="1"/>
  <c r="V99" i="17"/>
  <c r="BO29" i="19"/>
  <c r="T77" i="19" s="1"/>
  <c r="R99" i="26"/>
  <c r="J199" i="32" s="1"/>
  <c r="J53" i="1"/>
  <c r="W99" i="17"/>
  <c r="BU29" i="19"/>
  <c r="T78" i="19" s="1"/>
  <c r="D195" i="32"/>
  <c r="BE127" i="5"/>
  <c r="BE128" i="5"/>
  <c r="AD104" i="17"/>
  <c r="AD100" i="17" s="1"/>
  <c r="DK105" i="5"/>
  <c r="P104" i="17"/>
  <c r="AE105" i="5"/>
  <c r="K623" i="32"/>
  <c r="AR128" i="5"/>
  <c r="AR127" i="5"/>
  <c r="BQ127" i="5"/>
  <c r="BQ128" i="5"/>
  <c r="DL128" i="5"/>
  <c r="DL127" i="5"/>
  <c r="X104" i="17"/>
  <c r="X100" i="17" s="1"/>
  <c r="CA105" i="5"/>
  <c r="AG127" i="5"/>
  <c r="AG128" i="5"/>
  <c r="BD128" i="5"/>
  <c r="BD127" i="5"/>
  <c r="AF128" i="5"/>
  <c r="AF127" i="5"/>
  <c r="CF128" i="5"/>
  <c r="CF127" i="5"/>
  <c r="CZ127" i="5"/>
  <c r="CZ128" i="5"/>
  <c r="CE127" i="5"/>
  <c r="CE128" i="5"/>
  <c r="BW127" i="5"/>
  <c r="BW128" i="5"/>
  <c r="AS127" i="5"/>
  <c r="AS128" i="5"/>
  <c r="AA104" i="17"/>
  <c r="AA100" i="17" s="1"/>
  <c r="T104" i="26"/>
  <c r="CS105" i="5"/>
  <c r="EJ127" i="5"/>
  <c r="EJ128" i="5"/>
  <c r="Y104" i="17"/>
  <c r="Y100" i="17" s="1"/>
  <c r="S104" i="26"/>
  <c r="CG105" i="5"/>
  <c r="EB127" i="5"/>
  <c r="EB128" i="5"/>
  <c r="DZ128" i="5"/>
  <c r="DZ127" i="5"/>
  <c r="AJ127" i="5"/>
  <c r="AJ128" i="5"/>
  <c r="DO128" i="5"/>
  <c r="DO127" i="5"/>
  <c r="DH128" i="5"/>
  <c r="DH127" i="5"/>
  <c r="CP127" i="5"/>
  <c r="CP128" i="5"/>
  <c r="AH105" i="5"/>
  <c r="L623" i="32"/>
  <c r="DP128" i="5"/>
  <c r="DP127" i="5"/>
  <c r="BZ127" i="5"/>
  <c r="BZ128" i="5"/>
  <c r="EE128" i="5"/>
  <c r="EE127" i="5"/>
  <c r="CU128" i="5"/>
  <c r="CU127" i="5"/>
  <c r="AB105" i="5"/>
  <c r="J623" i="32"/>
  <c r="DR127" i="5"/>
  <c r="DR128" i="5"/>
  <c r="L104" i="26"/>
  <c r="J109" i="5"/>
  <c r="J105" i="5" s="1"/>
  <c r="L104" i="17"/>
  <c r="D623" i="32"/>
  <c r="L105" i="5"/>
  <c r="EG127" i="5"/>
  <c r="EG128" i="5"/>
  <c r="CN127" i="5"/>
  <c r="CN128" i="5"/>
  <c r="CW128" i="5"/>
  <c r="CW127" i="5"/>
  <c r="BA128" i="5"/>
  <c r="BA127" i="5"/>
  <c r="DT40" i="19"/>
  <c r="DU104" i="6"/>
  <c r="DU105" i="6" s="1"/>
  <c r="DU109" i="6"/>
  <c r="CM40" i="19"/>
  <c r="Z109" i="17"/>
  <c r="J86" i="1"/>
  <c r="CN104" i="6"/>
  <c r="CN105" i="6" s="1"/>
  <c r="CN109" i="6"/>
  <c r="BR40" i="19"/>
  <c r="BS104" i="6"/>
  <c r="BS105" i="6" s="1"/>
  <c r="BS109" i="6"/>
  <c r="BL40" i="19"/>
  <c r="BM104" i="6"/>
  <c r="BM105" i="6" s="1"/>
  <c r="BM109" i="6"/>
  <c r="U109" i="17"/>
  <c r="Q109" i="26"/>
  <c r="I200" i="32" s="1"/>
  <c r="BI40" i="19"/>
  <c r="J81" i="1"/>
  <c r="BJ104" i="6"/>
  <c r="BJ105" i="6" s="1"/>
  <c r="BJ109" i="6"/>
  <c r="AY40" i="19"/>
  <c r="AZ104" i="6"/>
  <c r="AZ105" i="6" s="1"/>
  <c r="AZ109" i="6"/>
  <c r="S40" i="19"/>
  <c r="J74" i="1"/>
  <c r="N109" i="17"/>
  <c r="F761" i="32" s="1"/>
  <c r="T104" i="6"/>
  <c r="T105" i="6" s="1"/>
  <c r="T109" i="6"/>
  <c r="G630" i="32"/>
  <c r="X40" i="19"/>
  <c r="Y104" i="6"/>
  <c r="Y105" i="6" s="1"/>
  <c r="Y109" i="6"/>
  <c r="DP40" i="19"/>
  <c r="DQ109" i="6"/>
  <c r="DQ104" i="6"/>
  <c r="DQ105" i="6" s="1"/>
  <c r="AE40" i="19"/>
  <c r="J76" i="1"/>
  <c r="P109" i="17"/>
  <c r="H761" i="32" s="1"/>
  <c r="AF104" i="6"/>
  <c r="AF105" i="6" s="1"/>
  <c r="AF109" i="6"/>
  <c r="K630" i="32"/>
  <c r="T40" i="19"/>
  <c r="U104" i="6"/>
  <c r="U105" i="6" s="1"/>
  <c r="U109" i="6"/>
  <c r="DW40" i="19"/>
  <c r="J92" i="1"/>
  <c r="AF109" i="17"/>
  <c r="DX109" i="6"/>
  <c r="DX104" i="6"/>
  <c r="DX105" i="6" s="1"/>
  <c r="AX40" i="19"/>
  <c r="AY109" i="6"/>
  <c r="AY104" i="6"/>
  <c r="AY105" i="6" s="1"/>
  <c r="T109" i="17"/>
  <c r="J80" i="1"/>
  <c r="BC40" i="19"/>
  <c r="BD104" i="6"/>
  <c r="BD105" i="6" s="1"/>
  <c r="BD109" i="6"/>
  <c r="BX40" i="19"/>
  <c r="BY109" i="6"/>
  <c r="BY104" i="6"/>
  <c r="BY105" i="6" s="1"/>
  <c r="AF40" i="19"/>
  <c r="AG104" i="6"/>
  <c r="AG105" i="6" s="1"/>
  <c r="AG109" i="6"/>
  <c r="DL40" i="19"/>
  <c r="DM104" i="6"/>
  <c r="DM105" i="6" s="1"/>
  <c r="DM109" i="6"/>
  <c r="O109" i="17"/>
  <c r="G761" i="32" s="1"/>
  <c r="J75" i="1"/>
  <c r="Y40" i="19"/>
  <c r="N109" i="26"/>
  <c r="F200" i="32" s="1"/>
  <c r="Z104" i="6"/>
  <c r="Z105" i="6" s="1"/>
  <c r="Z109" i="6"/>
  <c r="I630" i="32"/>
  <c r="R40" i="19"/>
  <c r="S109" i="6"/>
  <c r="S104" i="6"/>
  <c r="S105" i="6" s="1"/>
  <c r="CF40" i="19"/>
  <c r="CG109" i="6"/>
  <c r="CG104" i="6"/>
  <c r="CG105" i="6" s="1"/>
  <c r="DC40" i="19"/>
  <c r="DD109" i="6"/>
  <c r="DD104" i="6"/>
  <c r="DD105" i="6" s="1"/>
  <c r="BK40" i="19"/>
  <c r="BL109" i="6"/>
  <c r="BL104" i="6"/>
  <c r="BL105" i="6" s="1"/>
  <c r="AT40" i="19"/>
  <c r="AU104" i="6"/>
  <c r="AU105" i="6" s="1"/>
  <c r="AU109" i="6"/>
  <c r="AV40" i="19"/>
  <c r="AW104" i="6"/>
  <c r="AW105" i="6" s="1"/>
  <c r="AW109" i="6"/>
  <c r="DK40" i="19"/>
  <c r="J90" i="1"/>
  <c r="AD109" i="17"/>
  <c r="DL109" i="6"/>
  <c r="DL104" i="6"/>
  <c r="DL105" i="6" s="1"/>
  <c r="CZ40" i="19"/>
  <c r="DA109" i="6"/>
  <c r="DA104" i="6"/>
  <c r="DA105" i="6" s="1"/>
  <c r="BN40" i="19"/>
  <c r="BO109" i="6"/>
  <c r="BO104" i="6"/>
  <c r="BO105" i="6" s="1"/>
  <c r="N40" i="19"/>
  <c r="O104" i="6"/>
  <c r="O105" i="6" s="1"/>
  <c r="O109" i="6"/>
  <c r="DN40" i="19"/>
  <c r="DO109" i="6"/>
  <c r="DO104" i="6"/>
  <c r="DO105" i="6" s="1"/>
  <c r="BH40" i="19"/>
  <c r="BI109" i="6"/>
  <c r="BI104" i="6"/>
  <c r="BI105" i="6" s="1"/>
  <c r="AC40" i="19"/>
  <c r="AD104" i="6"/>
  <c r="AD105" i="6" s="1"/>
  <c r="AD109" i="6"/>
  <c r="BD40" i="19"/>
  <c r="BE109" i="6"/>
  <c r="BE104" i="6"/>
  <c r="BE105" i="6" s="1"/>
  <c r="DV40" i="19"/>
  <c r="DW109" i="6"/>
  <c r="DW104" i="6"/>
  <c r="DW105" i="6" s="1"/>
  <c r="DR40" i="19"/>
  <c r="DS104" i="6"/>
  <c r="DS105" i="6" s="1"/>
  <c r="DS109" i="6"/>
  <c r="D196" i="32"/>
  <c r="S147" i="11"/>
  <c r="Q26" i="15"/>
  <c r="CA18" i="19"/>
  <c r="P79" i="19" s="1"/>
  <c r="E139" i="21" s="1"/>
  <c r="F54" i="1"/>
  <c r="X94" i="17"/>
  <c r="F84" i="1"/>
  <c r="U94" i="26"/>
  <c r="M198" i="32" s="1"/>
  <c r="DE18" i="19"/>
  <c r="P84" i="19" s="1"/>
  <c r="E144" i="21" s="1"/>
  <c r="AC94" i="17"/>
  <c r="F59" i="1"/>
  <c r="F89" i="1"/>
  <c r="AF94" i="17"/>
  <c r="DW18" i="19"/>
  <c r="P87" i="19" s="1"/>
  <c r="E147" i="21" s="1"/>
  <c r="F62" i="1"/>
  <c r="F92" i="1"/>
  <c r="AA94" i="17"/>
  <c r="CS18" i="19"/>
  <c r="P82" i="19" s="1"/>
  <c r="E142" i="21" s="1"/>
  <c r="F57" i="1"/>
  <c r="T94" i="26"/>
  <c r="L198" i="32" s="1"/>
  <c r="F87" i="1"/>
  <c r="AG94" i="17"/>
  <c r="W94" i="26"/>
  <c r="EC18" i="19"/>
  <c r="F44" i="1"/>
  <c r="N94" i="17"/>
  <c r="F759" i="32" s="1"/>
  <c r="G628" i="32"/>
  <c r="S18" i="19"/>
  <c r="F74" i="1"/>
  <c r="W94" i="17"/>
  <c r="R94" i="26"/>
  <c r="J198" i="32" s="1"/>
  <c r="F83" i="1"/>
  <c r="BU18" i="19"/>
  <c r="P78" i="19" s="1"/>
  <c r="E138" i="21" s="1"/>
  <c r="F53" i="1"/>
  <c r="F50" i="1"/>
  <c r="BC18" i="19"/>
  <c r="P75" i="19" s="1"/>
  <c r="E135" i="21" s="1"/>
  <c r="T94" i="17"/>
  <c r="F80" i="1"/>
  <c r="D628" i="32"/>
  <c r="L94" i="17"/>
  <c r="L90" i="17" s="1"/>
  <c r="L94" i="26"/>
  <c r="L18" i="19"/>
  <c r="F72" i="1"/>
  <c r="F42" i="1"/>
  <c r="J99" i="5"/>
  <c r="F611" i="32"/>
  <c r="AF39" i="16"/>
  <c r="H567" i="32"/>
  <c r="U39" i="16"/>
  <c r="L698" i="32" s="1"/>
  <c r="E811" i="32" s="1"/>
  <c r="R39" i="16"/>
  <c r="Y39" i="16"/>
  <c r="P698" i="32" s="1"/>
  <c r="E815" i="32" s="1"/>
  <c r="V39" i="16"/>
  <c r="AB117" i="11"/>
  <c r="AC114" i="11" s="1"/>
  <c r="AC116" i="11" s="1"/>
  <c r="AB44" i="5"/>
  <c r="J58" i="1"/>
  <c r="AB99" i="17"/>
  <c r="CY29" i="19"/>
  <c r="T83" i="19" s="1"/>
  <c r="F629" i="32"/>
  <c r="P29" i="19"/>
  <c r="AC99" i="17"/>
  <c r="J59" i="1"/>
  <c r="U99" i="26"/>
  <c r="M199" i="32" s="1"/>
  <c r="DE29" i="19"/>
  <c r="T84" i="19" s="1"/>
  <c r="J60" i="1"/>
  <c r="AD99" i="17"/>
  <c r="DK29" i="19"/>
  <c r="T85" i="19" s="1"/>
  <c r="Y99" i="17"/>
  <c r="J55" i="1"/>
  <c r="S99" i="26"/>
  <c r="K199" i="32" s="1"/>
  <c r="CG29" i="19"/>
  <c r="T80" i="19" s="1"/>
  <c r="AI99" i="17"/>
  <c r="X99" i="26"/>
  <c r="EO29" i="19"/>
  <c r="H629" i="32"/>
  <c r="V29" i="19"/>
  <c r="V99" i="26"/>
  <c r="N199" i="32" s="1"/>
  <c r="AE99" i="17"/>
  <c r="J61" i="1"/>
  <c r="DQ29" i="19"/>
  <c r="T86" i="19" s="1"/>
  <c r="AH99" i="17"/>
  <c r="EI29" i="19"/>
  <c r="D756" i="32"/>
  <c r="D78" i="21"/>
  <c r="E93" i="1"/>
  <c r="I603" i="32"/>
  <c r="P69" i="19" l="1"/>
  <c r="E129" i="21" s="1"/>
  <c r="E746" i="32"/>
  <c r="E742" i="32" s="1"/>
  <c r="X81" i="19"/>
  <c r="L141" i="21" s="1"/>
  <c r="K137" i="32"/>
  <c r="C628" i="32"/>
  <c r="X70" i="19"/>
  <c r="L130" i="21" s="1"/>
  <c r="X87" i="19"/>
  <c r="L147" i="21" s="1"/>
  <c r="X8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55" i="19"/>
  <c r="X85" i="19"/>
  <c r="L145" i="21" s="1"/>
  <c r="AU110" i="6"/>
  <c r="AT55" i="19"/>
  <c r="BK55" i="19"/>
  <c r="BL110" i="6"/>
  <c r="Y55" i="19"/>
  <c r="Z110" i="6"/>
  <c r="L81" i="21"/>
  <c r="G327" i="32"/>
  <c r="DW55" i="19"/>
  <c r="DX110" i="6"/>
  <c r="T55" i="19"/>
  <c r="U110" i="6"/>
  <c r="AE55" i="19"/>
  <c r="AF110" i="6"/>
  <c r="X71" i="19"/>
  <c r="L131" i="21" s="1"/>
  <c r="X55" i="19"/>
  <c r="Y110" i="6"/>
  <c r="S55" i="19"/>
  <c r="T110" i="6"/>
  <c r="X69" i="19"/>
  <c r="L129" i="21" s="1"/>
  <c r="BJ110" i="6"/>
  <c r="BI55" i="19"/>
  <c r="CM55" i="19"/>
  <c r="CN110" i="6"/>
  <c r="J104" i="17"/>
  <c r="J100" i="17" s="1"/>
  <c r="D754" i="32"/>
  <c r="L100" i="17"/>
  <c r="Y123" i="17"/>
  <c r="Y122" i="17"/>
  <c r="L193" i="32"/>
  <c r="T100" i="26"/>
  <c r="P100" i="17"/>
  <c r="H754" i="32"/>
  <c r="L90" i="26"/>
  <c r="T68" i="19"/>
  <c r="L27" i="21"/>
  <c r="G274" i="32"/>
  <c r="C567" i="32"/>
  <c r="D561" i="32"/>
  <c r="E45" i="21"/>
  <c r="G266" i="32"/>
  <c r="E96" i="21"/>
  <c r="F96" i="21" s="1"/>
  <c r="G316" i="32"/>
  <c r="G90" i="1"/>
  <c r="G96" i="21" s="1"/>
  <c r="EN110" i="6"/>
  <c r="EM55" i="19"/>
  <c r="AS55" i="19"/>
  <c r="AT110" i="6"/>
  <c r="BU110" i="6"/>
  <c r="BT55" i="19"/>
  <c r="BQ110" i="6"/>
  <c r="BP55" i="19"/>
  <c r="L55" i="19"/>
  <c r="M110" i="6"/>
  <c r="M111" i="6" s="1"/>
  <c r="N108" i="6" s="1"/>
  <c r="K109" i="6"/>
  <c r="D200" i="32"/>
  <c r="J109" i="26"/>
  <c r="AL55" i="19"/>
  <c r="AM110" i="6"/>
  <c r="EM110" i="6"/>
  <c r="EL55" i="19"/>
  <c r="AQ110" i="6"/>
  <c r="AP55" i="19"/>
  <c r="EB110" i="6"/>
  <c r="EA55" i="19"/>
  <c r="X84" i="19"/>
  <c r="L144" i="21" s="1"/>
  <c r="DQ128" i="5"/>
  <c r="DQ127" i="5"/>
  <c r="N100" i="26"/>
  <c r="F193" i="32"/>
  <c r="J29" i="19"/>
  <c r="T67" i="19"/>
  <c r="L25" i="19"/>
  <c r="L31" i="19"/>
  <c r="D199" i="32"/>
  <c r="J99" i="26"/>
  <c r="T70" i="19"/>
  <c r="E36" i="21"/>
  <c r="G257" i="32"/>
  <c r="E39" i="21"/>
  <c r="G260" i="32"/>
  <c r="P70" i="19"/>
  <c r="E130" i="21" s="1"/>
  <c r="DI55" i="19"/>
  <c r="DJ110" i="6"/>
  <c r="R110" i="6"/>
  <c r="Q55" i="19"/>
  <c r="DV110" i="6"/>
  <c r="DU55" i="19"/>
  <c r="AD55" i="19"/>
  <c r="AE110" i="6"/>
  <c r="CE55" i="19"/>
  <c r="CF110" i="6"/>
  <c r="CV110" i="6"/>
  <c r="CU55" i="19"/>
  <c r="AP110" i="6"/>
  <c r="AO55" i="19"/>
  <c r="AU55" i="19"/>
  <c r="AV110" i="6"/>
  <c r="AA110" i="6"/>
  <c r="Z55" i="19"/>
  <c r="BE55" i="19"/>
  <c r="BF110" i="6"/>
  <c r="L94" i="21"/>
  <c r="G340" i="32"/>
  <c r="DC110" i="6"/>
  <c r="DB55" i="19"/>
  <c r="W122" i="17"/>
  <c r="W123" i="17"/>
  <c r="U123" i="17"/>
  <c r="U122" i="17"/>
  <c r="M100" i="17"/>
  <c r="E754" i="32"/>
  <c r="EC128" i="5"/>
  <c r="EC127" i="5"/>
  <c r="P128" i="5"/>
  <c r="P127" i="5"/>
  <c r="L41" i="21"/>
  <c r="G288" i="32"/>
  <c r="L46" i="21"/>
  <c r="G293" i="32"/>
  <c r="E83" i="21"/>
  <c r="F83" i="21" s="1"/>
  <c r="G303" i="32"/>
  <c r="G77" i="1"/>
  <c r="G83" i="21" s="1"/>
  <c r="P71" i="19"/>
  <c r="E131" i="21" s="1"/>
  <c r="E82" i="21"/>
  <c r="F82" i="21" s="1"/>
  <c r="G302" i="32"/>
  <c r="G76" i="1"/>
  <c r="G82" i="21" s="1"/>
  <c r="DX55" i="19"/>
  <c r="DY110" i="6"/>
  <c r="BG55" i="19"/>
  <c r="BH110" i="6"/>
  <c r="DN110" i="6"/>
  <c r="DM55" i="19"/>
  <c r="X86" i="19"/>
  <c r="L146" i="21" s="1"/>
  <c r="CH110" i="6"/>
  <c r="CG55" i="19"/>
  <c r="K104" i="6"/>
  <c r="ER105" i="6"/>
  <c r="K105" i="6" s="1"/>
  <c r="CI110" i="6"/>
  <c r="CH55" i="19"/>
  <c r="EJ55" i="19"/>
  <c r="EK110" i="6"/>
  <c r="X77" i="19"/>
  <c r="L137" i="21" s="1"/>
  <c r="BK110" i="6"/>
  <c r="BJ55" i="19"/>
  <c r="X72" i="19"/>
  <c r="L132" i="21" s="1"/>
  <c r="DE128" i="5"/>
  <c r="DE127" i="5"/>
  <c r="V128" i="5"/>
  <c r="V127" i="5"/>
  <c r="R122" i="17"/>
  <c r="R123" i="17"/>
  <c r="S127" i="5"/>
  <c r="S128"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55" i="19"/>
  <c r="DV55" i="19"/>
  <c r="DW110" i="6"/>
  <c r="DO110" i="6"/>
  <c r="DN55" i="19"/>
  <c r="DL110" i="6"/>
  <c r="DK55" i="19"/>
  <c r="AV55" i="19"/>
  <c r="AW110" i="6"/>
  <c r="S110" i="6"/>
  <c r="R55" i="19"/>
  <c r="AF55" i="19"/>
  <c r="AG110" i="6"/>
  <c r="BY110" i="6"/>
  <c r="BX55" i="19"/>
  <c r="X75" i="19"/>
  <c r="L135" i="21" s="1"/>
  <c r="AY110" i="6"/>
  <c r="AX55" i="19"/>
  <c r="AZ110" i="6"/>
  <c r="AY55" i="19"/>
  <c r="BS110" i="6"/>
  <c r="BR55" i="19"/>
  <c r="DT55" i="19"/>
  <c r="DU110" i="6"/>
  <c r="AH127" i="5"/>
  <c r="AH128" i="5"/>
  <c r="AA122" i="17"/>
  <c r="AA123" i="17"/>
  <c r="DK127" i="5"/>
  <c r="DK128" i="5"/>
  <c r="L31" i="21"/>
  <c r="G278" i="32"/>
  <c r="Q17" i="15"/>
  <c r="S152" i="11"/>
  <c r="E97" i="21"/>
  <c r="F97" i="21" s="1"/>
  <c r="G317" i="32"/>
  <c r="G91" i="1"/>
  <c r="G97" i="21" s="1"/>
  <c r="E84" i="21"/>
  <c r="F84" i="21" s="1"/>
  <c r="G304" i="32"/>
  <c r="G78" i="1"/>
  <c r="G84" i="21" s="1"/>
  <c r="X73" i="19"/>
  <c r="L133" i="21" s="1"/>
  <c r="AH110" i="6"/>
  <c r="AG55" i="19"/>
  <c r="L78" i="21"/>
  <c r="J93" i="1"/>
  <c r="DG55" i="19"/>
  <c r="DH110" i="6"/>
  <c r="CV55" i="19"/>
  <c r="CW110" i="6"/>
  <c r="BS55" i="19"/>
  <c r="BT110" i="6"/>
  <c r="L93" i="21"/>
  <c r="G339" i="32"/>
  <c r="AS110" i="6"/>
  <c r="AR55" i="19"/>
  <c r="AE123" i="17"/>
  <c r="AE122" i="17"/>
  <c r="AK127" i="5"/>
  <c r="AK128" i="5"/>
  <c r="O100" i="17"/>
  <c r="G754" i="32"/>
  <c r="L26" i="21"/>
  <c r="M26" i="21" s="1"/>
  <c r="J63" i="1"/>
  <c r="L35" i="21"/>
  <c r="G282" i="32"/>
  <c r="T71" i="19"/>
  <c r="G698" i="32"/>
  <c r="E806" i="32" s="1"/>
  <c r="F137" i="32"/>
  <c r="E35" i="21"/>
  <c r="G256" i="32"/>
  <c r="E42" i="21"/>
  <c r="G263" i="32"/>
  <c r="DG110" i="6"/>
  <c r="DF55" i="19"/>
  <c r="AB55" i="19"/>
  <c r="AC110" i="6"/>
  <c r="CP110" i="6"/>
  <c r="CO55" i="19"/>
  <c r="CU110" i="6"/>
  <c r="CT55" i="19"/>
  <c r="BU55" i="19"/>
  <c r="BV110" i="6"/>
  <c r="DK110" i="6"/>
  <c r="DJ55" i="19"/>
  <c r="CN55" i="19"/>
  <c r="CO110" i="6"/>
  <c r="I193" i="32"/>
  <c r="Q100" i="26"/>
  <c r="E193" i="32"/>
  <c r="M100" i="26"/>
  <c r="AG122" i="17"/>
  <c r="AG123" i="17"/>
  <c r="L123" i="5"/>
  <c r="L124" i="5"/>
  <c r="U698" i="32"/>
  <c r="E820" i="32" s="1"/>
  <c r="M137" i="32"/>
  <c r="E137" i="32"/>
  <c r="E698" i="32"/>
  <c r="E804" i="32" s="1"/>
  <c r="E31" i="21"/>
  <c r="G252" i="32"/>
  <c r="E33" i="21"/>
  <c r="G254" i="32"/>
  <c r="E27" i="21"/>
  <c r="G248" i="32"/>
  <c r="G299" i="32"/>
  <c r="E79" i="21"/>
  <c r="F79" i="21" s="1"/>
  <c r="G73" i="1"/>
  <c r="G79" i="21" s="1"/>
  <c r="E30" i="21"/>
  <c r="G251" i="32"/>
  <c r="T99" i="11"/>
  <c r="R28" i="15"/>
  <c r="CM110" i="6"/>
  <c r="CL55" i="19"/>
  <c r="L97" i="21"/>
  <c r="G343" i="32"/>
  <c r="CY110" i="6"/>
  <c r="CX55" i="19"/>
  <c r="DT110" i="6"/>
  <c r="DS55" i="19"/>
  <c r="ER110" i="6"/>
  <c r="EQ55" i="19"/>
  <c r="M55" i="19"/>
  <c r="N110" i="6"/>
  <c r="BC110" i="6"/>
  <c r="BB55" i="19"/>
  <c r="P55" i="19"/>
  <c r="Q110" i="6"/>
  <c r="BO55" i="19"/>
  <c r="BP110" i="6"/>
  <c r="L88" i="21"/>
  <c r="G334" i="32"/>
  <c r="CA55" i="19"/>
  <c r="CB110" i="6"/>
  <c r="X79" i="19"/>
  <c r="L139" i="21" s="1"/>
  <c r="AL110" i="6"/>
  <c r="AK55" i="19"/>
  <c r="EO127" i="5"/>
  <c r="EO128"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55" i="19"/>
  <c r="BH55" i="19"/>
  <c r="BI110" i="6"/>
  <c r="CZ55" i="19"/>
  <c r="DA110" i="6"/>
  <c r="CF55" i="19"/>
  <c r="CG110" i="6"/>
  <c r="DM110" i="6"/>
  <c r="DL55" i="19"/>
  <c r="L86" i="21"/>
  <c r="G332" i="32"/>
  <c r="L98" i="21"/>
  <c r="G344" i="32"/>
  <c r="DQ110" i="6"/>
  <c r="DP55" i="19"/>
  <c r="L87" i="21"/>
  <c r="G333" i="32"/>
  <c r="BM110" i="6"/>
  <c r="BL55" i="19"/>
  <c r="L92" i="21"/>
  <c r="G338" i="32"/>
  <c r="L128" i="5"/>
  <c r="L127" i="5"/>
  <c r="J104" i="26"/>
  <c r="J100" i="26" s="1"/>
  <c r="L100" i="26"/>
  <c r="D193" i="32"/>
  <c r="CG128" i="5"/>
  <c r="CG127" i="5"/>
  <c r="CA128" i="5"/>
  <c r="CA127" i="5"/>
  <c r="AD122" i="17"/>
  <c r="AD123" i="17"/>
  <c r="L285" i="11"/>
  <c r="M62" i="6"/>
  <c r="E44" i="21"/>
  <c r="G265" i="32"/>
  <c r="L120" i="17"/>
  <c r="L121" i="17"/>
  <c r="BA55" i="19"/>
  <c r="BB110" i="6"/>
  <c r="AR110" i="6"/>
  <c r="AQ55" i="19"/>
  <c r="BW55" i="19"/>
  <c r="BX110" i="6"/>
  <c r="AZ55" i="19"/>
  <c r="BA110" i="6"/>
  <c r="C630" i="32"/>
  <c r="D761" i="32"/>
  <c r="C761" i="32" s="1"/>
  <c r="J109" i="17"/>
  <c r="EI55" i="19"/>
  <c r="EJ110" i="6"/>
  <c r="CS110" i="6"/>
  <c r="CR55" i="19"/>
  <c r="L95" i="21"/>
  <c r="G341" i="32"/>
  <c r="CS55" i="19"/>
  <c r="CT110" i="6"/>
  <c r="N193" i="32"/>
  <c r="V100" i="26"/>
  <c r="Q122" i="17"/>
  <c r="Q123" i="17"/>
  <c r="CM127" i="5"/>
  <c r="CM128" i="5"/>
  <c r="DW127" i="5"/>
  <c r="DW128" i="5"/>
  <c r="CY128" i="5"/>
  <c r="CY127"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55" i="19"/>
  <c r="CE110" i="6"/>
  <c r="CD55" i="19"/>
  <c r="BR110" i="6"/>
  <c r="BQ55" i="19"/>
  <c r="BZ55" i="19"/>
  <c r="CA110" i="6"/>
  <c r="BM55" i="19"/>
  <c r="BN110" i="6"/>
  <c r="AB110" i="6"/>
  <c r="AA55" i="19"/>
  <c r="BV55" i="19"/>
  <c r="BW110" i="6"/>
  <c r="O55" i="19"/>
  <c r="P110" i="6"/>
  <c r="X78" i="19"/>
  <c r="L138" i="21" s="1"/>
  <c r="EK55" i="19"/>
  <c r="EL110" i="6"/>
  <c r="X83" i="19"/>
  <c r="L143" i="21" s="1"/>
  <c r="CK110" i="6"/>
  <c r="CJ55" i="19"/>
  <c r="CD110" i="6"/>
  <c r="CC55" i="19"/>
  <c r="BU128" i="5"/>
  <c r="BU127" i="5"/>
  <c r="BO127" i="5"/>
  <c r="BO128" i="5"/>
  <c r="EI128" i="5"/>
  <c r="EI127" i="5"/>
  <c r="W122" i="26"/>
  <c r="W123" i="26"/>
  <c r="T69" i="19"/>
  <c r="P68" i="19"/>
  <c r="E128" i="21" s="1"/>
  <c r="EO55" i="19"/>
  <c r="EP110" i="6"/>
  <c r="CP55" i="19"/>
  <c r="CQ110" i="6"/>
  <c r="L91" i="21"/>
  <c r="G337" i="32"/>
  <c r="L85" i="21"/>
  <c r="G331" i="32"/>
  <c r="L79" i="21"/>
  <c r="G325" i="32"/>
  <c r="EE110" i="6"/>
  <c r="ED55" i="19"/>
  <c r="DZ55" i="19"/>
  <c r="EA110" i="6"/>
  <c r="EF110" i="6"/>
  <c r="EE55" i="19"/>
  <c r="CR110" i="6"/>
  <c r="CQ55" i="19"/>
  <c r="DA55" i="19"/>
  <c r="DB110" i="6"/>
  <c r="CJ110" i="6"/>
  <c r="CI55" i="19"/>
  <c r="X123" i="26"/>
  <c r="X122" i="26"/>
  <c r="M193" i="32"/>
  <c r="U100" i="26"/>
  <c r="BC128" i="5"/>
  <c r="BC127" i="5"/>
  <c r="AW127" i="5"/>
  <c r="AW128" i="5"/>
  <c r="P6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55" i="19"/>
  <c r="O110" i="6"/>
  <c r="BO110" i="6"/>
  <c r="BN55" i="19"/>
  <c r="L96" i="21"/>
  <c r="G342" i="32"/>
  <c r="DC55" i="19"/>
  <c r="DD110" i="6"/>
  <c r="BD110" i="6"/>
  <c r="BC55" i="19"/>
  <c r="L82" i="21"/>
  <c r="G328" i="32"/>
  <c r="L80" i="21"/>
  <c r="G326" i="32"/>
  <c r="G377" i="32" s="1"/>
  <c r="Z80" i="21" s="1"/>
  <c r="X76" i="19"/>
  <c r="L136" i="21" s="1"/>
  <c r="C623" i="32"/>
  <c r="AB128" i="5"/>
  <c r="AB127" i="5"/>
  <c r="K193" i="32"/>
  <c r="S100" i="26"/>
  <c r="CS128" i="5"/>
  <c r="CS127" i="5"/>
  <c r="X123" i="17"/>
  <c r="X122" i="17"/>
  <c r="AE128" i="5"/>
  <c r="AE127" i="5"/>
  <c r="L37" i="21"/>
  <c r="G284" i="32"/>
  <c r="L36" i="21"/>
  <c r="G283" i="32"/>
  <c r="L33" i="21"/>
  <c r="G280" i="32"/>
  <c r="L34" i="21"/>
  <c r="G281" i="32"/>
  <c r="D698" i="32"/>
  <c r="D137" i="32"/>
  <c r="M37" i="16"/>
  <c r="M36" i="16" s="1"/>
  <c r="M49" i="16" s="1"/>
  <c r="M51" i="16" s="1"/>
  <c r="V402" i="32" a="1"/>
  <c r="V402" i="32" s="1"/>
  <c r="K39" i="16"/>
  <c r="E32" i="21"/>
  <c r="G253" i="32"/>
  <c r="DE110" i="6"/>
  <c r="DD55" i="19"/>
  <c r="W110" i="6"/>
  <c r="V55" i="19"/>
  <c r="L84" i="21"/>
  <c r="G330" i="32"/>
  <c r="EQ110" i="6"/>
  <c r="EP55" i="19"/>
  <c r="DO55" i="19"/>
  <c r="DP110" i="6"/>
  <c r="DH55" i="19"/>
  <c r="DI110" i="6"/>
  <c r="ED110" i="6"/>
  <c r="EC55" i="19"/>
  <c r="AH55" i="19"/>
  <c r="AI110" i="6"/>
  <c r="X67" i="19"/>
  <c r="J4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55" i="19"/>
  <c r="V110" i="6"/>
  <c r="BY55" i="19"/>
  <c r="BZ110" i="6"/>
  <c r="DF110" i="6"/>
  <c r="DE55" i="19"/>
  <c r="EB55" i="19"/>
  <c r="EC110" i="6"/>
  <c r="W55" i="19"/>
  <c r="X110" i="6"/>
  <c r="AI55" i="19"/>
  <c r="AJ110" i="6"/>
  <c r="O100" i="26"/>
  <c r="G193" i="32"/>
  <c r="Z122" i="17"/>
  <c r="Z123" i="17"/>
  <c r="Y127" i="5"/>
  <c r="Y128"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55" i="19"/>
  <c r="AJ55" i="19"/>
  <c r="AK110" i="6"/>
  <c r="L89" i="21"/>
  <c r="G335" i="32"/>
  <c r="AM55" i="19"/>
  <c r="AN110" i="6"/>
  <c r="CZ110" i="6"/>
  <c r="CY55" i="19"/>
  <c r="EF55" i="19"/>
  <c r="EG110" i="6"/>
  <c r="R100" i="26"/>
  <c r="J193" i="32"/>
  <c r="BI127" i="5"/>
  <c r="BI128" i="5"/>
  <c r="V123" i="17"/>
  <c r="V122" i="17"/>
  <c r="M127" i="5"/>
  <c r="M128" i="5"/>
  <c r="AH122" i="17"/>
  <c r="AH123" i="17"/>
  <c r="L28" i="21"/>
  <c r="G275" i="32"/>
  <c r="L40" i="21"/>
  <c r="G287" i="32"/>
  <c r="L38" i="21"/>
  <c r="G285" i="32"/>
  <c r="O698" i="32"/>
  <c r="E814" i="32" s="1"/>
  <c r="J137" i="32"/>
  <c r="G305" i="32"/>
  <c r="E85" i="21"/>
  <c r="F85" i="21" s="1"/>
  <c r="G79" i="1"/>
  <c r="G85" i="21" s="1"/>
  <c r="CX110" i="6"/>
  <c r="CW55" i="19"/>
  <c r="DQ55" i="19"/>
  <c r="DR110" i="6"/>
  <c r="X80" i="19"/>
  <c r="L140" i="21" s="1"/>
  <c r="DZ110" i="6"/>
  <c r="DY55" i="19"/>
  <c r="AX110" i="6"/>
  <c r="AW55" i="19"/>
  <c r="X74" i="19"/>
  <c r="L134" i="21" s="1"/>
  <c r="X68" i="19"/>
  <c r="L128" i="21" s="1"/>
  <c r="CC110" i="6"/>
  <c r="CB55" i="19"/>
  <c r="EN55" i="19"/>
  <c r="EO110" i="6"/>
  <c r="CK55" i="19"/>
  <c r="CL110" i="6"/>
  <c r="L90" i="21"/>
  <c r="G336" i="32"/>
  <c r="EH55" i="19"/>
  <c r="EI110" i="6"/>
  <c r="L83" i="21"/>
  <c r="G329" i="32"/>
  <c r="EG55" i="19"/>
  <c r="EH110" i="6"/>
  <c r="AI122" i="17"/>
  <c r="AI123" i="17"/>
  <c r="AQ127" i="5"/>
  <c r="AQ128" i="5"/>
  <c r="T123" i="17"/>
  <c r="T122" i="17"/>
  <c r="S122" i="17"/>
  <c r="S123" i="17"/>
  <c r="AB84" i="19" l="1"/>
  <c r="AB87" i="19"/>
  <c r="AB81" i="19"/>
  <c r="AB69" i="19"/>
  <c r="AB85" i="19"/>
  <c r="G378" i="32"/>
  <c r="Z81" i="21" s="1"/>
  <c r="S150" i="11"/>
  <c r="R26" i="15" s="1"/>
  <c r="R25" i="15" s="1"/>
  <c r="R24" i="15" s="1"/>
  <c r="AB82" i="19"/>
  <c r="J104" i="6"/>
  <c r="AB71" i="19"/>
  <c r="AB75" i="19"/>
  <c r="AB77" i="19"/>
  <c r="AB76" i="19"/>
  <c r="AB70" i="19"/>
  <c r="AB72" i="19"/>
  <c r="G352" i="32"/>
  <c r="S81" i="21" s="1"/>
  <c r="AB83" i="19"/>
  <c r="M305" i="32"/>
  <c r="D305" i="32"/>
  <c r="R122" i="26"/>
  <c r="R123" i="26"/>
  <c r="S122" i="26"/>
  <c r="S123" i="26"/>
  <c r="E779" i="32"/>
  <c r="E786" i="32" s="1"/>
  <c r="L20" i="18"/>
  <c r="L19" i="18" s="1"/>
  <c r="G392" i="32"/>
  <c r="Z95" i="21" s="1"/>
  <c r="G366" i="32"/>
  <c r="S95" i="21" s="1"/>
  <c r="G364" i="32"/>
  <c r="S93" i="21" s="1"/>
  <c r="G390" i="32"/>
  <c r="Z93" i="21" s="1"/>
  <c r="E127" i="21"/>
  <c r="P88" i="19"/>
  <c r="P89" i="19" s="1"/>
  <c r="AB67" i="19"/>
  <c r="G376" i="32"/>
  <c r="G345" i="32"/>
  <c r="D308" i="32"/>
  <c r="M308" i="32"/>
  <c r="D309" i="32"/>
  <c r="M309" i="32"/>
  <c r="J55" i="19"/>
  <c r="T101" i="11"/>
  <c r="T41" i="5" s="1"/>
  <c r="G382" i="32"/>
  <c r="Z85" i="21" s="1"/>
  <c r="G356" i="32"/>
  <c r="S85" i="21" s="1"/>
  <c r="E824" i="32"/>
  <c r="AB79" i="19"/>
  <c r="G365" i="32"/>
  <c r="S94" i="21" s="1"/>
  <c r="G391" i="32"/>
  <c r="Z94" i="21" s="1"/>
  <c r="AB73" i="19"/>
  <c r="S154" i="11"/>
  <c r="S53" i="5" s="1"/>
  <c r="S49" i="5" s="1"/>
  <c r="G351" i="32"/>
  <c r="S80" i="21" s="1"/>
  <c r="E47" i="21"/>
  <c r="M122" i="17"/>
  <c r="M123" i="17"/>
  <c r="N630" i="32"/>
  <c r="O630" i="32" s="1"/>
  <c r="C200" i="32"/>
  <c r="G368" i="32"/>
  <c r="S97" i="21" s="1"/>
  <c r="G394" i="32"/>
  <c r="Z97" i="21" s="1"/>
  <c r="AB74" i="19"/>
  <c r="T123" i="26"/>
  <c r="T122" i="26"/>
  <c r="C198" i="32"/>
  <c r="N628" i="32"/>
  <c r="O628" i="32" s="1"/>
  <c r="AD117" i="11"/>
  <c r="AE114" i="11" s="1"/>
  <c r="AE116" i="11" s="1"/>
  <c r="AD44" i="5"/>
  <c r="O123" i="26"/>
  <c r="O122" i="26"/>
  <c r="G355" i="32"/>
  <c r="S84" i="21" s="1"/>
  <c r="G381" i="32"/>
  <c r="Z84" i="21" s="1"/>
  <c r="M56" i="16"/>
  <c r="M64" i="6"/>
  <c r="M69" i="6"/>
  <c r="I127" i="5"/>
  <c r="G97" i="1" s="1"/>
  <c r="D238" i="32" s="1"/>
  <c r="J127"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Z91" i="21" s="1"/>
  <c r="F26" i="21"/>
  <c r="G294" i="32"/>
  <c r="L119" i="26"/>
  <c r="L118" i="26"/>
  <c r="L123" i="17"/>
  <c r="L122" i="17"/>
  <c r="L127" i="21"/>
  <c r="L148" i="21" s="1"/>
  <c r="X88" i="19"/>
  <c r="X89" i="19" s="1"/>
  <c r="D131" i="32"/>
  <c r="C137" i="32"/>
  <c r="D310" i="32"/>
  <c r="M310" i="32"/>
  <c r="G369" i="32"/>
  <c r="S98" i="21" s="1"/>
  <c r="G395" i="32"/>
  <c r="Z98" i="21" s="1"/>
  <c r="G357" i="32"/>
  <c r="S86" i="21" s="1"/>
  <c r="G383" i="32"/>
  <c r="Z86" i="21" s="1"/>
  <c r="U122" i="26"/>
  <c r="U123" i="26"/>
  <c r="D314" i="32"/>
  <c r="M314" i="32"/>
  <c r="G389" i="32"/>
  <c r="Z92" i="21" s="1"/>
  <c r="G363" i="32"/>
  <c r="S92" i="21" s="1"/>
  <c r="G379" i="32"/>
  <c r="Z82" i="21" s="1"/>
  <c r="C193" i="32"/>
  <c r="N623" i="32"/>
  <c r="O623" i="32" s="1"/>
  <c r="I128" i="5"/>
  <c r="G98" i="1" s="1"/>
  <c r="J128" i="5"/>
  <c r="D315" i="32"/>
  <c r="M315" i="32"/>
  <c r="E99" i="21"/>
  <c r="G268" i="32"/>
  <c r="G350" i="32"/>
  <c r="G354" i="32"/>
  <c r="S83" i="21" s="1"/>
  <c r="G380" i="32"/>
  <c r="Z83" i="21" s="1"/>
  <c r="G384" i="32"/>
  <c r="Z87" i="21" s="1"/>
  <c r="G358" i="32"/>
  <c r="S87" i="21" s="1"/>
  <c r="O123" i="17"/>
  <c r="O122" i="17"/>
  <c r="M317" i="32"/>
  <c r="D317" i="32"/>
  <c r="AB78" i="19"/>
  <c r="M313" i="32"/>
  <c r="D313" i="32"/>
  <c r="AB86" i="19"/>
  <c r="P123" i="26"/>
  <c r="P122" i="26"/>
  <c r="T88" i="19"/>
  <c r="T8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Z89" i="21" s="1"/>
  <c r="G360" i="32"/>
  <c r="S89" i="21" s="1"/>
  <c r="D306" i="32"/>
  <c r="M306" i="32"/>
  <c r="D311" i="32"/>
  <c r="M311" i="32"/>
  <c r="D307" i="32"/>
  <c r="M307" i="32"/>
  <c r="D312" i="32"/>
  <c r="M312" i="32"/>
  <c r="C698" i="32"/>
  <c r="D692" i="32"/>
  <c r="D301" i="32"/>
  <c r="M301" i="32"/>
  <c r="V123" i="26"/>
  <c r="V122" i="26"/>
  <c r="G393" i="32"/>
  <c r="Z96" i="21" s="1"/>
  <c r="G367" i="32"/>
  <c r="S96" i="21" s="1"/>
  <c r="L122" i="26"/>
  <c r="L123" i="26"/>
  <c r="AB80" i="19"/>
  <c r="Q123" i="26"/>
  <c r="Q122" i="26"/>
  <c r="L47" i="21"/>
  <c r="L99" i="21"/>
  <c r="M304" i="32"/>
  <c r="D304" i="32"/>
  <c r="G361" i="32"/>
  <c r="S90" i="21" s="1"/>
  <c r="G387" i="32"/>
  <c r="Z90" i="21" s="1"/>
  <c r="M300" i="32"/>
  <c r="D300" i="32"/>
  <c r="G359" i="32"/>
  <c r="S88" i="21" s="1"/>
  <c r="G385" i="32"/>
  <c r="Z88" i="21" s="1"/>
  <c r="N629" i="32"/>
  <c r="O629" i="32" s="1"/>
  <c r="C199" i="32"/>
  <c r="N122" i="26"/>
  <c r="N123" i="26"/>
  <c r="AB68" i="19"/>
  <c r="P122" i="17"/>
  <c r="P123" i="17"/>
  <c r="T147" i="11" l="1"/>
  <c r="T149" i="11" s="1"/>
  <c r="T51" i="5" s="1"/>
  <c r="J123" i="17"/>
  <c r="S155" i="11"/>
  <c r="R17" i="15" s="1"/>
  <c r="M55" i="16"/>
  <c r="T40" i="5"/>
  <c r="Z79" i="21"/>
  <c r="Z99" i="21" s="1"/>
  <c r="G396" i="32"/>
  <c r="E148" i="21"/>
  <c r="F127" i="21"/>
  <c r="I122" i="26"/>
  <c r="J122" i="26"/>
  <c r="M319" i="32"/>
  <c r="F238" i="32"/>
  <c r="C102" i="21"/>
  <c r="V61" i="21"/>
  <c r="BD64" i="1"/>
  <c r="J122" i="17"/>
  <c r="I122" i="17"/>
  <c r="M60" i="16"/>
  <c r="M70" i="6"/>
  <c r="M71" i="6" s="1"/>
  <c r="N68" i="6" s="1"/>
  <c r="O39" i="17"/>
  <c r="G734" i="32" s="1"/>
  <c r="J603" i="32"/>
  <c r="AB88" i="19"/>
  <c r="AB8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0" i="16"/>
  <c r="M94" i="6"/>
  <c r="M62" i="16"/>
  <c r="N59" i="16" s="1"/>
  <c r="U101" i="11"/>
  <c r="U41" i="5" s="1"/>
  <c r="AG117" i="11"/>
  <c r="AH114" i="11" s="1"/>
  <c r="AH116" i="11" s="1"/>
  <c r="AG44" i="5"/>
  <c r="K603" i="32" s="1"/>
  <c r="U149" i="11"/>
  <c r="U51" i="5" s="1"/>
  <c r="S17" i="15" l="1"/>
  <c r="G602" i="32"/>
  <c r="U40" i="5"/>
  <c r="L113" i="5"/>
  <c r="M71" i="16"/>
  <c r="M72" i="16" s="1"/>
  <c r="N69"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39" i="19"/>
  <c r="L110" i="5"/>
  <c r="L108" i="26"/>
  <c r="I72" i="1"/>
  <c r="D627" i="32"/>
  <c r="L108" i="17"/>
  <c r="L286" i="11"/>
  <c r="G615" i="32"/>
  <c r="U155" i="11"/>
  <c r="M100" i="6"/>
  <c r="M101" i="6" s="1"/>
  <c r="N98" i="6" s="1"/>
  <c r="L54" i="19"/>
  <c r="G648" i="32" l="1"/>
  <c r="G655" i="32" s="1"/>
  <c r="T25" i="15"/>
  <c r="T24" i="15" s="1"/>
  <c r="V152" i="11"/>
  <c r="T17" i="15"/>
  <c r="G641" i="32" s="1"/>
  <c r="D758" i="32"/>
  <c r="L105" i="17"/>
  <c r="G611" i="32"/>
  <c r="V101" i="11"/>
  <c r="V41" i="5" s="1"/>
  <c r="L130" i="5"/>
  <c r="L133" i="5"/>
  <c r="L129" i="5"/>
  <c r="L67" i="5"/>
  <c r="L120" i="5" s="1"/>
  <c r="L122" i="5" s="1"/>
  <c r="L287" i="11"/>
  <c r="D616" i="32"/>
  <c r="L36" i="19"/>
  <c r="L42" i="19"/>
  <c r="L41" i="19"/>
  <c r="W67" i="19"/>
  <c r="L48" i="19"/>
  <c r="L49" i="19"/>
  <c r="L57" i="19"/>
  <c r="L56" i="19"/>
  <c r="K78" i="21"/>
  <c r="AP94" i="1"/>
  <c r="D197" i="32"/>
  <c r="L105" i="26"/>
  <c r="AJ117" i="11"/>
  <c r="AK114" i="11" s="1"/>
  <c r="AK116" i="11" s="1"/>
  <c r="AJ44" i="5"/>
  <c r="L603" i="32" s="1"/>
  <c r="C603" i="32" s="1"/>
  <c r="V149" i="11"/>
  <c r="V51" i="5" s="1"/>
  <c r="V150" i="11" l="1"/>
  <c r="U26" i="15" s="1"/>
  <c r="K16" i="15"/>
  <c r="M121" i="5"/>
  <c r="J45" i="6"/>
  <c r="N44" i="6"/>
  <c r="AQ94" i="1"/>
  <c r="L132" i="5"/>
  <c r="L125" i="26"/>
  <c r="L124" i="26"/>
  <c r="L62" i="26"/>
  <c r="L115" i="26" s="1"/>
  <c r="L117" i="26" s="1"/>
  <c r="M116" i="26" s="1"/>
  <c r="K127" i="21"/>
  <c r="AA67" i="19"/>
  <c r="D631" i="32"/>
  <c r="D633" i="32" s="1"/>
  <c r="V40" i="5"/>
  <c r="V154" i="11"/>
  <c r="V53" i="5" s="1"/>
  <c r="V49" i="5" s="1"/>
  <c r="D186" i="32"/>
  <c r="M78" i="21"/>
  <c r="S375" i="32"/>
  <c r="T375" i="32" s="1"/>
  <c r="L131" i="5"/>
  <c r="V102" i="11"/>
  <c r="L124" i="17"/>
  <c r="L125" i="17"/>
  <c r="L62" i="17"/>
  <c r="L115" i="17" s="1"/>
  <c r="L117" i="17" s="1"/>
  <c r="AK117" i="11"/>
  <c r="AL114" i="11" s="1"/>
  <c r="AL116" i="11" s="1"/>
  <c r="AK44" i="5"/>
  <c r="Q375" i="32"/>
  <c r="R375" i="32" s="1"/>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E763" i="32"/>
  <c r="D203" i="32"/>
  <c r="M15" i="5"/>
  <c r="M14" i="5" s="1"/>
  <c r="N66" i="6" s="1"/>
  <c r="D661" i="32"/>
  <c r="V26" i="15" l="1"/>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28" i="19"/>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M30" i="19"/>
  <c r="M25" i="19"/>
  <c r="M31" i="19"/>
  <c r="X101" i="11"/>
  <c r="X41" i="5" s="1"/>
  <c r="M21" i="18"/>
  <c r="H648" i="32"/>
  <c r="M19" i="19"/>
  <c r="M14" i="19"/>
  <c r="M20" i="19"/>
  <c r="Y150" i="11" l="1"/>
  <c r="X26" i="15" s="1"/>
  <c r="X155" i="11"/>
  <c r="X102" i="11"/>
  <c r="AP117" i="11"/>
  <c r="AQ114" i="11" s="1"/>
  <c r="N94" i="6"/>
  <c r="N99" i="6" s="1"/>
  <c r="N90" i="6"/>
  <c r="H602" i="32"/>
  <c r="X40" i="5"/>
  <c r="X49" i="5"/>
  <c r="H615" i="32"/>
  <c r="M126" i="5"/>
  <c r="M125" i="5"/>
  <c r="M123" i="5"/>
  <c r="M124" i="5"/>
  <c r="F779" i="32"/>
  <c r="Z147" i="11" l="1"/>
  <c r="Z149" i="11" s="1"/>
  <c r="Z51" i="5" s="1"/>
  <c r="H611" i="32"/>
  <c r="Y99" i="11"/>
  <c r="W28" i="15"/>
  <c r="N100" i="6"/>
  <c r="M54" i="19"/>
  <c r="N91" i="6"/>
  <c r="O88" i="6" s="1"/>
  <c r="M113" i="5"/>
  <c r="N95" i="6"/>
  <c r="N96" i="6" s="1"/>
  <c r="O93" i="6" s="1"/>
  <c r="AQ116" i="11"/>
  <c r="AQ44" i="5" s="1"/>
  <c r="W17" i="15"/>
  <c r="Y152" i="11"/>
  <c r="Z150" i="11" l="1"/>
  <c r="AA147" i="11" s="1"/>
  <c r="AQ117" i="11"/>
  <c r="AR114" i="11" s="1"/>
  <c r="AR116" i="11" s="1"/>
  <c r="AR44" i="5" s="1"/>
  <c r="Y154" i="11"/>
  <c r="Y53" i="5" s="1"/>
  <c r="M110" i="5"/>
  <c r="M39" i="19"/>
  <c r="M286" i="11"/>
  <c r="M23" i="18"/>
  <c r="H650" i="32"/>
  <c r="H655" i="32" s="1"/>
  <c r="W25" i="15"/>
  <c r="W24" i="15" s="1"/>
  <c r="H641" i="32"/>
  <c r="M12" i="18"/>
  <c r="M56" i="19"/>
  <c r="M57" i="19"/>
  <c r="Y101" i="11"/>
  <c r="Y41" i="5" s="1"/>
  <c r="N101" i="6"/>
  <c r="O98" i="6" s="1"/>
  <c r="Y26" i="15" l="1"/>
  <c r="Y155" i="11"/>
  <c r="Z152" i="11" s="1"/>
  <c r="Y102" i="11"/>
  <c r="Z99" i="11" s="1"/>
  <c r="AR117" i="11"/>
  <c r="AS114" i="11" s="1"/>
  <c r="AS116" i="11" s="1"/>
  <c r="AS44" i="5" s="1"/>
  <c r="M41" i="19"/>
  <c r="M36" i="19"/>
  <c r="M42" i="19"/>
  <c r="M49" i="19"/>
  <c r="M48" i="19"/>
  <c r="AA149" i="11"/>
  <c r="AA51" i="5" s="1"/>
  <c r="M287" i="11"/>
  <c r="F772" i="32"/>
  <c r="E211" i="32"/>
  <c r="E219" i="32"/>
  <c r="E224" i="32" s="1"/>
  <c r="F781" i="32"/>
  <c r="F786" i="32" s="1"/>
  <c r="M20" i="18"/>
  <c r="M19" i="18" s="1"/>
  <c r="M130" i="5"/>
  <c r="M133" i="5"/>
  <c r="M67" i="5"/>
  <c r="M120" i="5" s="1"/>
  <c r="M122" i="5" s="1"/>
  <c r="M129"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M132" i="5"/>
  <c r="M131" i="5"/>
  <c r="AB147" i="11" l="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54" i="11"/>
  <c r="AA53" i="5" s="1"/>
  <c r="N285" i="11"/>
  <c r="O62" i="6"/>
  <c r="N15" i="5"/>
  <c r="N14" i="5" s="1"/>
  <c r="O66" i="6" s="1"/>
  <c r="O75" i="6" s="1"/>
  <c r="AU117" i="11"/>
  <c r="AV114" i="11" s="1"/>
  <c r="AC147" i="11" l="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N19" i="19"/>
  <c r="N20" i="19"/>
  <c r="N14" i="19"/>
  <c r="N28" i="19"/>
  <c r="N103" i="5"/>
  <c r="O81" i="6"/>
  <c r="P78" i="6" s="1"/>
  <c r="Z25" i="15" l="1"/>
  <c r="Z24" i="15" s="1"/>
  <c r="AB26" i="15"/>
  <c r="AW117" i="11"/>
  <c r="AX114" i="11" s="1"/>
  <c r="AX116" i="11" s="1"/>
  <c r="AX117" i="11" s="1"/>
  <c r="AY114" i="11" s="1"/>
  <c r="AY116" i="11" s="1"/>
  <c r="AB154" i="11"/>
  <c r="AB53" i="5" s="1"/>
  <c r="AB40" i="5"/>
  <c r="O71" i="6"/>
  <c r="P68" i="6" s="1"/>
  <c r="O89" i="6"/>
  <c r="N100" i="5"/>
  <c r="N31" i="19"/>
  <c r="N25" i="19"/>
  <c r="N30" i="19"/>
  <c r="N124" i="5"/>
  <c r="N123" i="5"/>
  <c r="AD149" i="11"/>
  <c r="AD51" i="5" s="1"/>
  <c r="AB102" i="11"/>
  <c r="AX44" i="5" l="1"/>
  <c r="AB155" i="11"/>
  <c r="AC152" i="11" s="1"/>
  <c r="AD150" i="11"/>
  <c r="AE147" i="11" s="1"/>
  <c r="O94" i="6"/>
  <c r="O90" i="6"/>
  <c r="AC99" i="11"/>
  <c r="AA28" i="15"/>
  <c r="AA25" i="15" s="1"/>
  <c r="AA24" i="15" s="1"/>
  <c r="N126" i="5"/>
  <c r="N125" i="5"/>
  <c r="AY117" i="11"/>
  <c r="AZ114" i="11" s="1"/>
  <c r="AZ116" i="11" s="1"/>
  <c r="AY44" i="5"/>
  <c r="AB49" i="5"/>
  <c r="AA17" i="15" l="1"/>
  <c r="AC26" i="15"/>
  <c r="J648" i="32" s="1"/>
  <c r="AZ117" i="11"/>
  <c r="BA114" i="11" s="1"/>
  <c r="BA116" i="11" s="1"/>
  <c r="AZ44" i="5"/>
  <c r="AC101" i="11"/>
  <c r="AC41" i="5" s="1"/>
  <c r="O99" i="6"/>
  <c r="O95" i="6"/>
  <c r="O96" i="6" s="1"/>
  <c r="P93" i="6" s="1"/>
  <c r="AC154" i="11"/>
  <c r="AC53" i="5" s="1"/>
  <c r="AE149" i="11"/>
  <c r="AE51" i="5" s="1"/>
  <c r="O91" i="6"/>
  <c r="P88" i="6" s="1"/>
  <c r="N113" i="5"/>
  <c r="N21" i="18" l="1"/>
  <c r="G779" i="32" s="1"/>
  <c r="AC102" i="11"/>
  <c r="AD99" i="11" s="1"/>
  <c r="AE150" i="11"/>
  <c r="AF147" i="11" s="1"/>
  <c r="AC155" i="11"/>
  <c r="AD152" i="11" s="1"/>
  <c r="N54" i="19"/>
  <c r="O100" i="6"/>
  <c r="AC49" i="5"/>
  <c r="N110" i="5"/>
  <c r="N39" i="19"/>
  <c r="N286" i="11"/>
  <c r="AC40" i="5"/>
  <c r="BA117" i="11"/>
  <c r="BB114" i="11" s="1"/>
  <c r="BB116" i="11" s="1"/>
  <c r="BA44" i="5"/>
  <c r="AB28" i="15" l="1"/>
  <c r="AB25" i="15" s="1"/>
  <c r="AB24" i="15" s="1"/>
  <c r="AD26" i="15"/>
  <c r="AB17" i="15"/>
  <c r="AF149" i="11"/>
  <c r="AF51" i="5" s="1"/>
  <c r="N67" i="5"/>
  <c r="N120" i="5" s="1"/>
  <c r="N122" i="5" s="1"/>
  <c r="N133" i="5"/>
  <c r="N129" i="5"/>
  <c r="N130" i="5"/>
  <c r="O101" i="6"/>
  <c r="P98" i="6" s="1"/>
  <c r="N56" i="19"/>
  <c r="N57" i="19"/>
  <c r="AD154" i="11"/>
  <c r="AD53" i="5" s="1"/>
  <c r="N287" i="11"/>
  <c r="N36" i="19"/>
  <c r="N42" i="19"/>
  <c r="N41" i="19"/>
  <c r="N48" i="19"/>
  <c r="N49" i="19"/>
  <c r="AD101" i="11"/>
  <c r="AD41" i="5" s="1"/>
  <c r="BB117" i="11"/>
  <c r="BC114" i="11" s="1"/>
  <c r="BC116" i="11" s="1"/>
  <c r="BB44" i="5"/>
  <c r="AD155" i="11" l="1"/>
  <c r="AE152" i="11" s="1"/>
  <c r="AF150" i="11"/>
  <c r="AE26" i="15" s="1"/>
  <c r="AD102" i="11"/>
  <c r="AE99" i="11" s="1"/>
  <c r="P44" i="6"/>
  <c r="M16" i="15"/>
  <c r="M15" i="15" s="1"/>
  <c r="M14" i="15" s="1"/>
  <c r="O121" i="5"/>
  <c r="BC117" i="11"/>
  <c r="BD114" i="11" s="1"/>
  <c r="BD116" i="11" s="1"/>
  <c r="BC44" i="5"/>
  <c r="N132" i="5"/>
  <c r="AD49" i="5"/>
  <c r="J615" i="32"/>
  <c r="J611" i="32" s="1"/>
  <c r="N131"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54" i="11"/>
  <c r="AE53" i="5" s="1"/>
  <c r="O20" i="5"/>
  <c r="P43" i="6"/>
  <c r="P42" i="6" s="1"/>
  <c r="P55" i="6" s="1"/>
  <c r="P57" i="6" s="1"/>
  <c r="E562" i="32"/>
  <c r="I26" i="35"/>
  <c r="F26" i="30"/>
  <c r="N12" i="18" l="1"/>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K648" i="32"/>
  <c r="BF117" i="11"/>
  <c r="BG114" i="11" s="1"/>
  <c r="BG116" i="11" s="1"/>
  <c r="BF44" i="5"/>
  <c r="AH150" i="11" l="1"/>
  <c r="AG26" i="15" s="1"/>
  <c r="AF155" i="11"/>
  <c r="AG152" i="11" s="1"/>
  <c r="O14" i="19"/>
  <c r="O19" i="19"/>
  <c r="O20" i="19"/>
  <c r="O95" i="5"/>
  <c r="E625" i="32"/>
  <c r="I48" i="35"/>
  <c r="E585" i="32"/>
  <c r="AF40" i="5"/>
  <c r="AG99" i="11"/>
  <c r="AE28" i="15"/>
  <c r="AE25" i="15" s="1"/>
  <c r="AE24" i="15" s="1"/>
  <c r="AF49" i="5"/>
  <c r="P70" i="6"/>
  <c r="O103" i="5"/>
  <c r="O28" i="19"/>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O31" i="19"/>
  <c r="O25" i="19"/>
  <c r="O30" i="19"/>
  <c r="O100" i="5"/>
  <c r="E626" i="32"/>
  <c r="O123" i="5"/>
  <c r="O124" i="5"/>
  <c r="AG102" i="11" l="1"/>
  <c r="AH99" i="11" s="1"/>
  <c r="AG155" i="11"/>
  <c r="AF17" i="15" s="1"/>
  <c r="K641" i="32" s="1"/>
  <c r="O125" i="5"/>
  <c r="O126"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P91" i="6"/>
  <c r="Q88" i="6" s="1"/>
  <c r="O113" i="5"/>
  <c r="AJ147" i="11"/>
  <c r="AH26" i="15"/>
  <c r="AF25" i="15" l="1"/>
  <c r="AF24" i="15" s="1"/>
  <c r="AH154" i="11"/>
  <c r="AH53" i="5" s="1"/>
  <c r="AH49" i="5" s="1"/>
  <c r="AJ149" i="11"/>
  <c r="AJ51" i="5" s="1"/>
  <c r="AH40" i="5"/>
  <c r="O39" i="19"/>
  <c r="O110" i="5"/>
  <c r="E627" i="32"/>
  <c r="O286" i="11"/>
  <c r="AH102" i="11"/>
  <c r="P100" i="6"/>
  <c r="P101" i="6" s="1"/>
  <c r="Q98" i="6" s="1"/>
  <c r="O54" i="19"/>
  <c r="BK117" i="11"/>
  <c r="BL114" i="11" s="1"/>
  <c r="BL116" i="11" s="1"/>
  <c r="BK44" i="5"/>
  <c r="AH155" i="11" l="1"/>
  <c r="AJ150" i="11"/>
  <c r="AI26" i="15" s="1"/>
  <c r="O56" i="19"/>
  <c r="O57" i="19"/>
  <c r="BL117" i="11"/>
  <c r="BM114" i="11" s="1"/>
  <c r="BM116" i="11" s="1"/>
  <c r="BL44" i="5"/>
  <c r="AI99" i="11"/>
  <c r="AG28" i="15"/>
  <c r="AG25" i="15" s="1"/>
  <c r="AG24" i="15" s="1"/>
  <c r="O41" i="19"/>
  <c r="O36" i="19"/>
  <c r="O42" i="19"/>
  <c r="O48" i="19"/>
  <c r="O49" i="19"/>
  <c r="E616" i="32"/>
  <c r="O287" i="11"/>
  <c r="O130" i="5"/>
  <c r="O133" i="5"/>
  <c r="O129" i="5"/>
  <c r="O67" i="5"/>
  <c r="O120" i="5" s="1"/>
  <c r="O122" i="5" s="1"/>
  <c r="AK147" i="11" l="1"/>
  <c r="AK149" i="11" s="1"/>
  <c r="AK51" i="5" s="1"/>
  <c r="AI152" i="11"/>
  <c r="AI154" i="11" s="1"/>
  <c r="AI53" i="5" s="1"/>
  <c r="AI49" i="5" s="1"/>
  <c r="AG17" i="15"/>
  <c r="E631" i="32"/>
  <c r="E633" i="32" s="1"/>
  <c r="O132" i="5"/>
  <c r="N16" i="15"/>
  <c r="P121" i="5"/>
  <c r="Q44" i="6"/>
  <c r="N39" i="15"/>
  <c r="P284" i="11"/>
  <c r="AI101" i="11"/>
  <c r="AI41" i="5" s="1"/>
  <c r="O131" i="5"/>
  <c r="O21" i="18"/>
  <c r="L648" i="32"/>
  <c r="BM117" i="11"/>
  <c r="BN114" i="11" s="1"/>
  <c r="BN116" i="11" s="1"/>
  <c r="BM44" i="5"/>
  <c r="AI155" i="11" l="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BP117" i="11"/>
  <c r="BQ114" i="11" s="1"/>
  <c r="BQ116" i="11" s="1"/>
  <c r="BP44" i="5"/>
  <c r="AL149" i="11"/>
  <c r="AL51" i="5" s="1"/>
  <c r="AI17" i="15" l="1"/>
  <c r="L641" i="32" s="1"/>
  <c r="AJ102" i="11"/>
  <c r="AK99" i="11" s="1"/>
  <c r="P103" i="5"/>
  <c r="P28" i="19"/>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P20" i="19"/>
  <c r="P14" i="19"/>
  <c r="P19" i="19"/>
  <c r="AK49" i="5"/>
  <c r="Q89" i="6"/>
  <c r="BR117" i="11"/>
  <c r="BS114" i="11" s="1"/>
  <c r="BS116" i="11" s="1"/>
  <c r="BR44" i="5"/>
  <c r="P95" i="5"/>
  <c r="AK26" i="15"/>
  <c r="AM147" i="11"/>
  <c r="AK155" i="11"/>
  <c r="P30" i="19"/>
  <c r="P25" i="19"/>
  <c r="P31" i="19"/>
  <c r="H772" i="32" l="1"/>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6" i="5"/>
  <c r="P125" i="5"/>
  <c r="P123" i="5"/>
  <c r="P124" i="5"/>
  <c r="AK102" i="11"/>
  <c r="AM150" i="11" l="1"/>
  <c r="AN147" i="11" s="1"/>
  <c r="BT117" i="11"/>
  <c r="BU114" i="11" s="1"/>
  <c r="BU116" i="11" s="1"/>
  <c r="BT44" i="5"/>
  <c r="Q91" i="6"/>
  <c r="R88" i="6" s="1"/>
  <c r="P113" i="5"/>
  <c r="AL99" i="11"/>
  <c r="AJ28" i="15"/>
  <c r="AJ25" i="15" s="1"/>
  <c r="AJ24" i="15" s="1"/>
  <c r="Q100" i="6"/>
  <c r="Q101" i="6" s="1"/>
  <c r="R98" i="6" s="1"/>
  <c r="P54" i="19"/>
  <c r="Q95" i="6"/>
  <c r="Q96" i="6" s="1"/>
  <c r="R93" i="6" s="1"/>
  <c r="AL154" i="11"/>
  <c r="AL53" i="5" s="1"/>
  <c r="AL26" i="15" l="1"/>
  <c r="AL155" i="11"/>
  <c r="AM152" i="11" s="1"/>
  <c r="P110" i="5"/>
  <c r="P39" i="19"/>
  <c r="P286" i="11"/>
  <c r="AN149" i="11"/>
  <c r="AN51" i="5" s="1"/>
  <c r="AL101" i="11"/>
  <c r="AL41" i="5" s="1"/>
  <c r="AL49" i="5"/>
  <c r="P56" i="19"/>
  <c r="P57" i="19"/>
  <c r="BU117" i="11"/>
  <c r="BV114" i="11" s="1"/>
  <c r="BV116" i="11" s="1"/>
  <c r="BU44" i="5"/>
  <c r="AK17" i="15" l="1"/>
  <c r="AN150" i="11"/>
  <c r="AO147" i="11" s="1"/>
  <c r="AL40" i="5"/>
  <c r="BV117" i="11"/>
  <c r="BW114" i="11" s="1"/>
  <c r="BW116" i="11" s="1"/>
  <c r="BV44" i="5"/>
  <c r="P287" i="11"/>
  <c r="P42" i="19"/>
  <c r="P36" i="19"/>
  <c r="P41" i="19"/>
  <c r="P49" i="19"/>
  <c r="P48" i="19"/>
  <c r="AL102" i="11"/>
  <c r="AM154" i="11"/>
  <c r="AM53" i="5" s="1"/>
  <c r="P67" i="5"/>
  <c r="P120" i="5" s="1"/>
  <c r="P122" i="5" s="1"/>
  <c r="P133" i="5"/>
  <c r="P129" i="5"/>
  <c r="P130" i="5"/>
  <c r="AM26" i="15" l="1"/>
  <c r="P131" i="5"/>
  <c r="Q284" i="11"/>
  <c r="O39" i="15"/>
  <c r="O38" i="15" s="1"/>
  <c r="O34" i="15" s="1"/>
  <c r="O40" i="15" s="1"/>
  <c r="AO149" i="11"/>
  <c r="AO51" i="5" s="1"/>
  <c r="AM49" i="5"/>
  <c r="AM99" i="11"/>
  <c r="AK28" i="15"/>
  <c r="AK25" i="15" s="1"/>
  <c r="AK24" i="15" s="1"/>
  <c r="Q121" i="5"/>
  <c r="R44" i="6"/>
  <c r="O16" i="15"/>
  <c r="O15" i="15" s="1"/>
  <c r="O14" i="15" s="1"/>
  <c r="P132" i="5"/>
  <c r="AM155" i="11"/>
  <c r="BW117" i="11"/>
  <c r="BX114" i="11" s="1"/>
  <c r="BX116" i="11" s="1"/>
  <c r="BW44" i="5"/>
  <c r="AL17" i="15" l="1"/>
  <c r="AN152" i="11"/>
  <c r="O41" i="15"/>
  <c r="AM101" i="11"/>
  <c r="AM41" i="5" s="1"/>
  <c r="Q20" i="5"/>
  <c r="R43" i="6"/>
  <c r="R42" i="6" s="1"/>
  <c r="R55" i="6" s="1"/>
  <c r="R57" i="6" s="1"/>
  <c r="BX117" i="11"/>
  <c r="BY114" i="11" s="1"/>
  <c r="BY116" i="11" s="1"/>
  <c r="BX44" i="5"/>
  <c r="AO150" i="11"/>
  <c r="AP147" i="11" l="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Q28" i="19"/>
  <c r="R81" i="6"/>
  <c r="S78" i="6" s="1"/>
  <c r="AN101" i="11"/>
  <c r="AN41" i="5" s="1"/>
  <c r="AO26" i="15" l="1"/>
  <c r="P21" i="18" s="1"/>
  <c r="AN102" i="11"/>
  <c r="AM28" i="15" s="1"/>
  <c r="AM25" i="15" s="1"/>
  <c r="AM24" i="15" s="1"/>
  <c r="AO155" i="11"/>
  <c r="Q100" i="5"/>
  <c r="R71" i="6"/>
  <c r="S68" i="6" s="1"/>
  <c r="R89" i="6"/>
  <c r="Q123" i="5"/>
  <c r="Q124" i="5"/>
  <c r="AO49" i="5"/>
  <c r="AQ149" i="11"/>
  <c r="AQ51" i="5" s="1"/>
  <c r="AN40" i="5"/>
  <c r="Q30" i="19"/>
  <c r="Q25" i="19"/>
  <c r="Q31" i="19"/>
  <c r="CB117" i="11"/>
  <c r="CC114" i="11" s="1"/>
  <c r="CC116" i="11" s="1"/>
  <c r="CB44" i="5"/>
  <c r="AO99" i="11" l="1"/>
  <c r="AO101" i="11" s="1"/>
  <c r="AO41" i="5" s="1"/>
  <c r="AQ150" i="11"/>
  <c r="AR147" i="11" s="1"/>
  <c r="CC117" i="11"/>
  <c r="CD114" i="11" s="1"/>
  <c r="CD116" i="11" s="1"/>
  <c r="CC44" i="5"/>
  <c r="R94" i="6"/>
  <c r="R90" i="6"/>
  <c r="R91" i="6" s="1"/>
  <c r="S88" i="6" s="1"/>
  <c r="Q125" i="5"/>
  <c r="Q126" i="5"/>
  <c r="AN17" i="15"/>
  <c r="AP152" i="11"/>
  <c r="AP26" i="15" l="1"/>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40" i="5" s="1"/>
  <c r="AP155" i="11"/>
  <c r="AO17" i="15" s="1"/>
  <c r="P12" i="18" s="1"/>
  <c r="AR150" i="11"/>
  <c r="AQ26" i="15" s="1"/>
  <c r="CE117" i="11"/>
  <c r="CF114" i="11" s="1"/>
  <c r="CF116" i="11" s="1"/>
  <c r="CE44" i="5"/>
  <c r="Q110" i="5"/>
  <c r="Q39" i="19"/>
  <c r="Q286" i="11"/>
  <c r="Q287" i="11" s="1"/>
  <c r="R100" i="6"/>
  <c r="Q54" i="19"/>
  <c r="AQ152" i="11" l="1"/>
  <c r="AQ154" i="11" s="1"/>
  <c r="AQ53" i="5" s="1"/>
  <c r="AS147" i="11"/>
  <c r="AS149" i="11" s="1"/>
  <c r="AS51" i="5" s="1"/>
  <c r="AP102" i="11"/>
  <c r="AO28" i="15" s="1"/>
  <c r="Q42" i="19"/>
  <c r="Q36" i="19"/>
  <c r="Q41" i="19"/>
  <c r="Q48" i="19"/>
  <c r="Q49" i="19"/>
  <c r="CF117" i="11"/>
  <c r="CG114" i="11" s="1"/>
  <c r="CG116" i="11" s="1"/>
  <c r="CF44" i="5"/>
  <c r="Q56" i="19"/>
  <c r="Q57" i="19"/>
  <c r="Q130" i="5"/>
  <c r="Q132" i="5" s="1"/>
  <c r="Q67" i="5"/>
  <c r="Q120" i="5" s="1"/>
  <c r="Q122" i="5" s="1"/>
  <c r="Q129" i="5"/>
  <c r="Q131" i="5" s="1"/>
  <c r="Q133" i="5"/>
  <c r="P39" i="15"/>
  <c r="P38" i="15" s="1"/>
  <c r="P34" i="15" s="1"/>
  <c r="P40" i="15" s="1"/>
  <c r="R284" i="11"/>
  <c r="R101" i="6"/>
  <c r="S98" i="6" s="1"/>
  <c r="AQ99" i="11" l="1"/>
  <c r="AQ101" i="11" s="1"/>
  <c r="AQ41" i="5" s="1"/>
  <c r="AS150" i="11"/>
  <c r="AR26" i="15" s="1"/>
  <c r="AQ155" i="11"/>
  <c r="AR152" i="11" s="1"/>
  <c r="R121" i="5"/>
  <c r="S44" i="6"/>
  <c r="P16" i="15"/>
  <c r="P15" i="15" s="1"/>
  <c r="P14" i="15" s="1"/>
  <c r="P41" i="15" s="1"/>
  <c r="AQ49" i="5"/>
  <c r="P23" i="18"/>
  <c r="P20" i="18" s="1"/>
  <c r="P19" i="18" s="1"/>
  <c r="AO25" i="15"/>
  <c r="AO24" i="15" s="1"/>
  <c r="CG117" i="11"/>
  <c r="CH114" i="11" s="1"/>
  <c r="CH116" i="11" s="1"/>
  <c r="CG44" i="5"/>
  <c r="AP17" i="15" l="1"/>
  <c r="AT147" i="11"/>
  <c r="F456" i="32"/>
  <c r="J37" i="35"/>
  <c r="G34" i="30"/>
  <c r="J35" i="35"/>
  <c r="G36" i="30"/>
  <c r="AQ40" i="5"/>
  <c r="R20" i="5"/>
  <c r="S43" i="6"/>
  <c r="S42" i="6" s="1"/>
  <c r="S55" i="6" s="1"/>
  <c r="S57" i="6" s="1"/>
  <c r="G26" i="30"/>
  <c r="F562" i="32"/>
  <c r="J26" i="35"/>
  <c r="CH117" i="11"/>
  <c r="CI114" i="11" s="1"/>
  <c r="CI116" i="11" s="1"/>
  <c r="CH44" i="5"/>
  <c r="AQ102" i="11"/>
  <c r="AR154" i="11"/>
  <c r="AR53" i="5" s="1"/>
  <c r="AT149" i="11"/>
  <c r="AT51" i="5" s="1"/>
  <c r="AT150" i="11" l="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CJ117" i="11"/>
  <c r="CK114" i="11" s="1"/>
  <c r="CK116" i="11" s="1"/>
  <c r="CJ44" i="5"/>
  <c r="AU150" i="11" l="1"/>
  <c r="AT26" i="15" s="1"/>
  <c r="AR40" i="5"/>
  <c r="G47" i="30"/>
  <c r="R103" i="5"/>
  <c r="R28" i="19"/>
  <c r="G46" i="30"/>
  <c r="G48" i="30" s="1"/>
  <c r="J47" i="35"/>
  <c r="J49" i="35" s="1"/>
  <c r="S81" i="6"/>
  <c r="T78" i="6" s="1"/>
  <c r="AS154" i="11"/>
  <c r="AS53" i="5" s="1"/>
  <c r="J48" i="35"/>
  <c r="S71" i="6"/>
  <c r="T68" i="6" s="1"/>
  <c r="S89" i="6"/>
  <c r="N80" i="16"/>
  <c r="N73" i="16"/>
  <c r="N76" i="16" s="1"/>
  <c r="F585" i="32"/>
  <c r="CK117" i="11"/>
  <c r="CL114" i="11" s="1"/>
  <c r="CL116" i="11" s="1"/>
  <c r="CK44" i="5"/>
  <c r="R95" i="5"/>
  <c r="F625" i="32"/>
  <c r="AR102" i="11"/>
  <c r="R14" i="19"/>
  <c r="R19" i="19"/>
  <c r="R20" i="19"/>
  <c r="AV147" i="11" l="1"/>
  <c r="AV149" i="11" s="1"/>
  <c r="AV51" i="5" s="1"/>
  <c r="R31" i="19"/>
  <c r="R30" i="19"/>
  <c r="R25" i="19"/>
  <c r="CL117" i="11"/>
  <c r="CM114" i="11" s="1"/>
  <c r="CM116" i="11" s="1"/>
  <c r="CL44" i="5"/>
  <c r="N77" i="16"/>
  <c r="AS49" i="5"/>
  <c r="AS99" i="11"/>
  <c r="AQ28" i="15"/>
  <c r="AQ25" i="15" s="1"/>
  <c r="AQ24" i="15" s="1"/>
  <c r="R100" i="5"/>
  <c r="F626" i="32"/>
  <c r="S94" i="6"/>
  <c r="S90" i="6"/>
  <c r="R113" i="5" s="1"/>
  <c r="R286" i="11" s="1"/>
  <c r="R287" i="11" s="1"/>
  <c r="R123" i="5"/>
  <c r="R124" i="5"/>
  <c r="AS155" i="11"/>
  <c r="AV150" i="11" l="1"/>
  <c r="AU26" i="15" s="1"/>
  <c r="S91" i="6"/>
  <c r="T88" i="6" s="1"/>
  <c r="Q39" i="15"/>
  <c r="S284" i="11"/>
  <c r="AS101" i="11"/>
  <c r="AS41" i="5" s="1"/>
  <c r="AT152" i="11"/>
  <c r="AR17" i="15"/>
  <c r="CM117" i="11"/>
  <c r="CN114" i="11" s="1"/>
  <c r="CN116" i="11" s="1"/>
  <c r="CM44" i="5"/>
  <c r="R39" i="19"/>
  <c r="R110" i="5"/>
  <c r="F627" i="32"/>
  <c r="S99" i="6"/>
  <c r="S95" i="6"/>
  <c r="S96" i="6" s="1"/>
  <c r="T93" i="6" s="1"/>
  <c r="R125" i="5"/>
  <c r="R126" i="5"/>
  <c r="AW147" i="11" l="1"/>
  <c r="AW149" i="11" s="1"/>
  <c r="AW51" i="5" s="1"/>
  <c r="AS102" i="11"/>
  <c r="AT99" i="11" s="1"/>
  <c r="R41" i="19"/>
  <c r="R42" i="19"/>
  <c r="R36" i="19"/>
  <c r="R49" i="19"/>
  <c r="S376" i="32" s="1"/>
  <c r="R48" i="19"/>
  <c r="Q376" i="32" s="1"/>
  <c r="S100" i="6"/>
  <c r="S101" i="6" s="1"/>
  <c r="T98" i="6" s="1"/>
  <c r="R54" i="19"/>
  <c r="Q21" i="18"/>
  <c r="AS40" i="5"/>
  <c r="F616" i="32"/>
  <c r="CN117" i="11"/>
  <c r="CO114" i="11" s="1"/>
  <c r="CO116" i="11" s="1"/>
  <c r="CN44" i="5"/>
  <c r="R129" i="5"/>
  <c r="R131" i="5" s="1"/>
  <c r="R130" i="5"/>
  <c r="R132" i="5" s="1"/>
  <c r="R67" i="5"/>
  <c r="R120" i="5" s="1"/>
  <c r="R122" i="5" s="1"/>
  <c r="R133"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55" i="11"/>
  <c r="R57" i="19"/>
  <c r="R56" i="19"/>
  <c r="AT49" i="5"/>
  <c r="F631" i="32"/>
  <c r="F633" i="32" s="1"/>
  <c r="Q16" i="15"/>
  <c r="S121" i="5"/>
  <c r="T44" i="6"/>
  <c r="AV26" i="15" l="1"/>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Q41" i="15"/>
  <c r="Q42" i="15"/>
  <c r="S15" i="5"/>
  <c r="S14" i="5" s="1"/>
  <c r="T66" i="6" s="1"/>
  <c r="AU102" i="11" l="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S28" i="19"/>
  <c r="T81" i="6"/>
  <c r="U78" i="6" s="1"/>
  <c r="AX26" i="15"/>
  <c r="AZ147" i="11"/>
  <c r="AV101" i="11"/>
  <c r="AV41" i="5" s="1"/>
  <c r="AV40" i="5" s="1"/>
  <c r="S98" i="5"/>
  <c r="S17" i="19"/>
  <c r="T76" i="6"/>
  <c r="U73" i="6" s="1"/>
  <c r="AV152" i="11"/>
  <c r="AT17" i="15"/>
  <c r="T70" i="6"/>
  <c r="AV102" i="11" l="1"/>
  <c r="S100" i="5"/>
  <c r="T71" i="6"/>
  <c r="U68" i="6" s="1"/>
  <c r="AV154" i="11"/>
  <c r="AV53" i="5" s="1"/>
  <c r="AV49" i="5" s="1"/>
  <c r="T89" i="6"/>
  <c r="S19" i="19"/>
  <c r="S20" i="19"/>
  <c r="S14" i="19"/>
  <c r="AZ149" i="11"/>
  <c r="AZ51" i="5" s="1"/>
  <c r="S95" i="5"/>
  <c r="S30" i="19"/>
  <c r="S31" i="19"/>
  <c r="S25" i="19"/>
  <c r="CT117" i="11"/>
  <c r="CU114" i="11" s="1"/>
  <c r="CU116" i="11" s="1"/>
  <c r="CT44" i="5"/>
  <c r="AZ150" i="11" l="1"/>
  <c r="BA147" i="11" s="1"/>
  <c r="AV155" i="11"/>
  <c r="AU17" i="15" s="1"/>
  <c r="Q12" i="18" s="1"/>
  <c r="G211" i="32" s="1"/>
  <c r="T94" i="6"/>
  <c r="T90" i="6"/>
  <c r="S125" i="5"/>
  <c r="S126" i="5"/>
  <c r="CU117" i="11"/>
  <c r="CV114" i="11" s="1"/>
  <c r="CV116" i="11" s="1"/>
  <c r="CU44" i="5"/>
  <c r="S124" i="5"/>
  <c r="S123" i="5"/>
  <c r="AW99" i="11"/>
  <c r="AU28" i="15"/>
  <c r="AY26" i="15" l="1"/>
  <c r="AW152" i="11"/>
  <c r="AW154" i="11" s="1"/>
  <c r="AW53" i="5" s="1"/>
  <c r="T91" i="6"/>
  <c r="U88" i="6" s="1"/>
  <c r="S113" i="5"/>
  <c r="AW101" i="11"/>
  <c r="AW41" i="5" s="1"/>
  <c r="BA149" i="11"/>
  <c r="BA51" i="5" s="1"/>
  <c r="T99" i="6"/>
  <c r="T95" i="6"/>
  <c r="T96" i="6" s="1"/>
  <c r="U93" i="6" s="1"/>
  <c r="Q23" i="18"/>
  <c r="AU25" i="15"/>
  <c r="AU24" i="15" s="1"/>
  <c r="CV117" i="11"/>
  <c r="CW114" i="11" s="1"/>
  <c r="CW116" i="11" s="1"/>
  <c r="CV44" i="5"/>
  <c r="AW102" i="11" l="1"/>
  <c r="AX99" i="11" s="1"/>
  <c r="AW155" i="11"/>
  <c r="AV17" i="15" s="1"/>
  <c r="CW117" i="11"/>
  <c r="CX114" i="11" s="1"/>
  <c r="CX116" i="11" s="1"/>
  <c r="CW44" i="5"/>
  <c r="S110" i="5"/>
  <c r="S39" i="19"/>
  <c r="S286" i="11"/>
  <c r="S287" i="11" s="1"/>
  <c r="T100" i="6"/>
  <c r="S54" i="19"/>
  <c r="AW40" i="5"/>
  <c r="G219" i="32"/>
  <c r="G224" i="32" s="1"/>
  <c r="Q20" i="18"/>
  <c r="Q19" i="18" s="1"/>
  <c r="BA150" i="11"/>
  <c r="AW49" i="5"/>
  <c r="AV28" i="15" l="1"/>
  <c r="AV25" i="15" s="1"/>
  <c r="AV24" i="15" s="1"/>
  <c r="AX152" i="11"/>
  <c r="AX154" i="11" s="1"/>
  <c r="AX53" i="5" s="1"/>
  <c r="T101" i="6"/>
  <c r="U98" i="6" s="1"/>
  <c r="R39" i="15"/>
  <c r="R38" i="15" s="1"/>
  <c r="R34" i="15" s="1"/>
  <c r="R40" i="15" s="1"/>
  <c r="T284" i="11"/>
  <c r="S42" i="19"/>
  <c r="S41" i="19"/>
  <c r="S36" i="19"/>
  <c r="S49" i="19"/>
  <c r="S48" i="19"/>
  <c r="AZ26" i="15"/>
  <c r="BB147" i="11"/>
  <c r="S67" i="5"/>
  <c r="S120" i="5" s="1"/>
  <c r="S122" i="5" s="1"/>
  <c r="S130" i="5"/>
  <c r="S132" i="5" s="1"/>
  <c r="S133" i="5"/>
  <c r="S129" i="5"/>
  <c r="S131" i="5" s="1"/>
  <c r="S56" i="19"/>
  <c r="S57" i="19"/>
  <c r="AX101" i="11"/>
  <c r="AX41" i="5" s="1"/>
  <c r="CX117" i="11"/>
  <c r="CY114" i="11" s="1"/>
  <c r="CY116" i="11" s="1"/>
  <c r="CX44" i="5"/>
  <c r="AA39" i="17" s="1"/>
  <c r="AX155" i="11" l="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T285" i="11"/>
  <c r="U62" i="6"/>
  <c r="T15" i="5"/>
  <c r="T14" i="5" s="1"/>
  <c r="U66" i="6" s="1"/>
  <c r="DA117" i="11"/>
  <c r="DB114" i="11" s="1"/>
  <c r="DB116" i="11" s="1"/>
  <c r="DA44" i="5"/>
  <c r="R21" i="18"/>
  <c r="AX17" i="15" l="1"/>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28" i="19"/>
  <c r="T103" i="5"/>
  <c r="U81" i="6"/>
  <c r="V78" i="6" s="1"/>
  <c r="BD149" i="11"/>
  <c r="BD51" i="5" s="1"/>
  <c r="AZ101" i="11"/>
  <c r="AZ41" i="5" s="1"/>
  <c r="T14" i="19"/>
  <c r="T20" i="19"/>
  <c r="T19" i="19"/>
  <c r="T95" i="5"/>
  <c r="DD117" i="11"/>
  <c r="DE114" i="11" s="1"/>
  <c r="DE116" i="11" s="1"/>
  <c r="DD44" i="5"/>
  <c r="BD150" i="11" l="1"/>
  <c r="BC26" i="15" s="1"/>
  <c r="AZ40" i="5"/>
  <c r="U94" i="6"/>
  <c r="U90" i="6"/>
  <c r="T100" i="5"/>
  <c r="BA154" i="11"/>
  <c r="BA53" i="5" s="1"/>
  <c r="T124" i="5"/>
  <c r="T123" i="5"/>
  <c r="DE117" i="11"/>
  <c r="DF114" i="11" s="1"/>
  <c r="DF116" i="11" s="1"/>
  <c r="DE44" i="5"/>
  <c r="AZ102" i="11"/>
  <c r="T31" i="19"/>
  <c r="T25" i="19"/>
  <c r="T30" i="19"/>
  <c r="BE147" i="11" l="1"/>
  <c r="BE149" i="11" s="1"/>
  <c r="BE51" i="5" s="1"/>
  <c r="BA155" i="11"/>
  <c r="BB152" i="11" s="1"/>
  <c r="T125" i="5"/>
  <c r="T126"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54" i="19"/>
  <c r="U100" i="6"/>
  <c r="T110" i="5"/>
  <c r="T39" i="19"/>
  <c r="T286" i="11"/>
  <c r="T287" i="11" s="1"/>
  <c r="BA101" i="11"/>
  <c r="BA41" i="5" s="1"/>
  <c r="BE150" i="11"/>
  <c r="BA40" i="5" l="1"/>
  <c r="T133" i="5"/>
  <c r="T129" i="5"/>
  <c r="T131" i="5" s="1"/>
  <c r="T67" i="5"/>
  <c r="T120" i="5" s="1"/>
  <c r="T122" i="5" s="1"/>
  <c r="T130" i="5"/>
  <c r="T132" i="5" s="1"/>
  <c r="T57" i="19"/>
  <c r="T56" i="19"/>
  <c r="BD26" i="15"/>
  <c r="BF147" i="11"/>
  <c r="DH117" i="11"/>
  <c r="DI114" i="11" s="1"/>
  <c r="DI116" i="11" s="1"/>
  <c r="DH44" i="5"/>
  <c r="BA102" i="11"/>
  <c r="S39" i="15"/>
  <c r="S38" i="15" s="1"/>
  <c r="S34" i="15" s="1"/>
  <c r="S40" i="15" s="1"/>
  <c r="U284" i="11"/>
  <c r="T41" i="19"/>
  <c r="T42" i="19"/>
  <c r="T36" i="19"/>
  <c r="T48" i="19"/>
  <c r="T49"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BB40" i="5" s="1"/>
  <c r="H36" i="30"/>
  <c r="K35" i="35"/>
  <c r="G456" i="32"/>
  <c r="H34" i="30"/>
  <c r="K37" i="35"/>
  <c r="BC154" i="11"/>
  <c r="BC53" i="5" s="1"/>
  <c r="BF150" i="11"/>
  <c r="U20" i="5"/>
  <c r="V43" i="6"/>
  <c r="V42" i="6" s="1"/>
  <c r="V55" i="6" s="1"/>
  <c r="V57" i="6" s="1"/>
  <c r="G562" i="32"/>
  <c r="H26" i="30"/>
  <c r="K26" i="35"/>
  <c r="BC155" i="11" l="1"/>
  <c r="BB17" i="15" s="1"/>
  <c r="H25" i="30"/>
  <c r="U15" i="5"/>
  <c r="U14" i="5" s="1"/>
  <c r="V66" i="6" s="1"/>
  <c r="V75" i="6" s="1"/>
  <c r="G601" i="32"/>
  <c r="BB102" i="11"/>
  <c r="BC49" i="5"/>
  <c r="G457" i="32"/>
  <c r="G561" i="32"/>
  <c r="K25" i="35"/>
  <c r="V62" i="6"/>
  <c r="U285" i="11"/>
  <c r="BG147" i="11"/>
  <c r="BE26" i="15"/>
  <c r="DK117" i="11"/>
  <c r="DL114" i="11" s="1"/>
  <c r="DL116" i="11" s="1"/>
  <c r="DK44" i="5"/>
  <c r="BD152" i="11" l="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U28" i="19"/>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7" i="15" l="1"/>
  <c r="BH147" i="11"/>
  <c r="BH149" i="11" s="1"/>
  <c r="BH51" i="5" s="1"/>
  <c r="BC102" i="11"/>
  <c r="BD99" i="11" s="1"/>
  <c r="BE154" i="11"/>
  <c r="BE53" i="5" s="1"/>
  <c r="U25" i="19"/>
  <c r="U30" i="19"/>
  <c r="U31" i="19"/>
  <c r="U100" i="5"/>
  <c r="G626" i="32"/>
  <c r="U123" i="5"/>
  <c r="U124" i="5"/>
  <c r="V71" i="6"/>
  <c r="W68" i="6" s="1"/>
  <c r="V89" i="6"/>
  <c r="BC40" i="5"/>
  <c r="DN117" i="11"/>
  <c r="DO114" i="11" s="1"/>
  <c r="DO116" i="11" s="1"/>
  <c r="DN44" i="5"/>
  <c r="BB28" i="15" l="1"/>
  <c r="BB25" i="15" s="1"/>
  <c r="BB24" i="15" s="1"/>
  <c r="BH150" i="11"/>
  <c r="BI147" i="11" s="1"/>
  <c r="BE155" i="11"/>
  <c r="BD17" i="15" s="1"/>
  <c r="BD101" i="11"/>
  <c r="BD41" i="5" s="1"/>
  <c r="U126" i="5"/>
  <c r="U125" i="5"/>
  <c r="V94" i="6"/>
  <c r="V95" i="6" s="1"/>
  <c r="V96" i="6" s="1"/>
  <c r="W93" i="6" s="1"/>
  <c r="V90" i="6"/>
  <c r="DO117" i="11"/>
  <c r="DP114" i="11" s="1"/>
  <c r="DP116" i="11" s="1"/>
  <c r="DO44" i="5"/>
  <c r="BE49" i="5"/>
  <c r="BG26" i="15" l="1"/>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I150" i="11"/>
  <c r="BH26" i="15" s="1"/>
  <c r="BF155" i="11"/>
  <c r="BE17" i="15" s="1"/>
  <c r="BF49" i="5"/>
  <c r="V100" i="6"/>
  <c r="U54" i="19"/>
  <c r="U39" i="19"/>
  <c r="U110" i="5"/>
  <c r="G627" i="32"/>
  <c r="U286" i="11"/>
  <c r="U287" i="11" s="1"/>
  <c r="DQ117" i="11"/>
  <c r="DR114" i="11" s="1"/>
  <c r="DR116" i="11" s="1"/>
  <c r="DQ44" i="5"/>
  <c r="BJ147" i="11" l="1"/>
  <c r="BJ149" i="11" s="1"/>
  <c r="BJ51" i="5" s="1"/>
  <c r="BG152" i="11"/>
  <c r="BG154" i="11" s="1"/>
  <c r="BG53" i="5" s="1"/>
  <c r="BE102" i="11"/>
  <c r="BD28" i="15" s="1"/>
  <c r="BD25" i="15" s="1"/>
  <c r="BD24" i="15" s="1"/>
  <c r="U41" i="19"/>
  <c r="U36" i="19"/>
  <c r="U42" i="19"/>
  <c r="U48" i="19"/>
  <c r="U49" i="19"/>
  <c r="V101" i="6"/>
  <c r="W98" i="6" s="1"/>
  <c r="DR117" i="11"/>
  <c r="DS114" i="11" s="1"/>
  <c r="DS116" i="11" s="1"/>
  <c r="DR44" i="5"/>
  <c r="G616" i="32"/>
  <c r="BE40" i="5"/>
  <c r="T39" i="15"/>
  <c r="V284" i="11"/>
  <c r="U67" i="5"/>
  <c r="U120" i="5" s="1"/>
  <c r="U122" i="5" s="1"/>
  <c r="U133" i="5"/>
  <c r="U130" i="5"/>
  <c r="U132" i="5" s="1"/>
  <c r="U129" i="5"/>
  <c r="U131" i="5" s="1"/>
  <c r="U57" i="19"/>
  <c r="U56" i="19"/>
  <c r="BF99" i="11" l="1"/>
  <c r="BF101" i="11" s="1"/>
  <c r="BF41" i="5" s="1"/>
  <c r="BG155" i="11"/>
  <c r="BF17" i="15" s="1"/>
  <c r="BJ150" i="11"/>
  <c r="BI26" i="15" s="1"/>
  <c r="DS117" i="11"/>
  <c r="DT114" i="11" s="1"/>
  <c r="DT116" i="11" s="1"/>
  <c r="DS44" i="5"/>
  <c r="G631" i="32"/>
  <c r="G633" i="32" s="1"/>
  <c r="BG49" i="5"/>
  <c r="G658" i="32"/>
  <c r="G659" i="32" s="1"/>
  <c r="G660" i="32" s="1"/>
  <c r="T38" i="15"/>
  <c r="T34" i="15" s="1"/>
  <c r="T40" i="15" s="1"/>
  <c r="V121" i="5"/>
  <c r="W44" i="6"/>
  <c r="T16" i="15"/>
  <c r="BH152" i="11" l="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DV117" i="11"/>
  <c r="DW114" i="11" s="1"/>
  <c r="DW116" i="11" s="1"/>
  <c r="DV44" i="5"/>
  <c r="AE39" i="17" s="1"/>
  <c r="BI154" i="11"/>
  <c r="BI53" i="5" s="1"/>
  <c r="BI155" i="11" l="1"/>
  <c r="BJ152" i="11" s="1"/>
  <c r="BL150" i="11"/>
  <c r="BM147" i="11" s="1"/>
  <c r="BG102" i="11"/>
  <c r="BH99" i="11" s="1"/>
  <c r="BI49" i="5"/>
  <c r="W70" i="6"/>
  <c r="BG40" i="5"/>
  <c r="V28" i="19"/>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BH40" i="5" s="1"/>
  <c r="V25" i="19"/>
  <c r="V30" i="19"/>
  <c r="V31" i="19"/>
  <c r="V95" i="5"/>
  <c r="W71" i="6"/>
  <c r="X68" i="6" s="1"/>
  <c r="W89" i="6"/>
  <c r="BJ154" i="11"/>
  <c r="BJ53" i="5" s="1"/>
  <c r="BJ155" i="11" l="1"/>
  <c r="BI17" i="15" s="1"/>
  <c r="BH102" i="11"/>
  <c r="BI99" i="11" s="1"/>
  <c r="BM150" i="11"/>
  <c r="BN147" i="11" s="1"/>
  <c r="V123" i="5"/>
  <c r="V124" i="5"/>
  <c r="BJ49" i="5"/>
  <c r="DY117" i="11"/>
  <c r="DZ114" i="11" s="1"/>
  <c r="DZ116" i="11" s="1"/>
  <c r="DY44" i="5"/>
  <c r="W94" i="6"/>
  <c r="W90" i="6"/>
  <c r="V126" i="5"/>
  <c r="V125" i="5"/>
  <c r="BG28" i="15" l="1"/>
  <c r="BG25" i="15" s="1"/>
  <c r="BG24" i="15" s="1"/>
  <c r="BL26" i="15"/>
  <c r="BK152" i="11"/>
  <c r="BK154" i="11" s="1"/>
  <c r="BK53" i="5" s="1"/>
  <c r="DZ117" i="11"/>
  <c r="EA114" i="11" s="1"/>
  <c r="EA116" i="11" s="1"/>
  <c r="DZ44" i="5"/>
  <c r="W99" i="6"/>
  <c r="W95" i="6"/>
  <c r="W96" i="6" s="1"/>
  <c r="X93" i="6" s="1"/>
  <c r="BN149" i="11"/>
  <c r="BN51" i="5" s="1"/>
  <c r="W91" i="6"/>
  <c r="X88" i="6" s="1"/>
  <c r="V113" i="5"/>
  <c r="BI101" i="11"/>
  <c r="BI41" i="5" s="1"/>
  <c r="S23" i="18" l="1"/>
  <c r="S20" i="18" s="1"/>
  <c r="S19" i="18" s="1"/>
  <c r="BN150" i="11"/>
  <c r="BO147" i="11" s="1"/>
  <c r="BI40" i="5"/>
  <c r="BK155" i="11"/>
  <c r="BK49" i="5"/>
  <c r="EA117" i="11"/>
  <c r="EB114" i="11" s="1"/>
  <c r="EB116" i="11" s="1"/>
  <c r="EA44" i="5"/>
  <c r="V110" i="5"/>
  <c r="V39" i="19"/>
  <c r="V286" i="11"/>
  <c r="V287" i="11" s="1"/>
  <c r="BI102" i="11"/>
  <c r="W100" i="6"/>
  <c r="V54" i="19"/>
  <c r="H219" i="32" l="1"/>
  <c r="H224" i="32" s="1"/>
  <c r="BM26" i="15"/>
  <c r="T21" i="18" s="1"/>
  <c r="W101" i="6"/>
  <c r="X98" i="6" s="1"/>
  <c r="W284" i="11"/>
  <c r="U39" i="15"/>
  <c r="U38" i="15" s="1"/>
  <c r="U34" i="15" s="1"/>
  <c r="U40" i="15" s="1"/>
  <c r="V42" i="19"/>
  <c r="V36" i="19"/>
  <c r="V41" i="19"/>
  <c r="V48" i="19"/>
  <c r="V49" i="19"/>
  <c r="V130" i="5"/>
  <c r="V132" i="5" s="1"/>
  <c r="V129" i="5"/>
  <c r="V131" i="5" s="1"/>
  <c r="V67" i="5"/>
  <c r="V120" i="5" s="1"/>
  <c r="V122" i="5" s="1"/>
  <c r="V133" i="5"/>
  <c r="BO149" i="11"/>
  <c r="BO51" i="5" s="1"/>
  <c r="V56" i="19"/>
  <c r="V5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P147" i="11" l="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X80" i="6"/>
  <c r="W98" i="5"/>
  <c r="W17" i="19"/>
  <c r="X76" i="6"/>
  <c r="Y73" i="6" s="1"/>
  <c r="BM49" i="5"/>
  <c r="X64" i="6"/>
  <c r="X69" i="6"/>
  <c r="BQ149" i="11"/>
  <c r="BQ51" i="5" s="1"/>
  <c r="EF117" i="11"/>
  <c r="EG114" i="11" s="1"/>
  <c r="EG116" i="11" s="1"/>
  <c r="EF44" i="5"/>
  <c r="BL17" i="15" l="1"/>
  <c r="BK102" i="11"/>
  <c r="BL99" i="11" s="1"/>
  <c r="X70" i="6"/>
  <c r="W20" i="19"/>
  <c r="W14" i="19"/>
  <c r="W19" i="19"/>
  <c r="W103" i="5"/>
  <c r="W28" i="19"/>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EH117" i="11"/>
  <c r="EI114" i="11" s="1"/>
  <c r="EI116" i="11" s="1"/>
  <c r="EH44" i="5"/>
  <c r="X71" i="6"/>
  <c r="Y68" i="6" s="1"/>
  <c r="X89" i="6"/>
  <c r="W124" i="5"/>
  <c r="W123" i="5"/>
  <c r="BR147" i="11"/>
  <c r="BP26" i="15"/>
  <c r="W25" i="19"/>
  <c r="W30" i="19"/>
  <c r="W31" i="19"/>
  <c r="BO152" i="11" l="1"/>
  <c r="BO154" i="11" s="1"/>
  <c r="BO53" i="5" s="1"/>
  <c r="BL102" i="11"/>
  <c r="BK28" i="15" s="1"/>
  <c r="BK25" i="15" s="1"/>
  <c r="BK24" i="15" s="1"/>
  <c r="EI117" i="11"/>
  <c r="EJ114" i="11" s="1"/>
  <c r="EJ116" i="11" s="1"/>
  <c r="EI44" i="5"/>
  <c r="BR149" i="11"/>
  <c r="BR51" i="5" s="1"/>
  <c r="X94" i="6"/>
  <c r="X90" i="6"/>
  <c r="BL40" i="5"/>
  <c r="W125" i="5"/>
  <c r="W126" i="5"/>
  <c r="BM99" i="11" l="1"/>
  <c r="BM101" i="11" s="1"/>
  <c r="BM41" i="5" s="1"/>
  <c r="BO49" i="5"/>
  <c r="W113" i="5"/>
  <c r="X99" i="6"/>
  <c r="X95" i="6"/>
  <c r="X96" i="6" s="1"/>
  <c r="Y93" i="6" s="1"/>
  <c r="EJ117" i="11"/>
  <c r="EK114" i="11" s="1"/>
  <c r="EK116" i="11" s="1"/>
  <c r="EJ44" i="5"/>
  <c r="BO155" i="11"/>
  <c r="X91" i="6"/>
  <c r="Y88" i="6" s="1"/>
  <c r="BR150" i="11"/>
  <c r="BM40" i="5" l="1"/>
  <c r="BQ26" i="15"/>
  <c r="BS147" i="11"/>
  <c r="EK117" i="11"/>
  <c r="EL114" i="11" s="1"/>
  <c r="EL116" i="11" s="1"/>
  <c r="EK44" i="5"/>
  <c r="W110" i="5"/>
  <c r="W39" i="19"/>
  <c r="W286" i="11"/>
  <c r="W287" i="11" s="1"/>
  <c r="BP152" i="11"/>
  <c r="BN17" i="15"/>
  <c r="X100" i="6"/>
  <c r="W54" i="19"/>
  <c r="BM102" i="11"/>
  <c r="X101" i="6" l="1"/>
  <c r="Y98" i="6" s="1"/>
  <c r="W130" i="5"/>
  <c r="W132" i="5" s="1"/>
  <c r="W133" i="5"/>
  <c r="W67" i="5"/>
  <c r="W120" i="5" s="1"/>
  <c r="W122" i="5" s="1"/>
  <c r="W129" i="5"/>
  <c r="W131" i="5" s="1"/>
  <c r="BN99" i="11"/>
  <c r="BL28" i="15"/>
  <c r="BL25" i="15" s="1"/>
  <c r="BL24" i="15" s="1"/>
  <c r="BP154" i="11"/>
  <c r="BP53" i="5" s="1"/>
  <c r="BS149" i="11"/>
  <c r="BS51" i="5" s="1"/>
  <c r="EL117" i="11"/>
  <c r="EM114" i="11" s="1"/>
  <c r="EM116" i="11" s="1"/>
  <c r="EL44" i="5"/>
  <c r="W56" i="19"/>
  <c r="W57" i="19"/>
  <c r="X284" i="11"/>
  <c r="V39" i="15"/>
  <c r="V38" i="15" s="1"/>
  <c r="V34" i="15" s="1"/>
  <c r="V40" i="15" s="1"/>
  <c r="W36" i="19"/>
  <c r="W41" i="19"/>
  <c r="W42" i="19"/>
  <c r="W49" i="19"/>
  <c r="W48" i="19"/>
  <c r="BS150" i="11" l="1"/>
  <c r="BR26" i="15" s="1"/>
  <c r="BP155" i="11"/>
  <c r="BQ152" i="11" s="1"/>
  <c r="BN101" i="11"/>
  <c r="BN41" i="5" s="1"/>
  <c r="BN40" i="5" s="1"/>
  <c r="EM117" i="11"/>
  <c r="EN114" i="11" s="1"/>
  <c r="EN116" i="11" s="1"/>
  <c r="EM44" i="5"/>
  <c r="BP49" i="5"/>
  <c r="X121" i="5"/>
  <c r="Y44" i="6"/>
  <c r="V16" i="15"/>
  <c r="V15" i="15" s="1"/>
  <c r="V14" i="15" s="1"/>
  <c r="V41" i="15" s="1"/>
  <c r="BT147" i="11" l="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T150" i="11" l="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U21" i="18"/>
  <c r="EP117" i="11"/>
  <c r="EQ114" i="11" s="1"/>
  <c r="EP44" i="5"/>
  <c r="H461" i="32"/>
  <c r="H460" i="32"/>
  <c r="BU150" i="11" l="1"/>
  <c r="BV147" i="11" s="1"/>
  <c r="BR155" i="11"/>
  <c r="BQ17" i="15" s="1"/>
  <c r="BO102" i="11"/>
  <c r="BP99" i="11" s="1"/>
  <c r="O73" i="16"/>
  <c r="O76" i="16" s="1"/>
  <c r="X103" i="5"/>
  <c r="X28" i="19"/>
  <c r="I46" i="30"/>
  <c r="L47" i="35"/>
  <c r="Y81" i="6"/>
  <c r="Z78" i="6" s="1"/>
  <c r="Y71" i="6"/>
  <c r="Z68" i="6" s="1"/>
  <c r="O80" i="16"/>
  <c r="Y89" i="6"/>
  <c r="X98" i="5"/>
  <c r="X17" i="19"/>
  <c r="L46" i="35"/>
  <c r="I45" i="30"/>
  <c r="Y76" i="6"/>
  <c r="Z73" i="6" s="1"/>
  <c r="H585" i="32"/>
  <c r="BN28" i="15"/>
  <c r="BN25" i="15" s="1"/>
  <c r="BN24" i="15" s="1"/>
  <c r="EQ116" i="11"/>
  <c r="BO40" i="5"/>
  <c r="BR49" i="5"/>
  <c r="BS152" i="11" l="1"/>
  <c r="BS154" i="11" s="1"/>
  <c r="BS53" i="5" s="1"/>
  <c r="BT26" i="15"/>
  <c r="X95" i="5"/>
  <c r="H625" i="32"/>
  <c r="X25" i="19"/>
  <c r="X30" i="19"/>
  <c r="X31" i="19"/>
  <c r="EQ44" i="5"/>
  <c r="J116" i="11"/>
  <c r="X100" i="5"/>
  <c r="H626" i="32"/>
  <c r="L48" i="35"/>
  <c r="O77" i="16"/>
  <c r="I47" i="30"/>
  <c r="BP101" i="11"/>
  <c r="BP41" i="5" s="1"/>
  <c r="L49" i="35"/>
  <c r="EQ117" i="11"/>
  <c r="X14" i="19"/>
  <c r="X19" i="19"/>
  <c r="X20" i="19"/>
  <c r="Y94" i="6"/>
  <c r="Y90" i="6"/>
  <c r="X113" i="5" s="1"/>
  <c r="X286" i="11" s="1"/>
  <c r="X287" i="11" s="1"/>
  <c r="BV149" i="11"/>
  <c r="BV51" i="5" s="1"/>
  <c r="I48" i="30"/>
  <c r="BS155" i="11" l="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5" i="5"/>
  <c r="X126" i="5"/>
  <c r="Y99" i="6"/>
  <c r="Y95" i="6"/>
  <c r="Y96" i="6" s="1"/>
  <c r="Z93" i="6" s="1"/>
  <c r="BP40" i="5"/>
  <c r="X110" i="5"/>
  <c r="X39" i="19"/>
  <c r="H627" i="32"/>
  <c r="X123" i="5"/>
  <c r="X124" i="5"/>
  <c r="BO28" i="15" l="1"/>
  <c r="BO25" i="15" s="1"/>
  <c r="BO24" i="15" s="1"/>
  <c r="BT152" i="11"/>
  <c r="BT154" i="11" s="1"/>
  <c r="BT53" i="5" s="1"/>
  <c r="BT49" i="5" s="1"/>
  <c r="BW147" i="11"/>
  <c r="BW149" i="11" s="1"/>
  <c r="BW51" i="5" s="1"/>
  <c r="Y100" i="6"/>
  <c r="Y101" i="6" s="1"/>
  <c r="Z98" i="6" s="1"/>
  <c r="X54" i="19"/>
  <c r="F734" i="32"/>
  <c r="C734" i="32" s="1"/>
  <c r="J39" i="17"/>
  <c r="E173" i="32"/>
  <c r="C173" i="32" s="1"/>
  <c r="J39" i="26"/>
  <c r="X36" i="19"/>
  <c r="X41" i="19"/>
  <c r="X42" i="19"/>
  <c r="X48" i="19"/>
  <c r="Q377" i="32" s="1"/>
  <c r="X49" i="19"/>
  <c r="S377" i="32" s="1"/>
  <c r="X133" i="5"/>
  <c r="X67" i="5"/>
  <c r="X120" i="5" s="1"/>
  <c r="X122" i="5" s="1"/>
  <c r="X129" i="5"/>
  <c r="X131" i="5" s="1"/>
  <c r="X130" i="5"/>
  <c r="X132" i="5" s="1"/>
  <c r="BQ101" i="11"/>
  <c r="BQ41" i="5" s="1"/>
  <c r="H616" i="32"/>
  <c r="W38" i="15"/>
  <c r="W34" i="15" s="1"/>
  <c r="W40" i="15" s="1"/>
  <c r="H658" i="32"/>
  <c r="H659" i="32" s="1"/>
  <c r="H660" i="32" s="1"/>
  <c r="M34" i="18"/>
  <c r="N603" i="32" l="1"/>
  <c r="O603" i="32" s="1"/>
  <c r="BW150" i="11"/>
  <c r="BV26" i="15" s="1"/>
  <c r="BT155" i="11"/>
  <c r="BS17" i="15" s="1"/>
  <c r="U12" i="18" s="1"/>
  <c r="I211" i="32" s="1"/>
  <c r="H631" i="32"/>
  <c r="H633" i="32" s="1"/>
  <c r="BQ102" i="11"/>
  <c r="Z44" i="6"/>
  <c r="W16" i="15"/>
  <c r="Y121" i="5"/>
  <c r="X56" i="19"/>
  <c r="X5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W41" i="15"/>
  <c r="W42" i="15"/>
  <c r="Z62" i="6"/>
  <c r="Y285" i="11"/>
  <c r="E210" i="32"/>
  <c r="E217" i="32" s="1"/>
  <c r="E230" i="32" s="1"/>
  <c r="F771" i="32"/>
  <c r="F778" i="32" s="1"/>
  <c r="F792" i="32" s="1"/>
  <c r="M10" i="18"/>
  <c r="M9" i="18" s="1"/>
  <c r="M36" i="18" s="1"/>
  <c r="Y15" i="5"/>
  <c r="Y14" i="5" s="1"/>
  <c r="Z66" i="6" s="1"/>
  <c r="BY147" i="11" l="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Z70" i="6"/>
  <c r="Z89" i="6" s="1"/>
  <c r="BV49" i="5"/>
  <c r="Y103" i="5"/>
  <c r="Y28" i="19"/>
  <c r="Z81" i="6"/>
  <c r="AA78" i="6" s="1"/>
  <c r="Y98" i="5"/>
  <c r="Y17" i="19"/>
  <c r="Z76" i="6"/>
  <c r="AA73" i="6" s="1"/>
  <c r="BZ147" i="11" l="1"/>
  <c r="BZ149" i="11" s="1"/>
  <c r="BZ51" i="5" s="1"/>
  <c r="BW152" i="11"/>
  <c r="BW154" i="11" s="1"/>
  <c r="BW53" i="5" s="1"/>
  <c r="BS102" i="11"/>
  <c r="BT99" i="11" s="1"/>
  <c r="Z94" i="6"/>
  <c r="Z90" i="6"/>
  <c r="Z91" i="6" s="1"/>
  <c r="AA88" i="6" s="1"/>
  <c r="Y14" i="19"/>
  <c r="Y19" i="19"/>
  <c r="Y20" i="19"/>
  <c r="Y100" i="5"/>
  <c r="Z71" i="6"/>
  <c r="AA68" i="6" s="1"/>
  <c r="Y95" i="5"/>
  <c r="Y25" i="19"/>
  <c r="Y30" i="19"/>
  <c r="Y31" i="19"/>
  <c r="BS40" i="5"/>
  <c r="BR28" i="15" l="1"/>
  <c r="BR25" i="15" s="1"/>
  <c r="BR24" i="15" s="1"/>
  <c r="BZ150" i="11"/>
  <c r="CA147" i="11" s="1"/>
  <c r="BW155" i="11"/>
  <c r="BX152" i="11" s="1"/>
  <c r="BT101" i="11"/>
  <c r="BT41" i="5" s="1"/>
  <c r="BT40" i="5" s="1"/>
  <c r="Y113" i="5"/>
  <c r="Y124" i="5"/>
  <c r="Y123" i="5"/>
  <c r="Y126" i="5"/>
  <c r="Y125" i="5"/>
  <c r="BW49" i="5"/>
  <c r="Z99" i="6"/>
  <c r="Z95" i="6"/>
  <c r="Z96" i="6" s="1"/>
  <c r="AA93" i="6" s="1"/>
  <c r="BV17" i="15" l="1"/>
  <c r="BY26" i="15"/>
  <c r="V21" i="18" s="1"/>
  <c r="BT102" i="11"/>
  <c r="BS28" i="15" s="1"/>
  <c r="Z100" i="6"/>
  <c r="Y54" i="19"/>
  <c r="CA149" i="11"/>
  <c r="CA51" i="5" s="1"/>
  <c r="BX154" i="11"/>
  <c r="BX53" i="5" s="1"/>
  <c r="Y286" i="11"/>
  <c r="Y287" i="11" s="1"/>
  <c r="Y110" i="5"/>
  <c r="Y39" i="19"/>
  <c r="BU99" i="11" l="1"/>
  <c r="BU101" i="11" s="1"/>
  <c r="BU41" i="5" s="1"/>
  <c r="BX155" i="11"/>
  <c r="BW17" i="15" s="1"/>
  <c r="CA150" i="11"/>
  <c r="BZ26" i="15" s="1"/>
  <c r="Z284" i="11"/>
  <c r="X39" i="15"/>
  <c r="X38" i="15" s="1"/>
  <c r="X34" i="15" s="1"/>
  <c r="X40" i="15" s="1"/>
  <c r="U23" i="18"/>
  <c r="BS25" i="15"/>
  <c r="BS24" i="15" s="1"/>
  <c r="Y36" i="19"/>
  <c r="Y41" i="19"/>
  <c r="Y42" i="19"/>
  <c r="Y49" i="19"/>
  <c r="Y48" i="19"/>
  <c r="BX49" i="5"/>
  <c r="Y57" i="19"/>
  <c r="Y56" i="19"/>
  <c r="Y67" i="5"/>
  <c r="Y120" i="5" s="1"/>
  <c r="Y122" i="5" s="1"/>
  <c r="Y129" i="5"/>
  <c r="Y131" i="5" s="1"/>
  <c r="Y130" i="5"/>
  <c r="Y132" i="5" s="1"/>
  <c r="Y133" i="5"/>
  <c r="Z101" i="6"/>
  <c r="AA98" i="6" s="1"/>
  <c r="CB147" i="11" l="1"/>
  <c r="CB149" i="11" s="1"/>
  <c r="CB51" i="5" s="1"/>
  <c r="BY152" i="11"/>
  <c r="BY154" i="11" s="1"/>
  <c r="BY53" i="5" s="1"/>
  <c r="BU102" i="11"/>
  <c r="BV99" i="11" s="1"/>
  <c r="X16" i="15"/>
  <c r="X15" i="15" s="1"/>
  <c r="X14" i="15" s="1"/>
  <c r="X41" i="15" s="1"/>
  <c r="Z121" i="5"/>
  <c r="AA44" i="6"/>
  <c r="BU40" i="5"/>
  <c r="I219" i="32"/>
  <c r="I224" i="32" s="1"/>
  <c r="U20" i="18"/>
  <c r="U19" i="18" s="1"/>
  <c r="BT28" i="15" l="1"/>
  <c r="BT25" i="15" s="1"/>
  <c r="BT24" i="15" s="1"/>
  <c r="CB150" i="11"/>
  <c r="CA26" i="15" s="1"/>
  <c r="BY155" i="11"/>
  <c r="BX17" i="15" s="1"/>
  <c r="X42" i="15"/>
  <c r="Z20" i="5"/>
  <c r="AA43" i="6"/>
  <c r="AA42" i="6" s="1"/>
  <c r="AA55" i="6" s="1"/>
  <c r="AA57" i="6" s="1"/>
  <c r="BV101" i="11"/>
  <c r="BV41" i="5" s="1"/>
  <c r="BY49" i="5"/>
  <c r="BZ152" i="11" l="1"/>
  <c r="BZ154" i="11" s="1"/>
  <c r="BZ53" i="5" s="1"/>
  <c r="BZ49" i="5" s="1"/>
  <c r="CC147" i="11"/>
  <c r="CC149" i="11" s="1"/>
  <c r="CC51" i="5" s="1"/>
  <c r="BV40" i="5"/>
  <c r="Z285" i="11"/>
  <c r="AA62" i="6"/>
  <c r="Z15" i="5"/>
  <c r="Z14" i="5" s="1"/>
  <c r="AA66" i="6" s="1"/>
  <c r="AA75" i="6" s="1"/>
  <c r="BV102" i="11"/>
  <c r="BZ155" i="11" l="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28" i="19"/>
  <c r="Z103" i="5"/>
  <c r="AA81" i="6"/>
  <c r="AB78" i="6" s="1"/>
  <c r="Z14" i="19"/>
  <c r="Z20" i="19"/>
  <c r="Z19" i="19"/>
  <c r="AA70" i="6"/>
  <c r="Z95" i="5"/>
  <c r="BW101" i="11"/>
  <c r="BW41" i="5" s="1"/>
  <c r="CA155" i="11" l="1"/>
  <c r="BZ17" i="15" s="1"/>
  <c r="CD150" i="11"/>
  <c r="CC26" i="15" s="1"/>
  <c r="AA89" i="6"/>
  <c r="BW40" i="5"/>
  <c r="Z100" i="5"/>
  <c r="Z124" i="5"/>
  <c r="Z123" i="5"/>
  <c r="BW102" i="11"/>
  <c r="AA71" i="6"/>
  <c r="AB68" i="6" s="1"/>
  <c r="CA49" i="5"/>
  <c r="Z25" i="19"/>
  <c r="Z30" i="19"/>
  <c r="Z31" i="19"/>
  <c r="CB152" i="11" l="1"/>
  <c r="CB154" i="11" s="1"/>
  <c r="CB53" i="5" s="1"/>
  <c r="CE147" i="11"/>
  <c r="CE149" i="11" s="1"/>
  <c r="CE51" i="5" s="1"/>
  <c r="Z126" i="5"/>
  <c r="Z125" i="5"/>
  <c r="BX99" i="11"/>
  <c r="BV28" i="15"/>
  <c r="BV25" i="15" s="1"/>
  <c r="BV24" i="15" s="1"/>
  <c r="AA94" i="6"/>
  <c r="AA90" i="6"/>
  <c r="AA91" i="6" s="1"/>
  <c r="AB88" i="6" s="1"/>
  <c r="CB155" i="11" l="1"/>
  <c r="CA17" i="15" s="1"/>
  <c r="CE150" i="11"/>
  <c r="CF147" i="11" s="1"/>
  <c r="AA99" i="6"/>
  <c r="AA95" i="6"/>
  <c r="AA96" i="6" s="1"/>
  <c r="AB93" i="6" s="1"/>
  <c r="CB49" i="5"/>
  <c r="Z113" i="5"/>
  <c r="BX101" i="11"/>
  <c r="BX41" i="5" s="1"/>
  <c r="CD26" i="15" l="1"/>
  <c r="CC152" i="11"/>
  <c r="CC154" i="11" s="1"/>
  <c r="CC53" i="5" s="1"/>
  <c r="BX102" i="11"/>
  <c r="BW28" i="15" s="1"/>
  <c r="BW25" i="15" s="1"/>
  <c r="BW24" i="15" s="1"/>
  <c r="Z110" i="5"/>
  <c r="Z39" i="19"/>
  <c r="Z286" i="11"/>
  <c r="Z287" i="11" s="1"/>
  <c r="BX40" i="5"/>
  <c r="CF149" i="11"/>
  <c r="CF51" i="5" s="1"/>
  <c r="AA100" i="6"/>
  <c r="Z54" i="19"/>
  <c r="BY99" i="11" l="1"/>
  <c r="BY101" i="11" s="1"/>
  <c r="BY41" i="5" s="1"/>
  <c r="CC155" i="11"/>
  <c r="CB17" i="15" s="1"/>
  <c r="AA101" i="6"/>
  <c r="AB98" i="6" s="1"/>
  <c r="Y39" i="15"/>
  <c r="Y38" i="15" s="1"/>
  <c r="Y34" i="15" s="1"/>
  <c r="Y40" i="15" s="1"/>
  <c r="AA284" i="11"/>
  <c r="CC49" i="5"/>
  <c r="Z41" i="19"/>
  <c r="Z36" i="19"/>
  <c r="Z42" i="19"/>
  <c r="Z49" i="19"/>
  <c r="Z48" i="19"/>
  <c r="Z56" i="19"/>
  <c r="Z57" i="19"/>
  <c r="CF150" i="11"/>
  <c r="Z67" i="5"/>
  <c r="Z120" i="5" s="1"/>
  <c r="Z122" i="5" s="1"/>
  <c r="Z130" i="5"/>
  <c r="Z132" i="5" s="1"/>
  <c r="Z129" i="5"/>
  <c r="Z131" i="5" s="1"/>
  <c r="Z133" i="5"/>
  <c r="CD152" i="11" l="1"/>
  <c r="CD154" i="11" s="1"/>
  <c r="CD53" i="5" s="1"/>
  <c r="BY102" i="11"/>
  <c r="BX28" i="15" s="1"/>
  <c r="BX25" i="15" s="1"/>
  <c r="BX24" i="15" s="1"/>
  <c r="AA121" i="5"/>
  <c r="AB44" i="6"/>
  <c r="Y16" i="15"/>
  <c r="Y15" i="15" s="1"/>
  <c r="Y14" i="15" s="1"/>
  <c r="Y41" i="15" s="1"/>
  <c r="CG147" i="11"/>
  <c r="CE26" i="15"/>
  <c r="BY40" i="5"/>
  <c r="CD155" i="11" l="1"/>
  <c r="CC17" i="15" s="1"/>
  <c r="BZ99" i="11"/>
  <c r="BZ101" i="11" s="1"/>
  <c r="BZ41" i="5" s="1"/>
  <c r="BZ40" i="5" s="1"/>
  <c r="Y42" i="15"/>
  <c r="W21" i="18"/>
  <c r="CG149" i="11"/>
  <c r="CG51" i="5" s="1"/>
  <c r="AA20" i="5"/>
  <c r="AB43" i="6"/>
  <c r="AB42" i="6" s="1"/>
  <c r="AB55" i="6" s="1"/>
  <c r="AB57" i="6" s="1"/>
  <c r="M26" i="35"/>
  <c r="I562" i="32"/>
  <c r="J26" i="30"/>
  <c r="CD49" i="5"/>
  <c r="M35" i="35"/>
  <c r="J34" i="30"/>
  <c r="M37" i="35"/>
  <c r="J36" i="30"/>
  <c r="I456" i="32"/>
  <c r="CE152" i="11" l="1"/>
  <c r="CE154" i="11" s="1"/>
  <c r="CE53" i="5" s="1"/>
  <c r="BZ102" i="11"/>
  <c r="CA99" i="11" s="1"/>
  <c r="M25" i="35"/>
  <c r="CG150" i="11"/>
  <c r="J25" i="30"/>
  <c r="AB62" i="6"/>
  <c r="AA285" i="11"/>
  <c r="I457" i="32"/>
  <c r="I561" i="32"/>
  <c r="I574" i="32" s="1"/>
  <c r="AA15" i="5"/>
  <c r="AA14" i="5" s="1"/>
  <c r="AB66" i="6" s="1"/>
  <c r="AB75" i="6" s="1"/>
  <c r="I601" i="32"/>
  <c r="BY28" i="15" l="1"/>
  <c r="V23" i="18" s="1"/>
  <c r="V20" i="18" s="1"/>
  <c r="V19" i="18" s="1"/>
  <c r="CE49" i="5"/>
  <c r="AB64" i="6"/>
  <c r="AB69" i="6"/>
  <c r="AB80" i="6"/>
  <c r="AA98" i="5"/>
  <c r="AA17" i="19"/>
  <c r="J45" i="30"/>
  <c r="M46" i="35"/>
  <c r="AB76" i="6"/>
  <c r="AC73" i="6" s="1"/>
  <c r="I460" i="32"/>
  <c r="I461" i="32"/>
  <c r="CH147" i="11"/>
  <c r="CF26" i="15"/>
  <c r="CA101" i="11"/>
  <c r="CA41" i="5" s="1"/>
  <c r="I600" i="32"/>
  <c r="I585" i="32" s="1"/>
  <c r="CE155" i="11"/>
  <c r="BY25" i="15" l="1"/>
  <c r="BY24" i="15" s="1"/>
  <c r="CA102" i="11"/>
  <c r="CB99" i="11" s="1"/>
  <c r="J47" i="30"/>
  <c r="AA103" i="5"/>
  <c r="AA28" i="19"/>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H150" i="11" l="1"/>
  <c r="CG26" i="15" s="1"/>
  <c r="AA123" i="5"/>
  <c r="AA124" i="5"/>
  <c r="CB101" i="11"/>
  <c r="CB41" i="5" s="1"/>
  <c r="AB89" i="6"/>
  <c r="CF154" i="11"/>
  <c r="CF53" i="5" s="1"/>
  <c r="CF49" i="5" s="1"/>
  <c r="AA30" i="19"/>
  <c r="AA31" i="19"/>
  <c r="AA25" i="19"/>
  <c r="AA100" i="5"/>
  <c r="I626" i="32"/>
  <c r="CI147" i="11" l="1"/>
  <c r="CI149" i="11" s="1"/>
  <c r="CI51" i="5" s="1"/>
  <c r="CF155" i="11"/>
  <c r="CE17" i="15" s="1"/>
  <c r="W12" i="18" s="1"/>
  <c r="J211" i="32" s="1"/>
  <c r="CB40" i="5"/>
  <c r="AA125" i="5"/>
  <c r="AA126" i="5"/>
  <c r="AB94" i="6"/>
  <c r="AB90" i="6"/>
  <c r="CB102" i="11"/>
  <c r="CG152" i="11" l="1"/>
  <c r="CG154" i="11" s="1"/>
  <c r="CG53" i="5" s="1"/>
  <c r="CI150" i="11"/>
  <c r="CJ147" i="11" s="1"/>
  <c r="AB91" i="6"/>
  <c r="AC88" i="6" s="1"/>
  <c r="AA113" i="5"/>
  <c r="CC99" i="11"/>
  <c r="CA28" i="15"/>
  <c r="CA25" i="15" s="1"/>
  <c r="CA24" i="15" s="1"/>
  <c r="AB99" i="6"/>
  <c r="AB95" i="6"/>
  <c r="AB96" i="6" s="1"/>
  <c r="AC93" i="6" s="1"/>
  <c r="CH26" i="15" l="1"/>
  <c r="CG155" i="11"/>
  <c r="CF17" i="15" s="1"/>
  <c r="CC101" i="11"/>
  <c r="CC41" i="5" s="1"/>
  <c r="CG49" i="5"/>
  <c r="AB100" i="6"/>
  <c r="AA54" i="19"/>
  <c r="AA39" i="19"/>
  <c r="AA110" i="5"/>
  <c r="I627" i="32"/>
  <c r="I616" i="32" s="1"/>
  <c r="I631" i="32" s="1"/>
  <c r="I633" i="32" s="1"/>
  <c r="J632" i="32" s="1"/>
  <c r="AA286" i="11"/>
  <c r="AA287" i="11" s="1"/>
  <c r="CJ149" i="11"/>
  <c r="CJ51" i="5" s="1"/>
  <c r="CH152" i="11" l="1"/>
  <c r="CH154" i="11" s="1"/>
  <c r="CH53" i="5" s="1"/>
  <c r="CC102" i="11"/>
  <c r="CD99" i="11" s="1"/>
  <c r="AA57" i="19"/>
  <c r="AA56" i="19"/>
  <c r="Z39" i="15"/>
  <c r="AB284" i="11"/>
  <c r="AB101" i="6"/>
  <c r="AC98" i="6" s="1"/>
  <c r="AA67" i="5"/>
  <c r="AA120" i="5" s="1"/>
  <c r="AA122" i="5" s="1"/>
  <c r="AA133" i="5"/>
  <c r="AA130" i="5"/>
  <c r="AA132" i="5" s="1"/>
  <c r="AA129" i="5"/>
  <c r="AA131" i="5" s="1"/>
  <c r="CJ150" i="11"/>
  <c r="AA42" i="19"/>
  <c r="AA36" i="19"/>
  <c r="AA41" i="19"/>
  <c r="AA48" i="19"/>
  <c r="AA49" i="19"/>
  <c r="CC40" i="5"/>
  <c r="CB28" i="15" l="1"/>
  <c r="CB25" i="15" s="1"/>
  <c r="CB24" i="15" s="1"/>
  <c r="CH155" i="11"/>
  <c r="CG17" i="15" s="1"/>
  <c r="CD101" i="11"/>
  <c r="CD41" i="5" s="1"/>
  <c r="AB121" i="5"/>
  <c r="AC44" i="6"/>
  <c r="Z16" i="15"/>
  <c r="Z38" i="15"/>
  <c r="Z34" i="15" s="1"/>
  <c r="Z40" i="15" s="1"/>
  <c r="I658" i="32"/>
  <c r="I659" i="32" s="1"/>
  <c r="I660" i="32" s="1"/>
  <c r="CK147" i="11"/>
  <c r="CI26" i="15"/>
  <c r="CH49" i="5"/>
  <c r="CI152" i="11" l="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AB285" i="11"/>
  <c r="AC62" i="6"/>
  <c r="CI49" i="5"/>
  <c r="AB15" i="5"/>
  <c r="AB14" i="5" s="1"/>
  <c r="AC66" i="6" s="1"/>
  <c r="AC75" i="6" s="1"/>
  <c r="CL147" i="11" l="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F40" i="5" s="1"/>
  <c r="CJ49" i="5"/>
  <c r="AB95" i="5"/>
  <c r="AB103" i="5"/>
  <c r="AB28" i="19"/>
  <c r="AC81" i="6"/>
  <c r="AD78" i="6" s="1"/>
  <c r="CK26" i="15" l="1"/>
  <c r="X21" i="18" s="1"/>
  <c r="CI17" i="15"/>
  <c r="CM149" i="11"/>
  <c r="CM51" i="5" s="1"/>
  <c r="AB30" i="19"/>
  <c r="AB31" i="19"/>
  <c r="AB25" i="19"/>
  <c r="CK154" i="11"/>
  <c r="CK53" i="5" s="1"/>
  <c r="AB100" i="5"/>
  <c r="AB124" i="5"/>
  <c r="AB123" i="5"/>
  <c r="CF102" i="11"/>
  <c r="AC71" i="6"/>
  <c r="AD68" i="6" s="1"/>
  <c r="AC89" i="6"/>
  <c r="CM150" i="11" l="1"/>
  <c r="CN147" i="11" s="1"/>
  <c r="CK155" i="11"/>
  <c r="CJ17" i="15" s="1"/>
  <c r="AC94" i="6"/>
  <c r="AC90" i="6"/>
  <c r="CK49" i="5"/>
  <c r="AB126" i="5"/>
  <c r="AB125" i="5"/>
  <c r="CG99" i="11"/>
  <c r="CE28" i="15"/>
  <c r="CL152" i="11" l="1"/>
  <c r="CL154" i="11" s="1"/>
  <c r="CL53" i="5" s="1"/>
  <c r="CL49" i="5" s="1"/>
  <c r="CL26" i="15"/>
  <c r="CG101" i="11"/>
  <c r="CG41" i="5" s="1"/>
  <c r="AC99" i="6"/>
  <c r="AC95" i="6"/>
  <c r="AC96" i="6" s="1"/>
  <c r="AD93" i="6" s="1"/>
  <c r="CN149" i="11"/>
  <c r="CN51" i="5" s="1"/>
  <c r="W23" i="18"/>
  <c r="CE25" i="15"/>
  <c r="CE24" i="15" s="1"/>
  <c r="AC91" i="6"/>
  <c r="AD88" i="6" s="1"/>
  <c r="AB113" i="5"/>
  <c r="CL155" i="11" l="1"/>
  <c r="CK17" i="15" s="1"/>
  <c r="X12" i="18" s="1"/>
  <c r="CG102" i="11"/>
  <c r="CF28" i="15" s="1"/>
  <c r="CF25" i="15" s="1"/>
  <c r="CF24" i="15" s="1"/>
  <c r="CN150" i="11"/>
  <c r="CO147" i="11" s="1"/>
  <c r="AB110" i="5"/>
  <c r="AB39" i="19"/>
  <c r="AB286" i="11"/>
  <c r="AB287" i="11" s="1"/>
  <c r="J219" i="32"/>
  <c r="J224" i="32" s="1"/>
  <c r="W20" i="18"/>
  <c r="W19" i="18" s="1"/>
  <c r="AC100" i="6"/>
  <c r="AB54" i="19"/>
  <c r="CG40" i="5"/>
  <c r="CH99" i="11" l="1"/>
  <c r="CH101" i="11" s="1"/>
  <c r="CH41" i="5" s="1"/>
  <c r="CM26" i="15"/>
  <c r="CM152" i="11"/>
  <c r="CM154" i="11" s="1"/>
  <c r="CM53" i="5" s="1"/>
  <c r="AB56" i="19"/>
  <c r="AB57" i="19"/>
  <c r="AC284" i="11"/>
  <c r="AA39" i="15"/>
  <c r="AA38" i="15" s="1"/>
  <c r="AA34" i="15" s="1"/>
  <c r="AA40" i="15" s="1"/>
  <c r="AB36" i="19"/>
  <c r="AB42" i="19"/>
  <c r="AB41" i="19"/>
  <c r="AB49" i="19"/>
  <c r="AB48" i="19"/>
  <c r="CO149" i="11"/>
  <c r="CO51" i="5" s="1"/>
  <c r="AC101" i="6"/>
  <c r="AD98" i="6" s="1"/>
  <c r="AB130" i="5"/>
  <c r="AB132" i="5" s="1"/>
  <c r="AB129" i="5"/>
  <c r="AB131" i="5" s="1"/>
  <c r="AB133" i="5"/>
  <c r="AB67" i="5"/>
  <c r="AB120" i="5" s="1"/>
  <c r="AB122" i="5" s="1"/>
  <c r="CM155" i="11" l="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N49" i="5"/>
  <c r="CP149" i="11"/>
  <c r="CP51" i="5" s="1"/>
  <c r="CO152" i="11" l="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C28" i="19"/>
  <c r="AD81" i="6"/>
  <c r="AE78" i="6" s="1"/>
  <c r="AD70" i="6"/>
  <c r="AC95" i="5"/>
  <c r="AC20" i="19"/>
  <c r="AC19" i="19"/>
  <c r="AC14" i="19"/>
  <c r="CO49" i="5"/>
  <c r="CJ101" i="11"/>
  <c r="CJ41" i="5" s="1"/>
  <c r="CN17" i="15" l="1"/>
  <c r="CJ102" i="11"/>
  <c r="CI28" i="15" s="1"/>
  <c r="CI25" i="15" s="1"/>
  <c r="CI24" i="15" s="1"/>
  <c r="CQ150" i="11"/>
  <c r="CR147" i="11" s="1"/>
  <c r="AD89" i="6"/>
  <c r="CP154" i="11"/>
  <c r="CP53" i="5" s="1"/>
  <c r="CJ40" i="5"/>
  <c r="AC124" i="5"/>
  <c r="AC123" i="5"/>
  <c r="AC30" i="19"/>
  <c r="AC25" i="19"/>
  <c r="AC31" i="19"/>
  <c r="AD71" i="6"/>
  <c r="AE68" i="6" s="1"/>
  <c r="AC100" i="5"/>
  <c r="CP26" i="15" l="1"/>
  <c r="CK99" i="11"/>
  <c r="CP155" i="11"/>
  <c r="CO17" i="15" s="1"/>
  <c r="AC125" i="5"/>
  <c r="AC126" i="5"/>
  <c r="CR149" i="11"/>
  <c r="CR51" i="5" s="1"/>
  <c r="CP49" i="5"/>
  <c r="CK101" i="11"/>
  <c r="CK41" i="5" s="1"/>
  <c r="AD94" i="6"/>
  <c r="AD90" i="6"/>
  <c r="CQ152" i="11" l="1"/>
  <c r="CQ154" i="11" s="1"/>
  <c r="CQ53" i="5" s="1"/>
  <c r="CK102" i="11"/>
  <c r="CL99" i="11" s="1"/>
  <c r="CK40" i="5"/>
  <c r="CR150" i="11"/>
  <c r="AD91" i="6"/>
  <c r="AE88" i="6" s="1"/>
  <c r="AC113" i="5"/>
  <c r="AD99" i="6"/>
  <c r="AD95" i="6"/>
  <c r="AD96" i="6" s="1"/>
  <c r="AE93" i="6" s="1"/>
  <c r="CJ28" i="15" l="1"/>
  <c r="CJ25" i="15" s="1"/>
  <c r="CJ24" i="15" s="1"/>
  <c r="CQ155" i="11"/>
  <c r="CR152" i="11" s="1"/>
  <c r="CQ49" i="5"/>
  <c r="AC39" i="19"/>
  <c r="AC110" i="5"/>
  <c r="AC286" i="11"/>
  <c r="AC287" i="11" s="1"/>
  <c r="AD100" i="6"/>
  <c r="AC54" i="19"/>
  <c r="CS147" i="11"/>
  <c r="CQ26" i="15"/>
  <c r="CL101" i="11"/>
  <c r="CL41" i="5" s="1"/>
  <c r="CL40" i="5" s="1"/>
  <c r="CP17" i="15" l="1"/>
  <c r="AB39" i="15"/>
  <c r="AB38" i="15" s="1"/>
  <c r="AB34" i="15" s="1"/>
  <c r="AB40" i="15" s="1"/>
  <c r="AD284" i="11"/>
  <c r="AC42" i="19"/>
  <c r="AC36" i="19"/>
  <c r="AC41" i="19"/>
  <c r="AC48" i="19"/>
  <c r="AC49" i="19"/>
  <c r="AD101" i="6"/>
  <c r="AE98" i="6" s="1"/>
  <c r="AC67" i="5"/>
  <c r="AC120" i="5" s="1"/>
  <c r="AC122" i="5" s="1"/>
  <c r="AC129" i="5"/>
  <c r="AC131" i="5" s="1"/>
  <c r="AC130" i="5"/>
  <c r="AC132" i="5" s="1"/>
  <c r="AC133" i="5"/>
  <c r="CL102" i="11"/>
  <c r="Y21" i="18"/>
  <c r="CS149" i="11"/>
  <c r="CS51" i="5" s="1"/>
  <c r="CR154" i="11"/>
  <c r="CR53" i="5" s="1"/>
  <c r="CR49" i="5" s="1"/>
  <c r="AC57" i="19"/>
  <c r="AC56" i="19"/>
  <c r="CS150" i="11" l="1"/>
  <c r="CM99" i="11"/>
  <c r="CK28" i="15"/>
  <c r="AD121" i="5"/>
  <c r="AE44" i="6"/>
  <c r="AB16" i="15"/>
  <c r="AB15" i="15" s="1"/>
  <c r="AB14" i="15" s="1"/>
  <c r="AB41" i="15" s="1"/>
  <c r="CR155" i="11"/>
  <c r="AB42" i="15" l="1"/>
  <c r="CM101" i="11"/>
  <c r="CM41"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M102" i="11" l="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AE75" i="6"/>
  <c r="AE64" i="6"/>
  <c r="AE69" i="6"/>
  <c r="AE70" i="6" s="1"/>
  <c r="CU147" i="11" l="1"/>
  <c r="CU149" i="11" s="1"/>
  <c r="CU51" i="5" s="1"/>
  <c r="CR17" i="15"/>
  <c r="CN102" i="11"/>
  <c r="CM28" i="15" s="1"/>
  <c r="CM25" i="15" s="1"/>
  <c r="CM24" i="15" s="1"/>
  <c r="AD98" i="5"/>
  <c r="AD17" i="19"/>
  <c r="K45" i="30"/>
  <c r="K47" i="30" s="1"/>
  <c r="N46" i="35"/>
  <c r="N48" i="35" s="1"/>
  <c r="AE76" i="6"/>
  <c r="AF73" i="6" s="1"/>
  <c r="AE71" i="6"/>
  <c r="AF68" i="6" s="1"/>
  <c r="P80" i="16"/>
  <c r="CN40" i="5"/>
  <c r="AE80" i="6"/>
  <c r="P73" i="16" s="1"/>
  <c r="P76" i="16" s="1"/>
  <c r="CT154" i="11"/>
  <c r="CT53" i="5" s="1"/>
  <c r="CO99" i="11" l="1"/>
  <c r="CO101" i="11" s="1"/>
  <c r="CO41" i="5" s="1"/>
  <c r="CU150" i="11"/>
  <c r="CT26" i="15" s="1"/>
  <c r="CT155" i="11"/>
  <c r="AD14" i="19"/>
  <c r="AD20" i="19"/>
  <c r="AD19" i="19"/>
  <c r="CT49" i="5"/>
  <c r="AD95" i="5"/>
  <c r="J625" i="32"/>
  <c r="P77" i="16"/>
  <c r="AD28" i="19"/>
  <c r="AD103" i="5"/>
  <c r="K46" i="30"/>
  <c r="K48" i="30" s="1"/>
  <c r="N47" i="35"/>
  <c r="N49" i="35" s="1"/>
  <c r="AE81" i="6"/>
  <c r="AF78" i="6" s="1"/>
  <c r="AE89" i="6"/>
  <c r="CV147" i="11" l="1"/>
  <c r="CV149" i="11" s="1"/>
  <c r="CV51" i="5" s="1"/>
  <c r="CO102" i="11"/>
  <c r="CP99" i="11" s="1"/>
  <c r="AE94" i="6"/>
  <c r="AE95" i="6" s="1"/>
  <c r="AE96" i="6" s="1"/>
  <c r="AF93" i="6" s="1"/>
  <c r="AE90" i="6"/>
  <c r="AD113" i="5" s="1"/>
  <c r="AD100" i="5"/>
  <c r="J626" i="32"/>
  <c r="AD123" i="5"/>
  <c r="AD124" i="5"/>
  <c r="AD30" i="19"/>
  <c r="AD31" i="19"/>
  <c r="AD25" i="19"/>
  <c r="CO40" i="5"/>
  <c r="CS17" i="15"/>
  <c r="CU152" i="11"/>
  <c r="CN28" i="15" l="1"/>
  <c r="CN25" i="15" s="1"/>
  <c r="CN24" i="15" s="1"/>
  <c r="AE91" i="6"/>
  <c r="AF88" i="6" s="1"/>
  <c r="CV150" i="11"/>
  <c r="CW147" i="11" s="1"/>
  <c r="AE99" i="6"/>
  <c r="AD54" i="19" s="1"/>
  <c r="CP101" i="11"/>
  <c r="CP41" i="5" s="1"/>
  <c r="J627" i="32"/>
  <c r="J616" i="32" s="1"/>
  <c r="J631" i="32" s="1"/>
  <c r="J633" i="32" s="1"/>
  <c r="K632" i="32" s="1"/>
  <c r="AD39" i="19"/>
  <c r="AD110" i="5"/>
  <c r="AD286" i="11"/>
  <c r="AD287" i="11" s="1"/>
  <c r="CU154" i="11"/>
  <c r="CU53" i="5" s="1"/>
  <c r="AD125" i="5"/>
  <c r="AD126" i="5"/>
  <c r="CU155" i="11" l="1"/>
  <c r="CV152" i="11" s="1"/>
  <c r="CU26" i="15"/>
  <c r="AE100" i="6"/>
  <c r="AE101" i="6" s="1"/>
  <c r="AF98" i="6" s="1"/>
  <c r="CP102" i="11"/>
  <c r="CO28" i="15" s="1"/>
  <c r="CO25" i="15" s="1"/>
  <c r="CO24" i="15" s="1"/>
  <c r="AD57" i="19"/>
  <c r="AD56" i="19"/>
  <c r="AD133" i="5"/>
  <c r="AD67" i="5"/>
  <c r="AD120" i="5" s="1"/>
  <c r="AD122" i="5" s="1"/>
  <c r="AD130" i="5"/>
  <c r="AD132" i="5" s="1"/>
  <c r="AD129" i="5"/>
  <c r="AD131" i="5" s="1"/>
  <c r="AC39" i="15"/>
  <c r="AE284" i="11"/>
  <c r="CP40" i="5"/>
  <c r="AD42" i="19"/>
  <c r="AD41" i="19"/>
  <c r="AD36" i="19"/>
  <c r="AD49" i="19"/>
  <c r="S378" i="32" s="1"/>
  <c r="AD48" i="19"/>
  <c r="Q378" i="32" s="1"/>
  <c r="CU49" i="5"/>
  <c r="CW149" i="11"/>
  <c r="CW51" i="5" s="1"/>
  <c r="CQ99" i="11" l="1"/>
  <c r="CQ101" i="11" s="1"/>
  <c r="CQ41" i="5" s="1"/>
  <c r="CT17" i="15"/>
  <c r="CV154" i="11"/>
  <c r="CV53" i="5" s="1"/>
  <c r="AE121" i="5"/>
  <c r="AF44" i="6"/>
  <c r="AC16" i="15"/>
  <c r="CW150" i="11"/>
  <c r="J658" i="32"/>
  <c r="J659" i="32" s="1"/>
  <c r="J660" i="32" s="1"/>
  <c r="AC38" i="15"/>
  <c r="AC34" i="15" s="1"/>
  <c r="AC40" i="15" s="1"/>
  <c r="N34" i="18"/>
  <c r="CQ102" i="11" l="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CR40" i="5" s="1"/>
  <c r="AF62" i="6"/>
  <c r="AE285" i="11"/>
  <c r="CW152" i="11"/>
  <c r="CU17" i="15"/>
  <c r="AE15" i="5"/>
  <c r="AE14" i="5" s="1"/>
  <c r="AF66" i="6" s="1"/>
  <c r="AF75" i="6" s="1"/>
  <c r="AC42" i="15"/>
  <c r="CR102" i="11" l="1"/>
  <c r="CS99" i="11" s="1"/>
  <c r="CX150" i="11"/>
  <c r="CY147" i="11" s="1"/>
  <c r="AF80" i="6"/>
  <c r="AE98" i="5"/>
  <c r="AE17" i="19"/>
  <c r="AF76" i="6"/>
  <c r="AG73" i="6" s="1"/>
  <c r="AF64" i="6"/>
  <c r="AF69" i="6"/>
  <c r="CW154" i="11"/>
  <c r="CW53" i="5" s="1"/>
  <c r="CW26" i="15" l="1"/>
  <c r="Z21" i="18" s="1"/>
  <c r="CQ28" i="15"/>
  <c r="CQ25" i="15" s="1"/>
  <c r="CQ24" i="15" s="1"/>
  <c r="CW155" i="11"/>
  <c r="CV17" i="15" s="1"/>
  <c r="AE95" i="5"/>
  <c r="CW49" i="5"/>
  <c r="AF70" i="6"/>
  <c r="AE103" i="5"/>
  <c r="AE28" i="19"/>
  <c r="AF81" i="6"/>
  <c r="AG78" i="6" s="1"/>
  <c r="CY149" i="11"/>
  <c r="CY51" i="5" s="1"/>
  <c r="CS101" i="11"/>
  <c r="CS41" i="5" s="1"/>
  <c r="AE19" i="19"/>
  <c r="AE14" i="19"/>
  <c r="AE20" i="19"/>
  <c r="Y23" i="18" l="1"/>
  <c r="K219" i="32" s="1"/>
  <c r="K224" i="32" s="1"/>
  <c r="CX152" i="11"/>
  <c r="CX154" i="11" s="1"/>
  <c r="CX53" i="5" s="1"/>
  <c r="CX49" i="5" s="1"/>
  <c r="CY150" i="11"/>
  <c r="CZ147" i="11" s="1"/>
  <c r="AF89" i="6"/>
  <c r="CS40" i="5"/>
  <c r="AE100" i="5"/>
  <c r="CS102" i="11"/>
  <c r="AE25" i="19"/>
  <c r="AE30" i="19"/>
  <c r="AE31" i="19"/>
  <c r="AE123" i="5"/>
  <c r="AE124" i="5"/>
  <c r="AF71" i="6"/>
  <c r="AG68" i="6" s="1"/>
  <c r="Y20" i="18" l="1"/>
  <c r="Y19" i="18" s="1"/>
  <c r="CX26" i="15"/>
  <c r="CX155" i="11"/>
  <c r="CW17" i="15" s="1"/>
  <c r="Z12" i="18" s="1"/>
  <c r="CT99" i="11"/>
  <c r="CR28" i="15"/>
  <c r="CR25" i="15" s="1"/>
  <c r="CR24" i="15" s="1"/>
  <c r="AE125" i="5"/>
  <c r="AE126" i="5"/>
  <c r="CZ149" i="11"/>
  <c r="CZ51" i="5" s="1"/>
  <c r="AF94" i="6"/>
  <c r="AF95" i="6" s="1"/>
  <c r="AF96" i="6" s="1"/>
  <c r="AG93" i="6" s="1"/>
  <c r="AF90" i="6"/>
  <c r="AF91" i="6" s="1"/>
  <c r="AG88" i="6" s="1"/>
  <c r="CY152" i="11" l="1"/>
  <c r="CY154" i="11" s="1"/>
  <c r="CY53" i="5" s="1"/>
  <c r="AF99" i="6"/>
  <c r="AE113" i="5"/>
  <c r="CZ150" i="11"/>
  <c r="CT101" i="11"/>
  <c r="CT41" i="5" s="1"/>
  <c r="CY155" i="11" l="1"/>
  <c r="CZ152" i="11" s="1"/>
  <c r="AE110" i="5"/>
  <c r="AE39" i="19"/>
  <c r="AE286" i="11"/>
  <c r="AE287" i="11" s="1"/>
  <c r="CT102" i="11"/>
  <c r="AE54" i="19"/>
  <c r="AF100" i="6"/>
  <c r="CT40" i="5"/>
  <c r="DA147" i="11"/>
  <c r="CY26" i="15"/>
  <c r="CY49" i="5"/>
  <c r="CX17" i="15" l="1"/>
  <c r="CZ154" i="11"/>
  <c r="CZ53" i="5" s="1"/>
  <c r="AE57" i="19"/>
  <c r="AE56" i="19"/>
  <c r="CU99" i="11"/>
  <c r="CS28" i="15"/>
  <c r="CS25" i="15" s="1"/>
  <c r="CS24" i="15" s="1"/>
  <c r="DA149" i="11"/>
  <c r="DA51" i="5" s="1"/>
  <c r="AD39" i="15"/>
  <c r="AD38" i="15" s="1"/>
  <c r="AD34" i="15" s="1"/>
  <c r="AD40" i="15" s="1"/>
  <c r="AF284" i="11"/>
  <c r="AE41" i="19"/>
  <c r="AE42" i="19"/>
  <c r="AE36" i="19"/>
  <c r="AE49" i="19"/>
  <c r="AE48" i="19"/>
  <c r="AF101" i="6"/>
  <c r="AG98" i="6" s="1"/>
  <c r="AE133" i="5"/>
  <c r="AE129" i="5"/>
  <c r="AE131" i="5" s="1"/>
  <c r="AE67" i="5"/>
  <c r="AE120" i="5" s="1"/>
  <c r="AE122" i="5" s="1"/>
  <c r="AE130" i="5"/>
  <c r="AE132" i="5" s="1"/>
  <c r="CZ155" i="11" l="1"/>
  <c r="DA152" i="11" s="1"/>
  <c r="AD16" i="15"/>
  <c r="AD15" i="15" s="1"/>
  <c r="AD14" i="15" s="1"/>
  <c r="AD41" i="15" s="1"/>
  <c r="AF121" i="5"/>
  <c r="AG44" i="6"/>
  <c r="CU101" i="11"/>
  <c r="CU41" i="5" s="1"/>
  <c r="DA150" i="11"/>
  <c r="CZ49" i="5"/>
  <c r="CY17" i="15" l="1"/>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DB150" i="11" l="1"/>
  <c r="DA26" i="15" s="1"/>
  <c r="DB152" i="11"/>
  <c r="DB154" i="11" s="1"/>
  <c r="DB53" i="5" s="1"/>
  <c r="CV102" i="11"/>
  <c r="CW99" i="11" s="1"/>
  <c r="AG75" i="6"/>
  <c r="AG80" i="6" s="1"/>
  <c r="CV40" i="5"/>
  <c r="AG69" i="6"/>
  <c r="AG64" i="6"/>
  <c r="DC147" i="11" l="1"/>
  <c r="DC149" i="11" s="1"/>
  <c r="DC51" i="5" s="1"/>
  <c r="CU28" i="15"/>
  <c r="CU25" i="15" s="1"/>
  <c r="CU24" i="15" s="1"/>
  <c r="AF103" i="5"/>
  <c r="AF28" i="19"/>
  <c r="AG81" i="6"/>
  <c r="AH78" i="6" s="1"/>
  <c r="AF98" i="5"/>
  <c r="AF17" i="19"/>
  <c r="AG76" i="6"/>
  <c r="AH73" i="6" s="1"/>
  <c r="DB49" i="5"/>
  <c r="DB155" i="11"/>
  <c r="AG70" i="6"/>
  <c r="AG89" i="6" s="1"/>
  <c r="CW101" i="11"/>
  <c r="CW41" i="5" s="1"/>
  <c r="AG71" i="6" l="1"/>
  <c r="AH68" i="6" s="1"/>
  <c r="CW102" i="11"/>
  <c r="CX99" i="11" s="1"/>
  <c r="DC150" i="11"/>
  <c r="DB26" i="15" s="1"/>
  <c r="AG94" i="6"/>
  <c r="AG95" i="6" s="1"/>
  <c r="AG96" i="6" s="1"/>
  <c r="AH93" i="6" s="1"/>
  <c r="AG90" i="6"/>
  <c r="AF95" i="5"/>
  <c r="AF31" i="19"/>
  <c r="AF25" i="19"/>
  <c r="AF30" i="19"/>
  <c r="AF100" i="5"/>
  <c r="CW40" i="5"/>
  <c r="DA17" i="15"/>
  <c r="DC152" i="11"/>
  <c r="AF14" i="19"/>
  <c r="AF19" i="19"/>
  <c r="AF20" i="19"/>
  <c r="CV28" i="15" l="1"/>
  <c r="CV25" i="15" s="1"/>
  <c r="CV24" i="15" s="1"/>
  <c r="DD147" i="11"/>
  <c r="DD149" i="11" s="1"/>
  <c r="DD51" i="5" s="1"/>
  <c r="AG99" i="6"/>
  <c r="AG100" i="6" s="1"/>
  <c r="AG91" i="6"/>
  <c r="AH88" i="6" s="1"/>
  <c r="AF113" i="5"/>
  <c r="AF123" i="5"/>
  <c r="AF124" i="5"/>
  <c r="CX101" i="11"/>
  <c r="CX41" i="5" s="1"/>
  <c r="CX40" i="5" s="1"/>
  <c r="AF126" i="5"/>
  <c r="AF125" i="5"/>
  <c r="DC154" i="11"/>
  <c r="DC53" i="5" s="1"/>
  <c r="DC49" i="5" s="1"/>
  <c r="AF54" i="19" l="1"/>
  <c r="AF57" i="19" s="1"/>
  <c r="DC155" i="11"/>
  <c r="DB17" i="15" s="1"/>
  <c r="CX102" i="11"/>
  <c r="CY99" i="11" s="1"/>
  <c r="DD150" i="11"/>
  <c r="DC26" i="15" s="1"/>
  <c r="AG101" i="6"/>
  <c r="AH98" i="6" s="1"/>
  <c r="AF110" i="5"/>
  <c r="AF39" i="19"/>
  <c r="AF286" i="11"/>
  <c r="AF287" i="11" s="1"/>
  <c r="CW28" i="15" l="1"/>
  <c r="CW25" i="15" s="1"/>
  <c r="CW24" i="15" s="1"/>
  <c r="DD152" i="11"/>
  <c r="DD154" i="11" s="1"/>
  <c r="DD53" i="5" s="1"/>
  <c r="DD49" i="5" s="1"/>
  <c r="AF56" i="19"/>
  <c r="DE147" i="11"/>
  <c r="DE149" i="11" s="1"/>
  <c r="AA21" i="18"/>
  <c r="AE39" i="15"/>
  <c r="AE38" i="15" s="1"/>
  <c r="AE34" i="15" s="1"/>
  <c r="AE40" i="15" s="1"/>
  <c r="AG284" i="11"/>
  <c r="AF36" i="19"/>
  <c r="AF42" i="19"/>
  <c r="AF41" i="19"/>
  <c r="AF49" i="19"/>
  <c r="AF48" i="19"/>
  <c r="AF130" i="5"/>
  <c r="AF132" i="5" s="1"/>
  <c r="AF67" i="5"/>
  <c r="AF120" i="5" s="1"/>
  <c r="AF122" i="5" s="1"/>
  <c r="AF133" i="5"/>
  <c r="AF129" i="5"/>
  <c r="AF131" i="5" s="1"/>
  <c r="CY101" i="11"/>
  <c r="CY41" i="5" s="1"/>
  <c r="Z23" i="18" l="1"/>
  <c r="Z20" i="18" s="1"/>
  <c r="Z19" i="18" s="1"/>
  <c r="DE51" i="5"/>
  <c r="DE150" i="11"/>
  <c r="DF147" i="11" s="1"/>
  <c r="DD155" i="11"/>
  <c r="DC17" i="15" s="1"/>
  <c r="AA12" i="18" s="1"/>
  <c r="L211" i="32" s="1"/>
  <c r="CY102" i="11"/>
  <c r="CZ99" i="11" s="1"/>
  <c r="AG121" i="5"/>
  <c r="AH44" i="6"/>
  <c r="AE16" i="15"/>
  <c r="AE15" i="15" s="1"/>
  <c r="AE14" i="15" s="1"/>
  <c r="AE41" i="15" s="1"/>
  <c r="CY40" i="5"/>
  <c r="DE152" i="11" l="1"/>
  <c r="DE154" i="11" s="1"/>
  <c r="DE53" i="5" s="1"/>
  <c r="DD26" i="15"/>
  <c r="CX28" i="15"/>
  <c r="CX25" i="15" s="1"/>
  <c r="CX24" i="15" s="1"/>
  <c r="CZ101" i="11"/>
  <c r="CZ41" i="5" s="1"/>
  <c r="DF149" i="11"/>
  <c r="DF51" i="5" s="1"/>
  <c r="AG20" i="5"/>
  <c r="AH43" i="6"/>
  <c r="AH42" i="6" s="1"/>
  <c r="AH55" i="6" s="1"/>
  <c r="AH57" i="6" s="1"/>
  <c r="O26" i="35"/>
  <c r="O25" i="35" s="1"/>
  <c r="L26" i="30"/>
  <c r="L25" i="30" s="1"/>
  <c r="K562" i="32"/>
  <c r="K561" i="32" s="1"/>
  <c r="K574" i="32" s="1"/>
  <c r="O35" i="35"/>
  <c r="L34" i="30"/>
  <c r="O37" i="35"/>
  <c r="L36" i="30"/>
  <c r="K456" i="32"/>
  <c r="K457" i="32" s="1"/>
  <c r="AE42" i="15"/>
  <c r="DE155" i="11" l="1"/>
  <c r="DD17" i="15" s="1"/>
  <c r="DF150" i="11"/>
  <c r="DG147" i="11" s="1"/>
  <c r="DG149" i="11" s="1"/>
  <c r="AG15" i="5"/>
  <c r="AG14" i="5" s="1"/>
  <c r="AH66" i="6" s="1"/>
  <c r="AH75" i="6" s="1"/>
  <c r="K601" i="32"/>
  <c r="K600" i="32" s="1"/>
  <c r="K585" i="32" s="1"/>
  <c r="CZ40" i="5"/>
  <c r="K461" i="32"/>
  <c r="K460" i="32"/>
  <c r="AG285" i="11"/>
  <c r="AH62" i="6"/>
  <c r="CZ102" i="11"/>
  <c r="DE49" i="5"/>
  <c r="DF152" i="11" l="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AG28" i="19"/>
  <c r="L46" i="30"/>
  <c r="L48" i="30" s="1"/>
  <c r="O47" i="35"/>
  <c r="O49" i="35" s="1"/>
  <c r="AH81" i="6"/>
  <c r="AI78" i="6" s="1"/>
  <c r="O48" i="35"/>
  <c r="DH147" i="11"/>
  <c r="DF26" i="15"/>
  <c r="AG19" i="19"/>
  <c r="AG20" i="19"/>
  <c r="AG14" i="19"/>
  <c r="DF49" i="5"/>
  <c r="AG95" i="5"/>
  <c r="K625" i="32"/>
  <c r="DA101" i="11"/>
  <c r="DA41" i="5" s="1"/>
  <c r="AH70" i="6"/>
  <c r="DE17" i="15" l="1"/>
  <c r="DA102" i="11"/>
  <c r="DB99" i="11" s="1"/>
  <c r="AG31" i="19"/>
  <c r="AG25" i="19"/>
  <c r="AG30" i="19"/>
  <c r="AG100" i="5"/>
  <c r="K626" i="32"/>
  <c r="AH89" i="6"/>
  <c r="AG123" i="5"/>
  <c r="AG124" i="5"/>
  <c r="DG154" i="11"/>
  <c r="DG53" i="5" s="1"/>
  <c r="AH71" i="6"/>
  <c r="AI68" i="6" s="1"/>
  <c r="DA40" i="5"/>
  <c r="DH149" i="11"/>
  <c r="DH51" i="5" s="1"/>
  <c r="CZ28" i="15" l="1"/>
  <c r="CZ25" i="15" s="1"/>
  <c r="CZ24" i="15" s="1"/>
  <c r="DH150" i="11"/>
  <c r="DG26" i="15" s="1"/>
  <c r="DG155" i="11"/>
  <c r="DH152" i="11" s="1"/>
  <c r="DG49" i="5"/>
  <c r="AH94" i="6"/>
  <c r="AH90" i="6"/>
  <c r="AG126" i="5"/>
  <c r="AG125" i="5"/>
  <c r="DB101" i="11"/>
  <c r="DB41" i="5" s="1"/>
  <c r="DI147" i="11" l="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54" i="19"/>
  <c r="AG110" i="5"/>
  <c r="AG39" i="19"/>
  <c r="K627" i="32"/>
  <c r="K616" i="32" s="1"/>
  <c r="K631" i="32" s="1"/>
  <c r="K633" i="32" s="1"/>
  <c r="L632" i="32" s="1"/>
  <c r="C632" i="32" s="1"/>
  <c r="AG286" i="11"/>
  <c r="AG287" i="11" s="1"/>
  <c r="DH49" i="5"/>
  <c r="DC101" i="11"/>
  <c r="DC41" i="5" s="1"/>
  <c r="DJ147" i="11" l="1"/>
  <c r="DJ149" i="11" s="1"/>
  <c r="DJ51" i="5" s="1"/>
  <c r="DI152" i="11"/>
  <c r="DI154" i="11" s="1"/>
  <c r="DI53" i="5" s="1"/>
  <c r="DC102" i="11"/>
  <c r="DD99" i="11" s="1"/>
  <c r="AG67" i="5"/>
  <c r="AG120" i="5" s="1"/>
  <c r="AG122" i="5" s="1"/>
  <c r="AG133" i="5"/>
  <c r="AG129" i="5"/>
  <c r="AG131" i="5" s="1"/>
  <c r="AG130" i="5"/>
  <c r="AG132" i="5" s="1"/>
  <c r="AG56" i="19"/>
  <c r="AG57" i="19"/>
  <c r="DC40" i="5"/>
  <c r="AF39" i="15"/>
  <c r="AH284" i="11"/>
  <c r="AG42" i="19"/>
  <c r="AG36" i="19"/>
  <c r="AG41" i="19"/>
  <c r="AG48" i="19"/>
  <c r="AG49" i="19"/>
  <c r="DB28" i="15" l="1"/>
  <c r="DB25" i="15" s="1"/>
  <c r="DB24" i="15" s="1"/>
  <c r="DI155" i="11"/>
  <c r="DJ152" i="11" s="1"/>
  <c r="K658" i="32"/>
  <c r="K659" i="32" s="1"/>
  <c r="K660" i="32" s="1"/>
  <c r="AF38" i="15"/>
  <c r="AF34" i="15" s="1"/>
  <c r="AF40" i="15" s="1"/>
  <c r="AF16" i="15"/>
  <c r="AH121" i="5"/>
  <c r="AI44" i="6"/>
  <c r="DD101" i="11"/>
  <c r="DD41" i="5" s="1"/>
  <c r="DD40" i="5" s="1"/>
  <c r="DI49" i="5"/>
  <c r="DJ150" i="11"/>
  <c r="DH17" i="15" l="1"/>
  <c r="DI26" i="15"/>
  <c r="DK147" i="11"/>
  <c r="DD102" i="11"/>
  <c r="K640" i="32"/>
  <c r="K647" i="32" s="1"/>
  <c r="K661" i="32" s="1"/>
  <c r="AF15" i="15"/>
  <c r="AF14" i="15" s="1"/>
  <c r="AF41" i="15" s="1"/>
  <c r="AI43" i="6"/>
  <c r="AI42" i="6" s="1"/>
  <c r="AI55" i="6" s="1"/>
  <c r="AI57" i="6" s="1"/>
  <c r="AH20" i="5"/>
  <c r="DJ154" i="11"/>
  <c r="DJ53" i="5" s="1"/>
  <c r="DJ49" i="5" s="1"/>
  <c r="AF42" i="15" l="1"/>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AI69" i="6"/>
  <c r="AI64" i="6"/>
  <c r="DK154" i="11"/>
  <c r="DK53" i="5" s="1"/>
  <c r="DK155" i="11" l="1"/>
  <c r="DJ17" i="15" s="1"/>
  <c r="DE102" i="11"/>
  <c r="AH19" i="19"/>
  <c r="AH20" i="19"/>
  <c r="AH14" i="19"/>
  <c r="AI70" i="6"/>
  <c r="AI71" i="6" s="1"/>
  <c r="AJ68" i="6" s="1"/>
  <c r="AH95" i="5"/>
  <c r="DE40" i="5"/>
  <c r="L219" i="32"/>
  <c r="L224" i="32" s="1"/>
  <c r="AA20" i="18"/>
  <c r="AA19" i="18" s="1"/>
  <c r="DK49" i="5"/>
  <c r="DL147" i="11"/>
  <c r="DJ26" i="15"/>
  <c r="AH103" i="5"/>
  <c r="AH28" i="19"/>
  <c r="AI81" i="6"/>
  <c r="AJ78" i="6" s="1"/>
  <c r="DL152" i="11" l="1"/>
  <c r="DL154" i="11" s="1"/>
  <c r="DL53" i="5" s="1"/>
  <c r="AH123" i="5"/>
  <c r="AH124" i="5"/>
  <c r="DF99" i="11"/>
  <c r="DD28" i="15"/>
  <c r="DD25" i="15" s="1"/>
  <c r="DD24" i="15" s="1"/>
  <c r="AH25" i="19"/>
  <c r="AH30" i="19"/>
  <c r="AH31" i="19"/>
  <c r="AI89" i="6"/>
  <c r="DL149" i="11"/>
  <c r="DL51" i="5" s="1"/>
  <c r="AH100" i="5"/>
  <c r="DL150" i="11" l="1"/>
  <c r="DF101" i="11"/>
  <c r="DF41" i="5" s="1"/>
  <c r="DL49" i="5"/>
  <c r="AH125" i="5"/>
  <c r="AH126" i="5"/>
  <c r="DL155" i="11"/>
  <c r="AI94" i="6"/>
  <c r="AI95" i="6" s="1"/>
  <c r="AI96" i="6" s="1"/>
  <c r="AJ93" i="6" s="1"/>
  <c r="AI90" i="6"/>
  <c r="AI99" i="6" l="1"/>
  <c r="DF102" i="11"/>
  <c r="DF40" i="5"/>
  <c r="AI91" i="6"/>
  <c r="AJ88" i="6" s="1"/>
  <c r="AH113" i="5"/>
  <c r="DM152" i="11"/>
  <c r="DK17" i="15"/>
  <c r="DM147" i="11"/>
  <c r="DK26" i="15"/>
  <c r="DM154" i="11" l="1"/>
  <c r="DM53" i="5" s="1"/>
  <c r="DG99" i="11"/>
  <c r="DE28" i="15"/>
  <c r="DE25" i="15" s="1"/>
  <c r="DE24" i="15" s="1"/>
  <c r="AH54" i="19"/>
  <c r="AI100" i="6"/>
  <c r="DM149" i="11"/>
  <c r="DM51" i="5" s="1"/>
  <c r="AH110" i="5"/>
  <c r="AH39" i="19"/>
  <c r="AH286" i="11"/>
  <c r="AH287" i="11" s="1"/>
  <c r="DM155" i="11" l="1"/>
  <c r="DL17" i="15" s="1"/>
  <c r="DM49" i="5"/>
  <c r="AI284" i="11"/>
  <c r="AG39" i="15"/>
  <c r="AG38" i="15" s="1"/>
  <c r="AG34" i="15" s="1"/>
  <c r="AG40" i="15" s="1"/>
  <c r="AH42" i="19"/>
  <c r="AH41" i="19"/>
  <c r="AH36" i="19"/>
  <c r="AH48" i="19"/>
  <c r="AH49" i="19"/>
  <c r="AI101" i="6"/>
  <c r="AJ98" i="6" s="1"/>
  <c r="DG101" i="11"/>
  <c r="DG41" i="5" s="1"/>
  <c r="AH130" i="5"/>
  <c r="AH132" i="5" s="1"/>
  <c r="AH67" i="5"/>
  <c r="AH120" i="5" s="1"/>
  <c r="AH122" i="5" s="1"/>
  <c r="AH133" i="5"/>
  <c r="AH129" i="5"/>
  <c r="AH131" i="5" s="1"/>
  <c r="AH57" i="19"/>
  <c r="AH56" i="19"/>
  <c r="DM150" i="11"/>
  <c r="DN152" i="11" l="1"/>
  <c r="DN154" i="11" s="1"/>
  <c r="DN53" i="5" s="1"/>
  <c r="DG102" i="11"/>
  <c r="DF28" i="15" s="1"/>
  <c r="DF25" i="15" s="1"/>
  <c r="DF24" i="15" s="1"/>
  <c r="AG16" i="15"/>
  <c r="AG15" i="15" s="1"/>
  <c r="AG14" i="15" s="1"/>
  <c r="AG41" i="15" s="1"/>
  <c r="AI121" i="5"/>
  <c r="AJ44" i="6"/>
  <c r="DN147" i="11"/>
  <c r="DL26" i="15"/>
  <c r="DG40" i="5"/>
  <c r="DH99" i="11" l="1"/>
  <c r="DH101" i="11" s="1"/>
  <c r="DH41" i="5" s="1"/>
  <c r="DN155" i="11"/>
  <c r="DM17" i="15" s="1"/>
  <c r="AI20" i="5"/>
  <c r="AJ43" i="6"/>
  <c r="AJ42" i="6" s="1"/>
  <c r="AJ55" i="6" s="1"/>
  <c r="AJ57" i="6" s="1"/>
  <c r="DN149" i="11"/>
  <c r="DN51" i="5" s="1"/>
  <c r="AG42" i="15"/>
  <c r="DO152" i="11" l="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28" i="19"/>
  <c r="AI103" i="5"/>
  <c r="AJ81" i="6"/>
  <c r="AK78" i="6" s="1"/>
  <c r="DI101" i="11"/>
  <c r="DI41" i="5" s="1"/>
  <c r="DO49" i="5"/>
  <c r="DN26" i="15" l="1"/>
  <c r="DI102" i="11"/>
  <c r="DH28" i="15" s="1"/>
  <c r="DH25" i="15" s="1"/>
  <c r="DH24" i="15" s="1"/>
  <c r="AI25" i="19"/>
  <c r="AI30" i="19"/>
  <c r="AI31" i="19"/>
  <c r="DP149" i="11"/>
  <c r="DP51" i="5" s="1"/>
  <c r="DP49" i="5" s="1"/>
  <c r="AI123" i="5"/>
  <c r="AI124" i="5"/>
  <c r="DP155" i="11"/>
  <c r="DI40" i="5"/>
  <c r="AI100" i="5"/>
  <c r="AJ71" i="6"/>
  <c r="AK68" i="6" s="1"/>
  <c r="AJ89" i="6"/>
  <c r="DJ99" i="11" l="1"/>
  <c r="DJ101" i="11" s="1"/>
  <c r="DJ41" i="5" s="1"/>
  <c r="DJ40" i="5" s="1"/>
  <c r="DP150" i="11"/>
  <c r="DQ147" i="11" s="1"/>
  <c r="AJ94" i="6"/>
  <c r="AJ95" i="6" s="1"/>
  <c r="AJ96" i="6" s="1"/>
  <c r="AK93" i="6" s="1"/>
  <c r="AJ90" i="6"/>
  <c r="AI125" i="5"/>
  <c r="AI126" i="5"/>
  <c r="DO17" i="15"/>
  <c r="AC12" i="18" s="1"/>
  <c r="M211" i="32" s="1"/>
  <c r="DQ152" i="11"/>
  <c r="DO26" i="15" l="1"/>
  <c r="AC21" i="18" s="1"/>
  <c r="AJ99" i="6"/>
  <c r="AI54" i="19" s="1"/>
  <c r="AJ91" i="6"/>
  <c r="AK88" i="6" s="1"/>
  <c r="AI113" i="5"/>
  <c r="DQ149" i="11"/>
  <c r="DQ51" i="5" s="1"/>
  <c r="DQ154" i="11"/>
  <c r="DQ53" i="5" s="1"/>
  <c r="DJ102" i="11"/>
  <c r="DQ150" i="11" l="1"/>
  <c r="DR147" i="11" s="1"/>
  <c r="AJ100" i="6"/>
  <c r="AJ101" i="6" s="1"/>
  <c r="AK98" i="6" s="1"/>
  <c r="AI110" i="5"/>
  <c r="AI39" i="19"/>
  <c r="AI286" i="11"/>
  <c r="AI287" i="11" s="1"/>
  <c r="AI57" i="19"/>
  <c r="AI56" i="19"/>
  <c r="DQ155" i="11"/>
  <c r="DK99" i="11"/>
  <c r="DI28" i="15"/>
  <c r="DQ49" i="5"/>
  <c r="DP26" i="15" l="1"/>
  <c r="DK101" i="11"/>
  <c r="DK41" i="5" s="1"/>
  <c r="AH39" i="15"/>
  <c r="AH38" i="15" s="1"/>
  <c r="AH34" i="15" s="1"/>
  <c r="AH40" i="15" s="1"/>
  <c r="AJ284" i="11"/>
  <c r="AI41" i="19"/>
  <c r="AI42" i="19"/>
  <c r="AI36" i="19"/>
  <c r="AI49" i="19"/>
  <c r="AI48" i="19"/>
  <c r="DR152" i="11"/>
  <c r="DP17" i="15"/>
  <c r="DR149" i="11"/>
  <c r="DR51" i="5" s="1"/>
  <c r="AI133" i="5"/>
  <c r="AI67" i="5"/>
  <c r="AI120" i="5" s="1"/>
  <c r="AI122" i="5" s="1"/>
  <c r="AI129" i="5"/>
  <c r="AI131" i="5" s="1"/>
  <c r="AI130" i="5"/>
  <c r="AI132" i="5" s="1"/>
  <c r="AB23" i="18"/>
  <c r="AB20" i="18" s="1"/>
  <c r="AB19" i="18" s="1"/>
  <c r="DI25" i="15"/>
  <c r="DI24" i="15" s="1"/>
  <c r="DR150" i="11" l="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S152" i="11"/>
  <c r="DQ17" i="15"/>
  <c r="L561" i="32"/>
  <c r="C562" i="32"/>
  <c r="DS150" i="11"/>
  <c r="L457" i="32"/>
  <c r="D456" i="32"/>
  <c r="P25" i="35"/>
  <c r="H25" i="35" s="1"/>
  <c r="H26" i="35"/>
  <c r="AJ285" i="11"/>
  <c r="AK62" i="6"/>
  <c r="M25" i="30"/>
  <c r="E25" i="30" s="1"/>
  <c r="E26" i="30"/>
  <c r="AJ15" i="5"/>
  <c r="AJ14" i="5" s="1"/>
  <c r="AK66" i="6" s="1"/>
  <c r="AK75" i="6" s="1"/>
  <c r="L601" i="32"/>
  <c r="DL40" i="5" l="1"/>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AJ28" i="19"/>
  <c r="P47" i="35"/>
  <c r="H47" i="35" s="1"/>
  <c r="M46" i="30"/>
  <c r="E46" i="30" s="1"/>
  <c r="AK81" i="6"/>
  <c r="AL78" i="6" s="1"/>
  <c r="E45" i="30"/>
  <c r="M47" i="30"/>
  <c r="DT149" i="11"/>
  <c r="DT51" i="5" s="1"/>
  <c r="AJ20" i="19"/>
  <c r="AJ14" i="19"/>
  <c r="AJ19" i="19"/>
  <c r="C461" i="32"/>
  <c r="C460" i="32"/>
  <c r="DR17" i="15" l="1"/>
  <c r="M48" i="30"/>
  <c r="P49" i="35"/>
  <c r="DM101" i="11"/>
  <c r="DM41" i="5" s="1"/>
  <c r="AJ124" i="5"/>
  <c r="AJ123" i="5"/>
  <c r="DT154" i="11"/>
  <c r="DT53" i="5" s="1"/>
  <c r="DT150" i="11"/>
  <c r="AJ25" i="19"/>
  <c r="AJ31" i="19"/>
  <c r="AJ30" i="19"/>
  <c r="AJ100" i="5"/>
  <c r="L626" i="32"/>
  <c r="C626" i="32" s="1"/>
  <c r="C585" i="32"/>
  <c r="C625" i="32"/>
  <c r="Q73" i="16"/>
  <c r="Q76" i="16" s="1"/>
  <c r="Q80" i="16"/>
  <c r="AK89" i="6"/>
  <c r="Q77" i="16" l="1"/>
  <c r="DT155" i="11"/>
  <c r="DM102" i="11"/>
  <c r="DM40" i="5"/>
  <c r="AK94" i="6"/>
  <c r="AK90" i="6"/>
  <c r="AJ113" i="5" s="1"/>
  <c r="AJ125" i="5"/>
  <c r="AJ126" i="5"/>
  <c r="DT49" i="5"/>
  <c r="DU147" i="11"/>
  <c r="DS26" i="15"/>
  <c r="AK91" i="6" l="1"/>
  <c r="AL88" i="6" s="1"/>
  <c r="DN99" i="11"/>
  <c r="DL28" i="15"/>
  <c r="DL25" i="15" s="1"/>
  <c r="DL24" i="15" s="1"/>
  <c r="DU149" i="11"/>
  <c r="DU51" i="5" s="1"/>
  <c r="DS17" i="15"/>
  <c r="DU152" i="11"/>
  <c r="AJ110" i="5"/>
  <c r="AJ39" i="19"/>
  <c r="L627" i="32"/>
  <c r="AJ286" i="11"/>
  <c r="AJ287" i="11" s="1"/>
  <c r="AK99" i="6"/>
  <c r="AK95" i="6"/>
  <c r="AK96" i="6" s="1"/>
  <c r="AL93" i="6" s="1"/>
  <c r="AI39" i="15" l="1"/>
  <c r="AK284" i="11"/>
  <c r="DU150" i="11"/>
  <c r="C627" i="32"/>
  <c r="L616" i="32"/>
  <c r="DU154" i="11"/>
  <c r="DU53" i="5" s="1"/>
  <c r="DU49" i="5" s="1"/>
  <c r="AJ49" i="19"/>
  <c r="S379" i="32" s="1"/>
  <c r="AJ41" i="19"/>
  <c r="AJ42" i="19"/>
  <c r="AJ36" i="19"/>
  <c r="AJ48" i="19"/>
  <c r="Q379" i="32" s="1"/>
  <c r="AJ54" i="19"/>
  <c r="AK100" i="6"/>
  <c r="AK101" i="6" s="1"/>
  <c r="AL98" i="6" s="1"/>
  <c r="AJ129" i="5"/>
  <c r="AJ131" i="5" s="1"/>
  <c r="AJ130" i="5"/>
  <c r="AJ132" i="5" s="1"/>
  <c r="AJ133" i="5"/>
  <c r="AJ67" i="5"/>
  <c r="AJ120" i="5" s="1"/>
  <c r="AJ122" i="5" s="1"/>
  <c r="DN101" i="11"/>
  <c r="DN41" i="5" s="1"/>
  <c r="DU155" i="11" l="1"/>
  <c r="DV152" i="11" s="1"/>
  <c r="DN40" i="5"/>
  <c r="DT26" i="15"/>
  <c r="DV147" i="11"/>
  <c r="AL44" i="6"/>
  <c r="AI16" i="15"/>
  <c r="AK121" i="5"/>
  <c r="DN102" i="11"/>
  <c r="AJ57" i="19"/>
  <c r="AJ5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V150" i="11"/>
  <c r="DU17" i="15" l="1"/>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DP40" i="5" s="1"/>
  <c r="AD21" i="18"/>
  <c r="AK28" i="19"/>
  <c r="AK103" i="5"/>
  <c r="AL81" i="6"/>
  <c r="AM78" i="6" s="1"/>
  <c r="AK98" i="5"/>
  <c r="AK17" i="19"/>
  <c r="AL76" i="6"/>
  <c r="AM73" i="6" s="1"/>
  <c r="DW149" i="11"/>
  <c r="DW51" i="5" s="1"/>
  <c r="DW150" i="11" l="1"/>
  <c r="DX147" i="11" s="1"/>
  <c r="DV17" i="15"/>
  <c r="DP102" i="11"/>
  <c r="DQ99" i="11" s="1"/>
  <c r="AK100" i="5"/>
  <c r="AK19" i="19"/>
  <c r="AK20" i="19"/>
  <c r="AK14" i="19"/>
  <c r="AK25" i="19"/>
  <c r="AK30" i="19"/>
  <c r="AK31" i="19"/>
  <c r="DW49" i="5"/>
  <c r="AK95" i="5"/>
  <c r="AL94" i="6"/>
  <c r="AL90" i="6"/>
  <c r="DX154" i="11"/>
  <c r="DX53" i="5" s="1"/>
  <c r="AL71" i="6"/>
  <c r="AM68" i="6" s="1"/>
  <c r="DV26" i="15" l="1"/>
  <c r="DO28" i="15"/>
  <c r="DO25" i="15" s="1"/>
  <c r="DO24" i="15" s="1"/>
  <c r="DX149" i="11"/>
  <c r="DX51" i="5" s="1"/>
  <c r="DQ101" i="11"/>
  <c r="DQ41" i="5" s="1"/>
  <c r="AL91" i="6"/>
  <c r="AM88" i="6" s="1"/>
  <c r="AK113" i="5"/>
  <c r="DX155" i="11"/>
  <c r="AL99" i="6"/>
  <c r="AL95" i="6"/>
  <c r="AL96" i="6" s="1"/>
  <c r="AM93" i="6" s="1"/>
  <c r="AK126" i="5"/>
  <c r="AK125" i="5"/>
  <c r="AK124" i="5"/>
  <c r="AK123" i="5"/>
  <c r="DX150" i="11" l="1"/>
  <c r="DW26" i="15" s="1"/>
  <c r="AC23" i="18"/>
  <c r="M219" i="32" s="1"/>
  <c r="M224" i="32" s="1"/>
  <c r="DQ102" i="11"/>
  <c r="DP28" i="15" s="1"/>
  <c r="DP25" i="15" s="1"/>
  <c r="DP24" i="15" s="1"/>
  <c r="AK110" i="5"/>
  <c r="AK39" i="19"/>
  <c r="AK286" i="11"/>
  <c r="AK287" i="11" s="1"/>
  <c r="AK54" i="19"/>
  <c r="AL100" i="6"/>
  <c r="DW17" i="15"/>
  <c r="DY152" i="11"/>
  <c r="DQ40" i="5"/>
  <c r="DX49" i="5"/>
  <c r="DR99" i="11" l="1"/>
  <c r="DR101" i="11" s="1"/>
  <c r="DR41" i="5" s="1"/>
  <c r="DY147" i="11"/>
  <c r="DY149" i="11" s="1"/>
  <c r="DY51" i="5" s="1"/>
  <c r="AC20" i="18"/>
  <c r="AC19" i="18" s="1"/>
  <c r="AK57" i="19"/>
  <c r="AK56" i="19"/>
  <c r="DY154" i="11"/>
  <c r="DY53" i="5" s="1"/>
  <c r="AJ39" i="15"/>
  <c r="AJ38" i="15" s="1"/>
  <c r="AJ34" i="15" s="1"/>
  <c r="AJ40" i="15" s="1"/>
  <c r="AL284" i="11"/>
  <c r="AK42" i="19"/>
  <c r="AK36" i="19"/>
  <c r="AK41" i="19"/>
  <c r="AK49" i="19"/>
  <c r="AK48" i="19"/>
  <c r="AL101" i="6"/>
  <c r="AM98" i="6" s="1"/>
  <c r="AK67" i="5"/>
  <c r="AK120" i="5" s="1"/>
  <c r="AK122" i="5" s="1"/>
  <c r="AK130" i="5"/>
  <c r="AK132" i="5" s="1"/>
  <c r="AK133" i="5"/>
  <c r="AK129" i="5"/>
  <c r="AK131" i="5" s="1"/>
  <c r="DR102" i="11" l="1"/>
  <c r="DS99" i="11" s="1"/>
  <c r="DY49" i="5"/>
  <c r="AJ16" i="15"/>
  <c r="AJ15" i="15" s="1"/>
  <c r="AJ14" i="15" s="1"/>
  <c r="AJ41" i="15" s="1"/>
  <c r="AL121" i="5"/>
  <c r="AM44" i="6"/>
  <c r="DR40" i="5"/>
  <c r="DY150" i="11"/>
  <c r="DY155" i="11"/>
  <c r="DQ28" i="15" l="1"/>
  <c r="DQ25" i="15" s="1"/>
  <c r="DQ24" i="15" s="1"/>
  <c r="DS101" i="11"/>
  <c r="DS41" i="5" s="1"/>
  <c r="DZ152" i="11"/>
  <c r="DX17" i="15"/>
  <c r="AJ42" i="15"/>
  <c r="DX26" i="15"/>
  <c r="DZ147" i="11"/>
  <c r="AL20" i="5"/>
  <c r="AM43" i="6"/>
  <c r="AM42" i="6" s="1"/>
  <c r="AM55" i="6" s="1"/>
  <c r="AM57" i="6" s="1"/>
  <c r="DS102" i="11" l="1"/>
  <c r="DR28" i="15" s="1"/>
  <c r="DR25" i="15" s="1"/>
  <c r="DR24" i="15" s="1"/>
  <c r="AL15" i="5"/>
  <c r="AL14" i="5" s="1"/>
  <c r="AM66" i="6" s="1"/>
  <c r="AM75" i="6" s="1"/>
  <c r="DZ149" i="11"/>
  <c r="DZ51" i="5" s="1"/>
  <c r="DZ154" i="11"/>
  <c r="DZ53" i="5" s="1"/>
  <c r="AL285" i="11"/>
  <c r="AM62" i="6"/>
  <c r="DS40" i="5"/>
  <c r="DT99" i="11" l="1"/>
  <c r="DT101" i="11" s="1"/>
  <c r="DT41" i="5" s="1"/>
  <c r="DZ155" i="11"/>
  <c r="DY17" i="15" s="1"/>
  <c r="AM69" i="6"/>
  <c r="AM64" i="6"/>
  <c r="DZ49" i="5"/>
  <c r="DZ150" i="11"/>
  <c r="AM80" i="6"/>
  <c r="AL98" i="5"/>
  <c r="AL17" i="19"/>
  <c r="AM76" i="6"/>
  <c r="AN73" i="6" s="1"/>
  <c r="EA152" i="11" l="1"/>
  <c r="EA154" i="11" s="1"/>
  <c r="EA53" i="5" s="1"/>
  <c r="AL95" i="5"/>
  <c r="DT40" i="5"/>
  <c r="AL103" i="5"/>
  <c r="AL28" i="19"/>
  <c r="AM81" i="6"/>
  <c r="AN78" i="6" s="1"/>
  <c r="DY26" i="15"/>
  <c r="EA147" i="11"/>
  <c r="AL14" i="19"/>
  <c r="AL19" i="19"/>
  <c r="AL20" i="19"/>
  <c r="DT102" i="11"/>
  <c r="AM70" i="6"/>
  <c r="AM71" i="6" s="1"/>
  <c r="AN68" i="6" s="1"/>
  <c r="EA155" i="11" l="1"/>
  <c r="DZ17" i="15" s="1"/>
  <c r="AL100" i="5"/>
  <c r="EA149" i="11"/>
  <c r="EA51" i="5" s="1"/>
  <c r="AM89" i="6"/>
  <c r="DU99" i="11"/>
  <c r="DS28" i="15"/>
  <c r="DS25" i="15" s="1"/>
  <c r="DS24" i="15" s="1"/>
  <c r="AL30" i="19"/>
  <c r="AL25" i="19"/>
  <c r="AL31" i="19"/>
  <c r="AL124" i="5"/>
  <c r="AL123" i="5"/>
  <c r="EB152" i="11" l="1"/>
  <c r="EB154" i="11" s="1"/>
  <c r="EB53" i="5" s="1"/>
  <c r="EA150" i="11"/>
  <c r="DZ26" i="15" s="1"/>
  <c r="DU101" i="11"/>
  <c r="DU41" i="5" s="1"/>
  <c r="EA49" i="5"/>
  <c r="AM94" i="6"/>
  <c r="AM95" i="6" s="1"/>
  <c r="AM96" i="6" s="1"/>
  <c r="AN93" i="6" s="1"/>
  <c r="AM90" i="6"/>
  <c r="AM91" i="6" s="1"/>
  <c r="AN88" i="6" s="1"/>
  <c r="AL126" i="5"/>
  <c r="AL125" i="5"/>
  <c r="EB147" i="11" l="1"/>
  <c r="EB149" i="11" s="1"/>
  <c r="EB51" i="5" s="1"/>
  <c r="EB49" i="5" s="1"/>
  <c r="EB155" i="11"/>
  <c r="EA17" i="15" s="1"/>
  <c r="AE12" i="18" s="1"/>
  <c r="N211" i="32" s="1"/>
  <c r="DU102" i="11"/>
  <c r="DV99" i="11" s="1"/>
  <c r="AM99" i="6"/>
  <c r="AM100" i="6" s="1"/>
  <c r="AL113" i="5"/>
  <c r="DU40" i="5"/>
  <c r="DT28" i="15" l="1"/>
  <c r="DT25" i="15" s="1"/>
  <c r="DT24" i="15" s="1"/>
  <c r="EC152" i="11"/>
  <c r="EC154" i="11" s="1"/>
  <c r="EC53" i="5" s="1"/>
  <c r="AL54" i="19"/>
  <c r="AL57" i="19" s="1"/>
  <c r="AL110" i="5"/>
  <c r="AL39" i="19"/>
  <c r="AL286" i="11"/>
  <c r="AL287" i="11" s="1"/>
  <c r="DV101" i="11"/>
  <c r="DV41" i="5" s="1"/>
  <c r="DV40" i="5" s="1"/>
  <c r="EB150" i="11"/>
  <c r="AM101" i="6"/>
  <c r="AN98" i="6" s="1"/>
  <c r="AL56" i="19" l="1"/>
  <c r="DV102" i="11"/>
  <c r="DW99" i="11" s="1"/>
  <c r="EC147" i="11"/>
  <c r="EA26" i="15"/>
  <c r="AK39" i="15"/>
  <c r="AK38" i="15" s="1"/>
  <c r="AK34" i="15" s="1"/>
  <c r="AK40" i="15" s="1"/>
  <c r="AM284" i="11"/>
  <c r="AL42" i="19"/>
  <c r="AL36" i="19"/>
  <c r="AL41" i="19"/>
  <c r="AL49" i="19"/>
  <c r="AL48" i="19"/>
  <c r="EC155" i="11"/>
  <c r="AL129" i="5"/>
  <c r="AL131" i="5" s="1"/>
  <c r="AL67" i="5"/>
  <c r="AL120" i="5" s="1"/>
  <c r="AL122" i="5" s="1"/>
  <c r="AL133" i="5"/>
  <c r="AL130" i="5"/>
  <c r="AL132" i="5" s="1"/>
  <c r="DU28" i="15" l="1"/>
  <c r="DU25" i="15" s="1"/>
  <c r="DU24" i="15" s="1"/>
  <c r="EB17" i="15"/>
  <c r="ED152" i="11"/>
  <c r="AE21" i="18"/>
  <c r="AM121" i="5"/>
  <c r="AN44" i="6"/>
  <c r="AK16" i="15"/>
  <c r="AK15" i="15" s="1"/>
  <c r="AK14" i="15" s="1"/>
  <c r="AK41" i="15" s="1"/>
  <c r="DW101" i="11"/>
  <c r="DW41" i="5" s="1"/>
  <c r="EC149" i="11"/>
  <c r="EC51" i="5" s="1"/>
  <c r="AD23" i="18" l="1"/>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EB26" i="15" l="1"/>
  <c r="ED155" i="11"/>
  <c r="AM285" i="11"/>
  <c r="AN62" i="6"/>
  <c r="ED149" i="11"/>
  <c r="ED51" i="5" s="1"/>
  <c r="AM15" i="5"/>
  <c r="AM14" i="5" s="1"/>
  <c r="AN66" i="6" s="1"/>
  <c r="AN75" i="6" s="1"/>
  <c r="DX99" i="11"/>
  <c r="DV28" i="15"/>
  <c r="DV25" i="15" s="1"/>
  <c r="DV24" i="15" s="1"/>
  <c r="DX101" i="11" l="1"/>
  <c r="DX41" i="5" s="1"/>
  <c r="ED49" i="5"/>
  <c r="AN69" i="6"/>
  <c r="AN64" i="6"/>
  <c r="AN80" i="6"/>
  <c r="AM98" i="5"/>
  <c r="AM17" i="19"/>
  <c r="AN76" i="6"/>
  <c r="AO73" i="6" s="1"/>
  <c r="ED150" i="11"/>
  <c r="EE152" i="11"/>
  <c r="EC17" i="15"/>
  <c r="DX102" i="11" l="1"/>
  <c r="DY99" i="11" s="1"/>
  <c r="EE154" i="11"/>
  <c r="EE53" i="5" s="1"/>
  <c r="AM14" i="19"/>
  <c r="AM20" i="19"/>
  <c r="AM19" i="19"/>
  <c r="EC26" i="15"/>
  <c r="EE147" i="11"/>
  <c r="AM95" i="5"/>
  <c r="AN70" i="6"/>
  <c r="AN71" i="6" s="1"/>
  <c r="AO68" i="6" s="1"/>
  <c r="AM103" i="5"/>
  <c r="AM28" i="19"/>
  <c r="AN81" i="6"/>
  <c r="AO78" i="6" s="1"/>
  <c r="DX40" i="5"/>
  <c r="DW28" i="15" l="1"/>
  <c r="DW25" i="15" s="1"/>
  <c r="DW24" i="15" s="1"/>
  <c r="EE155" i="11"/>
  <c r="EF152" i="11" s="1"/>
  <c r="AM30" i="19"/>
  <c r="AM25" i="19"/>
  <c r="AM31" i="19"/>
  <c r="AM100" i="5"/>
  <c r="DY101" i="11"/>
  <c r="DY41" i="5" s="1"/>
  <c r="AM124" i="5"/>
  <c r="AM123" i="5"/>
  <c r="EE149" i="11"/>
  <c r="EE51" i="5" s="1"/>
  <c r="AN89" i="6"/>
  <c r="ED17" i="15" l="1"/>
  <c r="EE150" i="11"/>
  <c r="ED26" i="15" s="1"/>
  <c r="DY102" i="11"/>
  <c r="DX28" i="15" s="1"/>
  <c r="DX25" i="15" s="1"/>
  <c r="DX24" i="15" s="1"/>
  <c r="AN94" i="6"/>
  <c r="AN95" i="6" s="1"/>
  <c r="AN96" i="6" s="1"/>
  <c r="AO93" i="6" s="1"/>
  <c r="AN90" i="6"/>
  <c r="EE49" i="5"/>
  <c r="EF154" i="11"/>
  <c r="EF53" i="5" s="1"/>
  <c r="DY40" i="5"/>
  <c r="AM126" i="5"/>
  <c r="AM125" i="5"/>
  <c r="EF147" i="11" l="1"/>
  <c r="EF149" i="11" s="1"/>
  <c r="EF51" i="5" s="1"/>
  <c r="DZ99" i="11"/>
  <c r="DZ101" i="11" s="1"/>
  <c r="DZ41" i="5" s="1"/>
  <c r="AN99" i="6"/>
  <c r="AN100" i="6" s="1"/>
  <c r="AN91" i="6"/>
  <c r="AO88" i="6" s="1"/>
  <c r="AM113" i="5"/>
  <c r="EF155" i="11"/>
  <c r="EF150" i="11" l="1"/>
  <c r="EE26" i="15" s="1"/>
  <c r="DZ102" i="11"/>
  <c r="EA99" i="11" s="1"/>
  <c r="AM54" i="19"/>
  <c r="AM57" i="19" s="1"/>
  <c r="EE17" i="15"/>
  <c r="EG152" i="11"/>
  <c r="AM110" i="5"/>
  <c r="AM39" i="19"/>
  <c r="AM286" i="11"/>
  <c r="AM287" i="11" s="1"/>
  <c r="AN101" i="6"/>
  <c r="AO98" i="6" s="1"/>
  <c r="DZ40" i="5"/>
  <c r="EF49" i="5"/>
  <c r="DY28" i="15" l="1"/>
  <c r="DY25" i="15" s="1"/>
  <c r="DY24" i="15" s="1"/>
  <c r="EG147" i="11"/>
  <c r="EG149" i="11" s="1"/>
  <c r="EG51" i="5" s="1"/>
  <c r="AM56" i="19"/>
  <c r="AL39" i="15"/>
  <c r="AL38" i="15" s="1"/>
  <c r="AL34" i="15" s="1"/>
  <c r="AL40" i="15" s="1"/>
  <c r="AN284" i="11"/>
  <c r="AM36" i="19"/>
  <c r="AM41" i="19"/>
  <c r="AM42" i="19"/>
  <c r="AM49" i="19"/>
  <c r="AM48" i="19"/>
  <c r="EG154" i="11"/>
  <c r="EG53" i="5" s="1"/>
  <c r="EA101" i="11"/>
  <c r="EA41" i="5" s="1"/>
  <c r="AM129" i="5"/>
  <c r="AM131" i="5" s="1"/>
  <c r="AM130" i="5"/>
  <c r="AM132" i="5" s="1"/>
  <c r="AM133" i="5"/>
  <c r="AM67" i="5"/>
  <c r="AM120" i="5" s="1"/>
  <c r="AM122" i="5" s="1"/>
  <c r="EG150" i="11" l="1"/>
  <c r="EH147" i="11" s="1"/>
  <c r="EA102" i="11"/>
  <c r="DZ28" i="15" s="1"/>
  <c r="DZ25" i="15" s="1"/>
  <c r="DZ24" i="15" s="1"/>
  <c r="AL16" i="15"/>
  <c r="AL15" i="15" s="1"/>
  <c r="AL14" i="15" s="1"/>
  <c r="AL41" i="15" s="1"/>
  <c r="AN121" i="5"/>
  <c r="AO44" i="6"/>
  <c r="EA40" i="5"/>
  <c r="EG155" i="11"/>
  <c r="EG49" i="5"/>
  <c r="EB99" i="11" l="1"/>
  <c r="EB101" i="11" s="1"/>
  <c r="EB41" i="5" s="1"/>
  <c r="EB40" i="5" s="1"/>
  <c r="EF26" i="15"/>
  <c r="AN20" i="5"/>
  <c r="AO43" i="6"/>
  <c r="AO42" i="6" s="1"/>
  <c r="AO55" i="6" s="1"/>
  <c r="AO57" i="6" s="1"/>
  <c r="EH149" i="11"/>
  <c r="EH51" i="5" s="1"/>
  <c r="AL42" i="15"/>
  <c r="EH152" i="11"/>
  <c r="EF17" i="15"/>
  <c r="EB102" i="11" l="1"/>
  <c r="EA28" i="15" s="1"/>
  <c r="EH154" i="11"/>
  <c r="EH53" i="5" s="1"/>
  <c r="EH49" i="5" s="1"/>
  <c r="AO62" i="6"/>
  <c r="AN285" i="11"/>
  <c r="EH150" i="11"/>
  <c r="AN15" i="5"/>
  <c r="AN14" i="5" s="1"/>
  <c r="AO66" i="6" s="1"/>
  <c r="AO75" i="6" s="1"/>
  <c r="EC99" i="11" l="1"/>
  <c r="EH155" i="11"/>
  <c r="EG17" i="15" s="1"/>
  <c r="AF12" i="18" s="1"/>
  <c r="AO80" i="6"/>
  <c r="AN98" i="5"/>
  <c r="AN17" i="19"/>
  <c r="AO76" i="6"/>
  <c r="AP73" i="6" s="1"/>
  <c r="EI147" i="11"/>
  <c r="EG26" i="15"/>
  <c r="AE23" i="18"/>
  <c r="EA25" i="15"/>
  <c r="EA24" i="15" s="1"/>
  <c r="AO69" i="6"/>
  <c r="AO64" i="6"/>
  <c r="EC101" i="11"/>
  <c r="EC41" i="5" s="1"/>
  <c r="EI152" i="11" l="1"/>
  <c r="EI154" i="11" s="1"/>
  <c r="EI53" i="5" s="1"/>
  <c r="EC102" i="11"/>
  <c r="ED99" i="11" s="1"/>
  <c r="AO70" i="6"/>
  <c r="EI149" i="11"/>
  <c r="EI51" i="5" s="1"/>
  <c r="EC40" i="5"/>
  <c r="AN20" i="19"/>
  <c r="AN19" i="19"/>
  <c r="AN14" i="19"/>
  <c r="N219" i="32"/>
  <c r="N224" i="32" s="1"/>
  <c r="AE20" i="18"/>
  <c r="AE19" i="18" s="1"/>
  <c r="AN95" i="5"/>
  <c r="AF21" i="18"/>
  <c r="AN103" i="5"/>
  <c r="AN28" i="19"/>
  <c r="AO81" i="6"/>
  <c r="AP78" i="6" s="1"/>
  <c r="EB28" i="15" l="1"/>
  <c r="EB25" i="15" s="1"/>
  <c r="EB24" i="15" s="1"/>
  <c r="EI150" i="11"/>
  <c r="EH26" i="15" s="1"/>
  <c r="AN124" i="5"/>
  <c r="AN123" i="5"/>
  <c r="EI49" i="5"/>
  <c r="AN30" i="19"/>
  <c r="AN31" i="19"/>
  <c r="AN25" i="19"/>
  <c r="AO89" i="6"/>
  <c r="AN100" i="5"/>
  <c r="EI155" i="11"/>
  <c r="AO71" i="6"/>
  <c r="AP68" i="6" s="1"/>
  <c r="ED101" i="11"/>
  <c r="ED41" i="5" s="1"/>
  <c r="EJ147" i="11" l="1"/>
  <c r="EJ149" i="11" s="1"/>
  <c r="EJ51" i="5" s="1"/>
  <c r="ED102" i="11"/>
  <c r="AN125" i="5"/>
  <c r="AN126" i="5"/>
  <c r="ED40" i="5"/>
  <c r="EJ152" i="11"/>
  <c r="EH17" i="15"/>
  <c r="AO94" i="6"/>
  <c r="AO90" i="6"/>
  <c r="AO99" i="6" l="1"/>
  <c r="AO95" i="6"/>
  <c r="AO96" i="6" s="1"/>
  <c r="AP93" i="6" s="1"/>
  <c r="EJ150" i="11"/>
  <c r="AO91" i="6"/>
  <c r="AP88" i="6" s="1"/>
  <c r="AN113" i="5"/>
  <c r="EJ154" i="11"/>
  <c r="EJ53" i="5" s="1"/>
  <c r="EJ49" i="5" s="1"/>
  <c r="EE99" i="11"/>
  <c r="EC28" i="15"/>
  <c r="EC25" i="15" s="1"/>
  <c r="EC24" i="15" s="1"/>
  <c r="EJ155" i="11" l="1"/>
  <c r="EK152" i="11" s="1"/>
  <c r="EE101" i="11"/>
  <c r="EE41" i="5" s="1"/>
  <c r="AN110" i="5"/>
  <c r="AN39" i="19"/>
  <c r="AN286" i="11"/>
  <c r="AN287" i="11" s="1"/>
  <c r="EK147" i="11"/>
  <c r="EI26" i="15"/>
  <c r="AO100" i="6"/>
  <c r="AN54" i="19"/>
  <c r="EI17" i="15" l="1"/>
  <c r="AO284" i="11"/>
  <c r="AM39" i="15"/>
  <c r="AM38" i="15" s="1"/>
  <c r="AM34" i="15" s="1"/>
  <c r="AM40" i="15" s="1"/>
  <c r="EK154" i="11"/>
  <c r="EK53" i="5" s="1"/>
  <c r="AN130" i="5"/>
  <c r="AN132" i="5" s="1"/>
  <c r="AN133" i="5"/>
  <c r="AN67" i="5"/>
  <c r="AN120" i="5" s="1"/>
  <c r="AN122" i="5" s="1"/>
  <c r="AN129" i="5"/>
  <c r="AN131" i="5" s="1"/>
  <c r="AN56" i="19"/>
  <c r="AN57" i="19"/>
  <c r="AO101" i="6"/>
  <c r="AP98" i="6" s="1"/>
  <c r="AN36" i="19"/>
  <c r="AN41" i="19"/>
  <c r="AN42" i="19"/>
  <c r="AN49" i="19"/>
  <c r="AN48"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L154" i="11"/>
  <c r="EL53" i="5" s="1"/>
  <c r="EL155" i="11" l="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AO103" i="5"/>
  <c r="AO28" i="19"/>
  <c r="AP81" i="6"/>
  <c r="AQ78" i="6" s="1"/>
  <c r="EM49" i="5"/>
  <c r="EL17" i="15" l="1"/>
  <c r="EL26" i="15"/>
  <c r="EG102" i="11"/>
  <c r="AP89" i="6"/>
  <c r="EN154" i="11"/>
  <c r="EN53" i="5" s="1"/>
  <c r="AO25" i="19"/>
  <c r="AO31" i="19"/>
  <c r="AO30" i="19"/>
  <c r="AO100" i="5"/>
  <c r="AO124" i="5"/>
  <c r="AO123" i="5"/>
  <c r="EG40" i="5"/>
  <c r="EN149" i="11"/>
  <c r="EN51" i="5" s="1"/>
  <c r="AP71" i="6"/>
  <c r="AQ68" i="6" s="1"/>
  <c r="EN150" i="11" l="1"/>
  <c r="EO147" i="11" s="1"/>
  <c r="AO125" i="5"/>
  <c r="AO126" i="5"/>
  <c r="AP94" i="6"/>
  <c r="AP90" i="6"/>
  <c r="EN155" i="11"/>
  <c r="EH99" i="11"/>
  <c r="EF28" i="15"/>
  <c r="EF25" i="15" s="1"/>
  <c r="EF24" i="15" s="1"/>
  <c r="EN49" i="5"/>
  <c r="EM26" i="15" l="1"/>
  <c r="EH101" i="11"/>
  <c r="EH41" i="5" s="1"/>
  <c r="EH40" i="5" s="1"/>
  <c r="AP91" i="6"/>
  <c r="AQ88" i="6" s="1"/>
  <c r="AO113" i="5"/>
  <c r="EO152" i="11"/>
  <c r="EM17" i="15"/>
  <c r="AG12" i="18" s="1"/>
  <c r="AP99" i="6"/>
  <c r="AP95" i="6"/>
  <c r="AP96" i="6" s="1"/>
  <c r="AQ93" i="6" s="1"/>
  <c r="EO149" i="11"/>
  <c r="EO51" i="5" s="1"/>
  <c r="EH102" i="11" l="1"/>
  <c r="EI99" i="11" s="1"/>
  <c r="EO150" i="11"/>
  <c r="AO110" i="5"/>
  <c r="AO39" i="19"/>
  <c r="AO286" i="11"/>
  <c r="AO287" i="11" s="1"/>
  <c r="EO154" i="11"/>
  <c r="EO53" i="5" s="1"/>
  <c r="AO54" i="19"/>
  <c r="AP100" i="6"/>
  <c r="EG28" i="15" l="1"/>
  <c r="AF23" i="18" s="1"/>
  <c r="AF20" i="18" s="1"/>
  <c r="AF19" i="18" s="1"/>
  <c r="EP147" i="11"/>
  <c r="EN26" i="15"/>
  <c r="AP101" i="6"/>
  <c r="AQ98" i="6" s="1"/>
  <c r="EO49" i="5"/>
  <c r="AO41" i="19"/>
  <c r="AO36" i="19"/>
  <c r="AO42" i="19"/>
  <c r="AO49" i="19"/>
  <c r="AO48" i="19"/>
  <c r="AO56" i="19"/>
  <c r="AO57" i="19"/>
  <c r="AP284" i="11"/>
  <c r="AN39" i="15"/>
  <c r="AN38" i="15" s="1"/>
  <c r="AN34" i="15" s="1"/>
  <c r="AN40" i="15" s="1"/>
  <c r="EO155" i="11"/>
  <c r="EI101" i="11"/>
  <c r="EI41" i="5" s="1"/>
  <c r="AO129" i="5"/>
  <c r="AO131" i="5" s="1"/>
  <c r="AO130" i="5"/>
  <c r="AO132" i="5" s="1"/>
  <c r="AO133" i="5"/>
  <c r="AO67" i="5"/>
  <c r="AO120" i="5" s="1"/>
  <c r="AO122" i="5" s="1"/>
  <c r="EG25" i="15" l="1"/>
  <c r="EG24" i="15" s="1"/>
  <c r="EI102" i="11"/>
  <c r="EJ99" i="11" s="1"/>
  <c r="EN17" i="15"/>
  <c r="EP152" i="11"/>
  <c r="AP121" i="5"/>
  <c r="AQ44" i="6"/>
  <c r="AN16" i="15"/>
  <c r="AN15" i="15" s="1"/>
  <c r="AN14" i="15" s="1"/>
  <c r="AN41" i="15" s="1"/>
  <c r="EI40" i="5"/>
  <c r="EP149" i="11"/>
  <c r="EP51" i="5" s="1"/>
  <c r="EH28" i="15" l="1"/>
  <c r="EH25" i="15" s="1"/>
  <c r="EH24" i="15" s="1"/>
  <c r="EP154" i="11"/>
  <c r="EP53" i="5" s="1"/>
  <c r="EP49" i="5" s="1"/>
  <c r="EJ101" i="11"/>
  <c r="EJ41" i="5" s="1"/>
  <c r="AQ43" i="6"/>
  <c r="AQ42" i="6" s="1"/>
  <c r="AQ55" i="6" s="1"/>
  <c r="AQ57" i="6" s="1"/>
  <c r="AP20" i="5"/>
  <c r="AP15" i="5" s="1"/>
  <c r="AP14" i="5" s="1"/>
  <c r="AQ66" i="6" s="1"/>
  <c r="AQ75" i="6" s="1"/>
  <c r="EP150" i="11"/>
  <c r="O34" i="30"/>
  <c r="R48" i="35"/>
  <c r="O47" i="30"/>
  <c r="R37" i="35"/>
  <c r="R49" i="35"/>
  <c r="O48" i="30"/>
  <c r="R35" i="35"/>
  <c r="O36" i="30"/>
  <c r="AN42" i="15"/>
  <c r="EP155" i="11" l="1"/>
  <c r="EQ152" i="11" s="1"/>
  <c r="AP285" i="11"/>
  <c r="AQ62" i="6"/>
  <c r="EJ102" i="11"/>
  <c r="EJ40" i="5"/>
  <c r="AQ80" i="6"/>
  <c r="AP98" i="5"/>
  <c r="AP17" i="19"/>
  <c r="AQ76" i="6"/>
  <c r="AR73" i="6" s="1"/>
  <c r="EQ147" i="11"/>
  <c r="EO26" i="15"/>
  <c r="EO17" i="15" l="1"/>
  <c r="EQ149" i="11"/>
  <c r="EQ150" i="11" s="1"/>
  <c r="EP26" i="15" s="1"/>
  <c r="AP103" i="5"/>
  <c r="AP100" i="5" s="1"/>
  <c r="AP28" i="19"/>
  <c r="AQ81" i="6"/>
  <c r="AR78" i="6" s="1"/>
  <c r="EK99" i="11"/>
  <c r="EI28" i="15"/>
  <c r="EI25" i="15" s="1"/>
  <c r="EI24" i="15" s="1"/>
  <c r="AQ69" i="6"/>
  <c r="AQ64" i="6"/>
  <c r="AP14" i="19"/>
  <c r="AP19" i="19"/>
  <c r="AP20" i="19"/>
  <c r="EQ154" i="11"/>
  <c r="EQ155" i="11" s="1"/>
  <c r="EP17" i="15" s="1"/>
  <c r="AP95" i="5"/>
  <c r="EK101" i="11" l="1"/>
  <c r="EK41" i="5" s="1"/>
  <c r="AP123" i="5"/>
  <c r="AP124" i="5"/>
  <c r="AP25" i="19"/>
  <c r="AP30" i="19"/>
  <c r="AP31" i="19"/>
  <c r="AP125" i="5"/>
  <c r="AP126" i="5"/>
  <c r="AQ70" i="6"/>
  <c r="AQ71" i="6" s="1"/>
  <c r="AR68" i="6" s="1"/>
  <c r="AG21" i="18"/>
  <c r="EQ53" i="5"/>
  <c r="J154" i="11"/>
  <c r="EQ51" i="5"/>
  <c r="J149" i="11"/>
  <c r="EK102" i="11" l="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S44" i="17" s="1"/>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3" i="16"/>
  <c r="R76" i="16" s="1"/>
  <c r="R80" i="16"/>
  <c r="EK40" i="5"/>
  <c r="V44" i="17" l="1"/>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R77"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F742" i="32" l="1"/>
  <c r="C742" i="32" s="1"/>
  <c r="C746" i="32"/>
  <c r="AP110" i="5"/>
  <c r="AP39" i="19"/>
  <c r="AP286" i="11"/>
  <c r="AP287" i="11" s="1"/>
  <c r="EL102" i="11"/>
  <c r="AQ99" i="6"/>
  <c r="AQ95" i="6"/>
  <c r="AQ96" i="6" s="1"/>
  <c r="AR93" i="6" s="1"/>
  <c r="EL40" i="5"/>
  <c r="J44" i="26"/>
  <c r="J44" i="17"/>
  <c r="AQ91" i="6"/>
  <c r="AR88" i="6" s="1"/>
  <c r="N615" i="32"/>
  <c r="O615" i="32" s="1"/>
  <c r="C185" i="32"/>
  <c r="E181" i="32"/>
  <c r="N611" i="32" l="1"/>
  <c r="O611" i="32" s="1"/>
  <c r="C181" i="32"/>
  <c r="AP36" i="19"/>
  <c r="AP41" i="19"/>
  <c r="AP42" i="19"/>
  <c r="AP49" i="19"/>
  <c r="S380" i="32" s="1"/>
  <c r="AP48" i="19"/>
  <c r="Q380" i="32" s="1"/>
  <c r="AQ100" i="6"/>
  <c r="AQ101" i="6" s="1"/>
  <c r="AR98" i="6" s="1"/>
  <c r="AP54" i="19"/>
  <c r="AP130" i="5"/>
  <c r="AP132" i="5" s="1"/>
  <c r="AP129" i="5"/>
  <c r="AP131" i="5" s="1"/>
  <c r="AP133" i="5"/>
  <c r="AP67" i="5"/>
  <c r="AP120" i="5" s="1"/>
  <c r="AP122" i="5" s="1"/>
  <c r="EM99" i="11"/>
  <c r="EK28" i="15"/>
  <c r="EK25" i="15" s="1"/>
  <c r="EK24" i="15" s="1"/>
  <c r="AO39" i="15"/>
  <c r="AQ284" i="11"/>
  <c r="EM101" i="11" l="1"/>
  <c r="EM41" i="5" s="1"/>
  <c r="P34" i="18"/>
  <c r="P33" i="18" s="1"/>
  <c r="P29" i="18" s="1"/>
  <c r="P35" i="18" s="1"/>
  <c r="AO38" i="15"/>
  <c r="AO34" i="15" s="1"/>
  <c r="AO40" i="15" s="1"/>
  <c r="AQ121" i="5"/>
  <c r="AR44" i="6"/>
  <c r="AO16" i="15"/>
  <c r="AP57" i="19"/>
  <c r="AP56" i="19"/>
  <c r="EM102" i="11" l="1"/>
  <c r="EN99" i="11" s="1"/>
  <c r="AO15" i="15"/>
  <c r="AO14" i="15" s="1"/>
  <c r="AO41" i="15" s="1"/>
  <c r="P11" i="18"/>
  <c r="P10" i="18" s="1"/>
  <c r="P9" i="18" s="1"/>
  <c r="P36" i="18" s="1"/>
  <c r="AQ20" i="5"/>
  <c r="AR43" i="6"/>
  <c r="AR42" i="6" s="1"/>
  <c r="AR55" i="6" s="1"/>
  <c r="AR57" i="6" s="1"/>
  <c r="EM40" i="5"/>
  <c r="EL28" i="15" l="1"/>
  <c r="EL25" i="15" s="1"/>
  <c r="EL24" i="15" s="1"/>
  <c r="EN101" i="11"/>
  <c r="EN41" i="5" s="1"/>
  <c r="EN40" i="5" s="1"/>
  <c r="AQ15" i="5"/>
  <c r="AQ14" i="5" s="1"/>
  <c r="AR66" i="6" s="1"/>
  <c r="AR75" i="6" s="1"/>
  <c r="AR62" i="6"/>
  <c r="AQ285" i="11"/>
  <c r="AO42" i="15"/>
  <c r="AR80" i="6" l="1"/>
  <c r="AQ98" i="5"/>
  <c r="AQ17" i="19"/>
  <c r="AR76" i="6"/>
  <c r="AS73" i="6" s="1"/>
  <c r="AR69" i="6"/>
  <c r="AR64" i="6"/>
  <c r="EN102" i="11"/>
  <c r="AQ19" i="19" l="1"/>
  <c r="AQ14" i="19"/>
  <c r="AQ20" i="19"/>
  <c r="AR70" i="6"/>
  <c r="AQ95" i="5"/>
  <c r="EO99" i="11"/>
  <c r="EM28" i="15"/>
  <c r="AQ103" i="5"/>
  <c r="AQ28" i="19"/>
  <c r="AR81" i="6"/>
  <c r="AS78" i="6" s="1"/>
  <c r="AG23" i="18" l="1"/>
  <c r="AG20" i="18" s="1"/>
  <c r="AG19" i="18" s="1"/>
  <c r="EM25" i="15"/>
  <c r="EM24" i="15" s="1"/>
  <c r="AR71" i="6"/>
  <c r="AS68" i="6" s="1"/>
  <c r="AR89" i="6"/>
  <c r="AQ30" i="19"/>
  <c r="AQ31" i="19"/>
  <c r="AQ25" i="19"/>
  <c r="AQ100" i="5"/>
  <c r="EO101" i="11"/>
  <c r="EO41" i="5" s="1"/>
  <c r="AQ124" i="5"/>
  <c r="AQ123" i="5"/>
  <c r="AQ126" i="5" l="1"/>
  <c r="AQ125" i="5"/>
  <c r="AR94" i="6"/>
  <c r="AR90" i="6"/>
  <c r="EO102" i="11"/>
  <c r="EO40" i="5"/>
  <c r="AR99" i="6" l="1"/>
  <c r="AR95" i="6"/>
  <c r="AR96" i="6" s="1"/>
  <c r="AS93" i="6" s="1"/>
  <c r="EP99" i="11"/>
  <c r="EN28" i="15"/>
  <c r="EN25" i="15" s="1"/>
  <c r="EN24" i="15" s="1"/>
  <c r="AR91" i="6"/>
  <c r="AS88" i="6" s="1"/>
  <c r="AQ113" i="5"/>
  <c r="EP101" i="11" l="1"/>
  <c r="EP41" i="5" s="1"/>
  <c r="AQ110" i="5"/>
  <c r="AQ39" i="19"/>
  <c r="AQ286" i="11"/>
  <c r="AQ287" i="11" s="1"/>
  <c r="AR100" i="6"/>
  <c r="AQ54" i="19"/>
  <c r="EP102" i="11" l="1"/>
  <c r="EQ99" i="11" s="1"/>
  <c r="AQ56" i="19"/>
  <c r="AQ57" i="19"/>
  <c r="AQ130" i="5"/>
  <c r="AQ132" i="5" s="1"/>
  <c r="AQ133" i="5"/>
  <c r="AQ129" i="5"/>
  <c r="AQ131" i="5" s="1"/>
  <c r="AQ67" i="5"/>
  <c r="AQ120" i="5" s="1"/>
  <c r="AQ122" i="5" s="1"/>
  <c r="AR101" i="6"/>
  <c r="AS98" i="6" s="1"/>
  <c r="AP39" i="15"/>
  <c r="AP38" i="15" s="1"/>
  <c r="AP34" i="15" s="1"/>
  <c r="AP40" i="15" s="1"/>
  <c r="AR284" i="11"/>
  <c r="EP40" i="5"/>
  <c r="AQ42" i="19"/>
  <c r="AQ36" i="19"/>
  <c r="AQ41" i="19"/>
  <c r="AQ49" i="19"/>
  <c r="AQ48"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J101" i="11"/>
  <c r="EQ40" i="5" l="1"/>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D73" i="21" l="1"/>
  <c r="AI73" i="1"/>
  <c r="AI71" i="1"/>
  <c r="M172" i="32"/>
  <c r="U35" i="26"/>
  <c r="L172" i="32"/>
  <c r="T35" i="26"/>
  <c r="K172" i="32"/>
  <c r="S35" i="26"/>
  <c r="H172" i="32"/>
  <c r="P35" i="26"/>
  <c r="G172" i="32"/>
  <c r="O35" i="26"/>
  <c r="G733" i="32"/>
  <c r="O35" i="17"/>
  <c r="D64" i="21"/>
  <c r="X70" i="1"/>
  <c r="Y70" i="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Y73" i="1"/>
  <c r="X73" i="1"/>
  <c r="Z76" i="1"/>
  <c r="Z74" i="1"/>
  <c r="H11" i="33"/>
  <c r="E67" i="21"/>
  <c r="H12" i="33" s="1"/>
  <c r="AS70" i="6"/>
  <c r="AS89" i="6" s="1"/>
  <c r="AD74" i="1"/>
  <c r="J11" i="33"/>
  <c r="E69" i="21"/>
  <c r="J12" i="33" s="1"/>
  <c r="F11" i="33"/>
  <c r="E65" i="21"/>
  <c r="F12" i="33" s="1"/>
  <c r="C733" i="32"/>
  <c r="AB74" i="1"/>
  <c r="I11" i="33"/>
  <c r="E68" i="21"/>
  <c r="I12" i="33" s="1"/>
  <c r="AR28" i="19"/>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AR100" i="5" l="1"/>
  <c r="C11" i="33"/>
  <c r="D11" i="33"/>
  <c r="AR95" i="5"/>
  <c r="AR30" i="19"/>
  <c r="AR31" i="19"/>
  <c r="AR25" i="19"/>
  <c r="AR14" i="19"/>
  <c r="AR19" i="19"/>
  <c r="AR20" i="19"/>
  <c r="AS94" i="6"/>
  <c r="AS90" i="6"/>
  <c r="AS91" i="6" s="1"/>
  <c r="AT88" i="6" s="1"/>
  <c r="AS71" i="6"/>
  <c r="AT68" i="6" s="1"/>
  <c r="X74" i="1"/>
  <c r="Y74" i="1"/>
  <c r="E63" i="21"/>
  <c r="E62" i="21"/>
  <c r="E12" i="33"/>
  <c r="AA79" i="1"/>
  <c r="AA80" i="1" s="1"/>
  <c r="AA77" i="1"/>
  <c r="Z79" i="1"/>
  <c r="X76" i="1"/>
  <c r="Z77" i="1"/>
  <c r="X79" i="1" l="1"/>
  <c r="Z80" i="1"/>
  <c r="X77" i="1"/>
  <c r="Y77" i="1"/>
  <c r="AS99" i="6"/>
  <c r="AS95" i="6"/>
  <c r="AS96" i="6" s="1"/>
  <c r="AT93" i="6" s="1"/>
  <c r="D12" i="33"/>
  <c r="C12" i="33"/>
  <c r="AR124" i="5"/>
  <c r="AR123" i="5"/>
  <c r="AR113" i="5"/>
  <c r="AR125" i="5"/>
  <c r="AR126" i="5"/>
  <c r="X80" i="1" l="1"/>
  <c r="Y80" i="1"/>
  <c r="AR286" i="11"/>
  <c r="AR287" i="11" s="1"/>
  <c r="AR39" i="19"/>
  <c r="AR110" i="5"/>
  <c r="AR54" i="19"/>
  <c r="AS100" i="6"/>
  <c r="AS284" i="11" l="1"/>
  <c r="AQ39" i="15"/>
  <c r="AQ38" i="15" s="1"/>
  <c r="AQ34" i="15" s="1"/>
  <c r="AQ40" i="15" s="1"/>
  <c r="AS101" i="6"/>
  <c r="AT98" i="6" s="1"/>
  <c r="AR129" i="5"/>
  <c r="AR131" i="5" s="1"/>
  <c r="AR133" i="5"/>
  <c r="AR67" i="5"/>
  <c r="AR120" i="5" s="1"/>
  <c r="AR122" i="5" s="1"/>
  <c r="AR130" i="5"/>
  <c r="AR132" i="5" s="1"/>
  <c r="AR56" i="19"/>
  <c r="AR57" i="19"/>
  <c r="AR42" i="19"/>
  <c r="AR36" i="19"/>
  <c r="AR41" i="19"/>
  <c r="AR49" i="19"/>
  <c r="AR48"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S28" i="19"/>
  <c r="AT81" i="6"/>
  <c r="AU78" i="6" s="1"/>
  <c r="AS14" i="19"/>
  <c r="AS19" i="19"/>
  <c r="AS20" i="19"/>
  <c r="AT70" i="6"/>
  <c r="AS95" i="5"/>
  <c r="AS30" i="19" l="1"/>
  <c r="AS31" i="19"/>
  <c r="AS25" i="19"/>
  <c r="AS100" i="5"/>
  <c r="AS123" i="5"/>
  <c r="AS124" i="5"/>
  <c r="AT71" i="6"/>
  <c r="AU68" i="6" s="1"/>
  <c r="AT89" i="6"/>
  <c r="AT94" i="6" l="1"/>
  <c r="AT90" i="6"/>
  <c r="AT91" i="6" s="1"/>
  <c r="AU88" i="6" s="1"/>
  <c r="AS126" i="5"/>
  <c r="AS125" i="5"/>
  <c r="AS113" i="5" l="1"/>
  <c r="AT99" i="6"/>
  <c r="AT95" i="6"/>
  <c r="AT96" i="6" s="1"/>
  <c r="AU93" i="6" s="1"/>
  <c r="AT100" i="6" l="1"/>
  <c r="AS54" i="19"/>
  <c r="AS39" i="19"/>
  <c r="AS110" i="5"/>
  <c r="AS286" i="11"/>
  <c r="AS287" i="11" s="1"/>
  <c r="AS130" i="5" l="1"/>
  <c r="AS132" i="5" s="1"/>
  <c r="AS133" i="5"/>
  <c r="AS67" i="5"/>
  <c r="AS120" i="5" s="1"/>
  <c r="AS122" i="5" s="1"/>
  <c r="AS129" i="5"/>
  <c r="AS131" i="5" s="1"/>
  <c r="AS56" i="19"/>
  <c r="AS57" i="19"/>
  <c r="AT284" i="11"/>
  <c r="AR39" i="15"/>
  <c r="AR38" i="15" s="1"/>
  <c r="AR34" i="15" s="1"/>
  <c r="AR40" i="15" s="1"/>
  <c r="AS41" i="19"/>
  <c r="AS36" i="19"/>
  <c r="AS42" i="19"/>
  <c r="AS48" i="19"/>
  <c r="AS49"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T28" i="19"/>
  <c r="AU81" i="6"/>
  <c r="AV78" i="6" s="1"/>
  <c r="AU89" i="6" l="1"/>
  <c r="AT25" i="19"/>
  <c r="AT30" i="19"/>
  <c r="AT31" i="19"/>
  <c r="AT100" i="5"/>
  <c r="AT123" i="5"/>
  <c r="AT124" i="5"/>
  <c r="AU94" i="6" l="1"/>
  <c r="AU90" i="6"/>
  <c r="AT126" i="5"/>
  <c r="AT125" i="5"/>
  <c r="AU91" i="6" l="1"/>
  <c r="AV88" i="6" s="1"/>
  <c r="AT113" i="5"/>
  <c r="AU99" i="6"/>
  <c r="AU95" i="6"/>
  <c r="AU96" i="6" s="1"/>
  <c r="AV93" i="6" s="1"/>
  <c r="AT110" i="5" l="1"/>
  <c r="AT39" i="19"/>
  <c r="AT286" i="11"/>
  <c r="AT287" i="11" s="1"/>
  <c r="AT54" i="19"/>
  <c r="AU100" i="6"/>
  <c r="AU101" i="6" l="1"/>
  <c r="AV98" i="6" s="1"/>
  <c r="AT56" i="19"/>
  <c r="AT57" i="19"/>
  <c r="AT42" i="19"/>
  <c r="AT41" i="19"/>
  <c r="AT36" i="19"/>
  <c r="AT48" i="19"/>
  <c r="AT49" i="19"/>
  <c r="AS39" i="15"/>
  <c r="AS38" i="15" s="1"/>
  <c r="AS34" i="15" s="1"/>
  <c r="AS40" i="15" s="1"/>
  <c r="AU284" i="11"/>
  <c r="AT133" i="5"/>
  <c r="AT130" i="5"/>
  <c r="AT132" i="5" s="1"/>
  <c r="AT129" i="5"/>
  <c r="AT131" i="5" s="1"/>
  <c r="AT67" i="5"/>
  <c r="AT120" i="5" s="1"/>
  <c r="AT122"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28" i="19"/>
  <c r="AU103" i="5"/>
  <c r="AV81" i="6"/>
  <c r="AW78" i="6" s="1"/>
  <c r="AV71" i="6" l="1"/>
  <c r="AW68" i="6" s="1"/>
  <c r="AV89" i="6"/>
  <c r="AU31" i="19"/>
  <c r="AU25" i="19"/>
  <c r="AU30" i="19"/>
  <c r="AU100" i="5"/>
  <c r="AU123" i="5"/>
  <c r="AU124" i="5"/>
  <c r="AU125" i="5" l="1"/>
  <c r="AU126" i="5"/>
  <c r="AV94" i="6"/>
  <c r="AV95" i="6" s="1"/>
  <c r="AV96" i="6" s="1"/>
  <c r="AW93" i="6" s="1"/>
  <c r="AV90" i="6"/>
  <c r="AV91" i="6" s="1"/>
  <c r="AW88" i="6" s="1"/>
  <c r="AV99" i="6" l="1"/>
  <c r="AU54" i="19" s="1"/>
  <c r="AU113" i="5"/>
  <c r="AV100" i="6" l="1"/>
  <c r="AV101" i="6" s="1"/>
  <c r="AW98" i="6" s="1"/>
  <c r="AU110" i="5"/>
  <c r="AU39" i="19"/>
  <c r="AU286" i="11"/>
  <c r="AU287" i="11" s="1"/>
  <c r="AU57" i="19"/>
  <c r="AU56" i="19"/>
  <c r="AU36" i="19" l="1"/>
  <c r="AU42" i="19"/>
  <c r="AU41" i="19"/>
  <c r="AU49" i="19"/>
  <c r="AU48" i="19"/>
  <c r="AT39" i="15"/>
  <c r="AT38" i="15" s="1"/>
  <c r="AT34" i="15" s="1"/>
  <c r="AT40" i="15" s="1"/>
  <c r="AV284" i="11"/>
  <c r="AU67" i="5"/>
  <c r="AU120" i="5" s="1"/>
  <c r="AU122" i="5" s="1"/>
  <c r="AU129" i="5"/>
  <c r="AU131" i="5" s="1"/>
  <c r="AU133" i="5"/>
  <c r="AU130" i="5"/>
  <c r="AU132"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28" i="19"/>
  <c r="AV103" i="5"/>
  <c r="AV100" i="5" s="1"/>
  <c r="AW81" i="6"/>
  <c r="AX78" i="6" s="1"/>
  <c r="AV98" i="5"/>
  <c r="AV95" i="5" s="1"/>
  <c r="AV17" i="19"/>
  <c r="AW76" i="6"/>
  <c r="AX73" i="6" s="1"/>
  <c r="AV126" i="5" l="1"/>
  <c r="AV125" i="5"/>
  <c r="AV14" i="19"/>
  <c r="AV19" i="19"/>
  <c r="AV20" i="19"/>
  <c r="AV31" i="19"/>
  <c r="AV25" i="19"/>
  <c r="AV30" i="19"/>
  <c r="AV123" i="5"/>
  <c r="AV124" i="5"/>
  <c r="AW70" i="6"/>
  <c r="S73" i="16" l="1"/>
  <c r="S76" i="16" s="1"/>
  <c r="S77" i="16" s="1"/>
  <c r="S80" i="16"/>
  <c r="AW89" i="6"/>
  <c r="AW71" i="6"/>
  <c r="AX68" i="6" s="1"/>
  <c r="AW94" i="6" l="1"/>
  <c r="AW90" i="6"/>
  <c r="AV113" i="5" s="1"/>
  <c r="AW91" i="6" l="1"/>
  <c r="AX88" i="6" s="1"/>
  <c r="AV286" i="11"/>
  <c r="AV287" i="11" s="1"/>
  <c r="AV110" i="5"/>
  <c r="AV39" i="19"/>
  <c r="AW99" i="6"/>
  <c r="AW95" i="6"/>
  <c r="AW96" i="6" s="1"/>
  <c r="AX93" i="6" s="1"/>
  <c r="AV67" i="5" l="1"/>
  <c r="AV120" i="5" s="1"/>
  <c r="AV122" i="5" s="1"/>
  <c r="AV133" i="5"/>
  <c r="AV129" i="5"/>
  <c r="AV131" i="5" s="1"/>
  <c r="AV130" i="5"/>
  <c r="AV132" i="5" s="1"/>
  <c r="AU39" i="15"/>
  <c r="AW284" i="11"/>
  <c r="AW100" i="6"/>
  <c r="AW101" i="6" s="1"/>
  <c r="AX98" i="6" s="1"/>
  <c r="AV54" i="19"/>
  <c r="AV36" i="19"/>
  <c r="AV42" i="19"/>
  <c r="AV41" i="19"/>
  <c r="AV49" i="19"/>
  <c r="S381" i="32" s="1"/>
  <c r="AV48" i="19"/>
  <c r="Q381" i="32" s="1"/>
  <c r="Q34" i="18" l="1"/>
  <c r="AU38" i="15"/>
  <c r="AU34" i="15" s="1"/>
  <c r="AU40" i="15" s="1"/>
  <c r="AX44" i="6"/>
  <c r="AU16" i="15"/>
  <c r="AW121" i="5"/>
  <c r="AV56" i="19"/>
  <c r="AV5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W28" i="19"/>
  <c r="AX81" i="6"/>
  <c r="AY78" i="6" s="1"/>
  <c r="AW20" i="19"/>
  <c r="AW14" i="19"/>
  <c r="AW19" i="19"/>
  <c r="AW95" i="5"/>
  <c r="AX70" i="6"/>
  <c r="AW124" i="5" l="1"/>
  <c r="AW123" i="5"/>
  <c r="AW30" i="19"/>
  <c r="AW31" i="19"/>
  <c r="AW25" i="19"/>
  <c r="AX71" i="6"/>
  <c r="AY68" i="6" s="1"/>
  <c r="AX89" i="6"/>
  <c r="AW100" i="5"/>
  <c r="AX94" i="6" l="1"/>
  <c r="AX95" i="6" s="1"/>
  <c r="AX96" i="6" s="1"/>
  <c r="AY93" i="6" s="1"/>
  <c r="AX90" i="6"/>
  <c r="AW126" i="5"/>
  <c r="AW125" i="5"/>
  <c r="AX99" i="6" l="1"/>
  <c r="AX100" i="6" s="1"/>
  <c r="AW113" i="5"/>
  <c r="AX91" i="6"/>
  <c r="AY88" i="6" s="1"/>
  <c r="AW54" i="19" l="1"/>
  <c r="AW57" i="19" s="1"/>
  <c r="AX101" i="6"/>
  <c r="AY98" i="6" s="1"/>
  <c r="AW110" i="5"/>
  <c r="AW39" i="19"/>
  <c r="AW286" i="11"/>
  <c r="AW287" i="11" s="1"/>
  <c r="AW56" i="19" l="1"/>
  <c r="AV39" i="15"/>
  <c r="AV38" i="15" s="1"/>
  <c r="AV34" i="15" s="1"/>
  <c r="AV40" i="15" s="1"/>
  <c r="AX284" i="11"/>
  <c r="AW42" i="19"/>
  <c r="AW41" i="19"/>
  <c r="AW36" i="19"/>
  <c r="AW48" i="19"/>
  <c r="AW49" i="19"/>
  <c r="AW133" i="5"/>
  <c r="AW130" i="5"/>
  <c r="AW132" i="5" s="1"/>
  <c r="AW129" i="5"/>
  <c r="AW131" i="5" s="1"/>
  <c r="AW67" i="5"/>
  <c r="AW120" i="5" s="1"/>
  <c r="AW122"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X28" i="19"/>
  <c r="AY81" i="6"/>
  <c r="AZ78" i="6" s="1"/>
  <c r="AX17" i="19"/>
  <c r="AX98" i="5"/>
  <c r="AY76" i="6"/>
  <c r="AZ73" i="6" s="1"/>
  <c r="AY94" i="6" l="1"/>
  <c r="AY90" i="6"/>
  <c r="AX95" i="5"/>
  <c r="AX14" i="19"/>
  <c r="AX19" i="19"/>
  <c r="AX20" i="19"/>
  <c r="AX100" i="5"/>
  <c r="AY71" i="6"/>
  <c r="AZ68" i="6" s="1"/>
  <c r="AX30" i="19"/>
  <c r="AX31" i="19"/>
  <c r="AX25" i="19"/>
  <c r="AY91" i="6" l="1"/>
  <c r="AZ88" i="6" s="1"/>
  <c r="AX113" i="5"/>
  <c r="AX123" i="5"/>
  <c r="AX124" i="5"/>
  <c r="AX126" i="5"/>
  <c r="AX125" i="5"/>
  <c r="AY99" i="6"/>
  <c r="AY95" i="6"/>
  <c r="AY96" i="6" s="1"/>
  <c r="AZ93" i="6" s="1"/>
  <c r="AY100" i="6" l="1"/>
  <c r="AX54" i="19"/>
  <c r="AX110" i="5"/>
  <c r="AX39" i="19"/>
  <c r="AX286" i="11"/>
  <c r="AX287" i="11" s="1"/>
  <c r="AX57" i="19" l="1"/>
  <c r="AX56" i="19"/>
  <c r="AX133" i="5"/>
  <c r="AX130" i="5"/>
  <c r="AX132" i="5" s="1"/>
  <c r="AX129" i="5"/>
  <c r="AX131" i="5" s="1"/>
  <c r="AX67" i="5"/>
  <c r="AX120" i="5" s="1"/>
  <c r="AX122" i="5" s="1"/>
  <c r="AY101" i="6"/>
  <c r="AZ98" i="6" s="1"/>
  <c r="AW39" i="15"/>
  <c r="AW38" i="15" s="1"/>
  <c r="AW34" i="15" s="1"/>
  <c r="AW40" i="15" s="1"/>
  <c r="AY284" i="11"/>
  <c r="AX42" i="19"/>
  <c r="AX41" i="19"/>
  <c r="AX36" i="19"/>
  <c r="AX49" i="19"/>
  <c r="AX48"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Y28" i="19"/>
  <c r="AZ81" i="6"/>
  <c r="BA78" i="6" s="1"/>
  <c r="AZ89" i="6" l="1"/>
  <c r="AY123" i="5"/>
  <c r="AY124" i="5"/>
  <c r="AY31" i="19"/>
  <c r="AY25" i="19"/>
  <c r="AY30" i="19"/>
  <c r="AY100" i="5"/>
  <c r="AZ71" i="6"/>
  <c r="BA68" i="6" s="1"/>
  <c r="AY125" i="5" l="1"/>
  <c r="AY126" i="5"/>
  <c r="AZ94" i="6"/>
  <c r="AZ90" i="6"/>
  <c r="AZ99" i="6" l="1"/>
  <c r="AZ95" i="6"/>
  <c r="AZ96" i="6" s="1"/>
  <c r="BA93" i="6" s="1"/>
  <c r="AZ91" i="6"/>
  <c r="BA88" i="6" s="1"/>
  <c r="AY113" i="5"/>
  <c r="AZ100" i="6" l="1"/>
  <c r="AY54" i="19"/>
  <c r="AY110" i="5"/>
  <c r="AY39" i="19"/>
  <c r="AY286" i="11"/>
  <c r="AY287" i="11" s="1"/>
  <c r="AX39" i="15" l="1"/>
  <c r="AX38" i="15" s="1"/>
  <c r="AX34" i="15" s="1"/>
  <c r="AX40" i="15" s="1"/>
  <c r="AZ284" i="11"/>
  <c r="AY36" i="19"/>
  <c r="AY41" i="19"/>
  <c r="AY42" i="19"/>
  <c r="AY48" i="19"/>
  <c r="AY49" i="19"/>
  <c r="AY130" i="5"/>
  <c r="AY132" i="5" s="1"/>
  <c r="AY129" i="5"/>
  <c r="AY131" i="5" s="1"/>
  <c r="AY133" i="5"/>
  <c r="AY67" i="5"/>
  <c r="AY120" i="5" s="1"/>
  <c r="AY122" i="5" s="1"/>
  <c r="AY56" i="19"/>
  <c r="AY5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AZ28" i="19"/>
  <c r="BA81" i="6"/>
  <c r="BB78" i="6" s="1"/>
  <c r="AZ100" i="5" l="1"/>
  <c r="BA71" i="6"/>
  <c r="BB68" i="6" s="1"/>
  <c r="BA89" i="6"/>
  <c r="AZ31" i="19"/>
  <c r="AZ25" i="19"/>
  <c r="AZ30" i="19"/>
  <c r="AZ123" i="5"/>
  <c r="AZ124" i="5"/>
  <c r="BA94" i="6" l="1"/>
  <c r="BA95" i="6" s="1"/>
  <c r="BA96" i="6" s="1"/>
  <c r="BB93" i="6" s="1"/>
  <c r="BA90" i="6"/>
  <c r="BA91" i="6" s="1"/>
  <c r="BB88" i="6" s="1"/>
  <c r="AZ125" i="5"/>
  <c r="AZ126" i="5"/>
  <c r="AZ113" i="5" l="1"/>
  <c r="BA99" i="6"/>
  <c r="AZ110" i="5" l="1"/>
  <c r="AZ39" i="19"/>
  <c r="AZ286" i="11"/>
  <c r="AZ287" i="11" s="1"/>
  <c r="BA100" i="6"/>
  <c r="AZ54" i="19"/>
  <c r="AZ57" i="19" l="1"/>
  <c r="AZ56" i="19"/>
  <c r="BA101" i="6"/>
  <c r="BB98" i="6" s="1"/>
  <c r="AY39" i="15"/>
  <c r="AY38" i="15" s="1"/>
  <c r="AY34" i="15" s="1"/>
  <c r="AY40" i="15" s="1"/>
  <c r="BA284" i="11"/>
  <c r="AZ42" i="19"/>
  <c r="AZ36" i="19"/>
  <c r="AZ41" i="19"/>
  <c r="AZ48" i="19"/>
  <c r="AZ49" i="19"/>
  <c r="AZ130" i="5"/>
  <c r="AZ132" i="5" s="1"/>
  <c r="AZ129" i="5"/>
  <c r="AZ131" i="5" s="1"/>
  <c r="AZ133" i="5"/>
  <c r="AZ67" i="5"/>
  <c r="AZ120" i="5" s="1"/>
  <c r="AZ122"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A28" i="19"/>
  <c r="BB81" i="6"/>
  <c r="BC78" i="6" s="1"/>
  <c r="BA100" i="5" l="1"/>
  <c r="BA25" i="19"/>
  <c r="BA31" i="19"/>
  <c r="BA30" i="19"/>
  <c r="BB71" i="6"/>
  <c r="BC68" i="6" s="1"/>
  <c r="BB89" i="6"/>
  <c r="BA124" i="5"/>
  <c r="BA123" i="5"/>
  <c r="BB94" i="6" l="1"/>
  <c r="BB90" i="6"/>
  <c r="BB91" i="6" s="1"/>
  <c r="BC88" i="6" s="1"/>
  <c r="BA125" i="5"/>
  <c r="BA126" i="5"/>
  <c r="BA113" i="5" l="1"/>
  <c r="BB99" i="6"/>
  <c r="BB95" i="6"/>
  <c r="BB96" i="6" s="1"/>
  <c r="BC93" i="6" s="1"/>
  <c r="BA54" i="19" l="1"/>
  <c r="BB100" i="6"/>
  <c r="BA110" i="5"/>
  <c r="BA39" i="19"/>
  <c r="BA286" i="11"/>
  <c r="BA287" i="11" s="1"/>
  <c r="BA36" i="19" l="1"/>
  <c r="BA41" i="19"/>
  <c r="BA42" i="19"/>
  <c r="BA48" i="19"/>
  <c r="BA49" i="19"/>
  <c r="BA133" i="5"/>
  <c r="BA67" i="5"/>
  <c r="BA120" i="5" s="1"/>
  <c r="BA122" i="5" s="1"/>
  <c r="BA129" i="5"/>
  <c r="BA131" i="5" s="1"/>
  <c r="BA130" i="5"/>
  <c r="BA132" i="5" s="1"/>
  <c r="BB101" i="6"/>
  <c r="BC98" i="6" s="1"/>
  <c r="AZ39" i="15"/>
  <c r="AZ38" i="15" s="1"/>
  <c r="AZ34" i="15" s="1"/>
  <c r="AZ40" i="15" s="1"/>
  <c r="BB284" i="11"/>
  <c r="BA56" i="19"/>
  <c r="BA5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B28" i="19"/>
  <c r="BC81" i="6"/>
  <c r="BD78" i="6" s="1"/>
  <c r="BC69" i="6"/>
  <c r="BC64" i="6"/>
  <c r="BB98" i="5"/>
  <c r="BB95" i="5" s="1"/>
  <c r="BB17" i="19"/>
  <c r="BC76" i="6"/>
  <c r="BD73" i="6" s="1"/>
  <c r="BC70" i="6" l="1"/>
  <c r="BC71" i="6" s="1"/>
  <c r="BD68" i="6" s="1"/>
  <c r="BB19" i="19"/>
  <c r="BB20" i="19"/>
  <c r="BB14" i="19"/>
  <c r="BB123" i="5"/>
  <c r="BB124" i="5"/>
  <c r="BB30" i="19"/>
  <c r="BB31" i="19"/>
  <c r="BB25" i="19"/>
  <c r="BB125" i="5"/>
  <c r="BB126" i="5"/>
  <c r="T73" i="16" l="1"/>
  <c r="T76" i="16" s="1"/>
  <c r="T77" i="16" s="1"/>
  <c r="BC89" i="6"/>
  <c r="T80" i="16"/>
  <c r="BC94" i="6" l="1"/>
  <c r="BC90" i="6"/>
  <c r="BB113" i="5" s="1"/>
  <c r="BC91" i="6" l="1"/>
  <c r="BD88" i="6" s="1"/>
  <c r="BB286" i="11"/>
  <c r="BB287" i="11" s="1"/>
  <c r="BB110" i="5"/>
  <c r="BB39" i="19"/>
  <c r="BC99" i="6"/>
  <c r="BC95" i="6"/>
  <c r="BC96" i="6" s="1"/>
  <c r="BD93" i="6" s="1"/>
  <c r="BB129" i="5" l="1"/>
  <c r="BB131" i="5" s="1"/>
  <c r="BB133" i="5"/>
  <c r="BB67" i="5"/>
  <c r="BB120" i="5" s="1"/>
  <c r="BB122" i="5" s="1"/>
  <c r="BB130" i="5"/>
  <c r="BB132" i="5" s="1"/>
  <c r="BA39" i="15"/>
  <c r="BC284" i="11"/>
  <c r="BC100" i="6"/>
  <c r="BC101" i="6" s="1"/>
  <c r="BD98" i="6" s="1"/>
  <c r="BB54" i="19"/>
  <c r="BB42" i="19"/>
  <c r="BB41" i="19"/>
  <c r="BB36" i="19"/>
  <c r="BB49" i="19"/>
  <c r="S382" i="32" s="1"/>
  <c r="BB48" i="19"/>
  <c r="Q382" i="32" s="1"/>
  <c r="BA16" i="15" l="1"/>
  <c r="BC121" i="5"/>
  <c r="BD44" i="6"/>
  <c r="BA38" i="15"/>
  <c r="BA34" i="15" s="1"/>
  <c r="BA40" i="15" s="1"/>
  <c r="R34" i="18"/>
  <c r="R33" i="18" s="1"/>
  <c r="R29" i="18" s="1"/>
  <c r="R35" i="18" s="1"/>
  <c r="BB56" i="19"/>
  <c r="BB5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C28" i="19"/>
  <c r="BD81" i="6"/>
  <c r="BE78" i="6" s="1"/>
  <c r="BD70" i="6"/>
  <c r="BC98" i="5"/>
  <c r="BC17" i="19"/>
  <c r="BD76" i="6"/>
  <c r="BE73" i="6" s="1"/>
  <c r="BC95" i="5" l="1"/>
  <c r="BC20" i="19"/>
  <c r="BC14" i="19"/>
  <c r="BC19" i="19"/>
  <c r="BC31" i="19"/>
  <c r="BC25" i="19"/>
  <c r="BC30" i="19"/>
  <c r="BD71" i="6"/>
  <c r="BE68" i="6" s="1"/>
  <c r="BD89" i="6"/>
  <c r="BC100" i="5"/>
  <c r="BD94" i="6" l="1"/>
  <c r="BD90" i="6"/>
  <c r="BD91" i="6" s="1"/>
  <c r="BE88" i="6" s="1"/>
  <c r="BC125" i="5"/>
  <c r="BC126" i="5"/>
  <c r="BC124" i="5"/>
  <c r="BC123" i="5"/>
  <c r="BD99" i="6" l="1"/>
  <c r="BD95" i="6"/>
  <c r="BD96" i="6" s="1"/>
  <c r="BE93" i="6" s="1"/>
  <c r="BC113" i="5"/>
  <c r="BC110" i="5" l="1"/>
  <c r="BC39" i="19"/>
  <c r="BC286" i="11"/>
  <c r="BC287" i="11" s="1"/>
  <c r="BD100" i="6"/>
  <c r="BC54" i="19"/>
  <c r="BC57" i="19" l="1"/>
  <c r="BC56" i="19"/>
  <c r="BD101" i="6"/>
  <c r="BE98" i="6" s="1"/>
  <c r="BC36" i="19"/>
  <c r="BC41" i="19"/>
  <c r="BC42" i="19"/>
  <c r="BC49" i="19"/>
  <c r="BC48" i="19"/>
  <c r="BB39" i="15"/>
  <c r="BB38" i="15" s="1"/>
  <c r="BB34" i="15" s="1"/>
  <c r="BB40" i="15" s="1"/>
  <c r="BD284" i="11"/>
  <c r="BC130" i="5"/>
  <c r="BC132" i="5" s="1"/>
  <c r="BC129" i="5"/>
  <c r="BC131" i="5" s="1"/>
  <c r="BC133" i="5"/>
  <c r="BC67" i="5"/>
  <c r="BC120" i="5" s="1"/>
  <c r="BC122"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28" i="19"/>
  <c r="BD103" i="5"/>
  <c r="BE81" i="6"/>
  <c r="BF78" i="6" s="1"/>
  <c r="BD25" i="19" l="1"/>
  <c r="BD31" i="19"/>
  <c r="BD30" i="19"/>
  <c r="BD123" i="5"/>
  <c r="BD124" i="5"/>
  <c r="BD100" i="5"/>
  <c r="BE89" i="6"/>
  <c r="BE94" i="6" l="1"/>
  <c r="BE95" i="6" s="1"/>
  <c r="BE96" i="6" s="1"/>
  <c r="BF93" i="6" s="1"/>
  <c r="BE90" i="6"/>
  <c r="BD126" i="5"/>
  <c r="BD125" i="5"/>
  <c r="BE99" i="6" l="1"/>
  <c r="BE100" i="6" s="1"/>
  <c r="BD113" i="5"/>
  <c r="BE91" i="6"/>
  <c r="BF88" i="6" s="1"/>
  <c r="BD54" i="19" l="1"/>
  <c r="BD57" i="19" s="1"/>
  <c r="BD110" i="5"/>
  <c r="BD39" i="19"/>
  <c r="BD286" i="11"/>
  <c r="BD287" i="11" s="1"/>
  <c r="BE101" i="6"/>
  <c r="BF98" i="6" s="1"/>
  <c r="BD56" i="19" l="1"/>
  <c r="BD36" i="19"/>
  <c r="BD42" i="19"/>
  <c r="BD41" i="19"/>
  <c r="BD49" i="19"/>
  <c r="BD48" i="19"/>
  <c r="BE284" i="11"/>
  <c r="BC39" i="15"/>
  <c r="BC38" i="15" s="1"/>
  <c r="BC34" i="15" s="1"/>
  <c r="BC40" i="15" s="1"/>
  <c r="BD67" i="5"/>
  <c r="BD120" i="5" s="1"/>
  <c r="BD122" i="5" s="1"/>
  <c r="BD129" i="5"/>
  <c r="BD131" i="5" s="1"/>
  <c r="BD133" i="5"/>
  <c r="BD130" i="5"/>
  <c r="BD132"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E28" i="19"/>
  <c r="BF81" i="6"/>
  <c r="BG78" i="6" s="1"/>
  <c r="BE100" i="5" l="1"/>
  <c r="BF71" i="6"/>
  <c r="BG68" i="6" s="1"/>
  <c r="BF89" i="6"/>
  <c r="BE25" i="19"/>
  <c r="BE31" i="19"/>
  <c r="BE30" i="19"/>
  <c r="BE123" i="5"/>
  <c r="BE124" i="5"/>
  <c r="BF94" i="6" l="1"/>
  <c r="BF90" i="6"/>
  <c r="BE125" i="5"/>
  <c r="BE126" i="5"/>
  <c r="BF91" i="6" l="1"/>
  <c r="BG88" i="6" s="1"/>
  <c r="BE113" i="5"/>
  <c r="BF99" i="6"/>
  <c r="BF95" i="6"/>
  <c r="BF96" i="6" s="1"/>
  <c r="BG93" i="6" s="1"/>
  <c r="BF100" i="6" l="1"/>
  <c r="BE54" i="19"/>
  <c r="BE110" i="5"/>
  <c r="BE39" i="19"/>
  <c r="BE286" i="11"/>
  <c r="BE287" i="11" s="1"/>
  <c r="BE41" i="19" l="1"/>
  <c r="BE36" i="19"/>
  <c r="BE42" i="19"/>
  <c r="BE49" i="19"/>
  <c r="BE48" i="19"/>
  <c r="BD39" i="15"/>
  <c r="BD38" i="15" s="1"/>
  <c r="BD34" i="15" s="1"/>
  <c r="BD40" i="15" s="1"/>
  <c r="BF284" i="11"/>
  <c r="BE130" i="5"/>
  <c r="BE132" i="5" s="1"/>
  <c r="BE129" i="5"/>
  <c r="BE131" i="5" s="1"/>
  <c r="BE133" i="5"/>
  <c r="BE67" i="5"/>
  <c r="BE120" i="5" s="1"/>
  <c r="BE122" i="5" s="1"/>
  <c r="BE56" i="19"/>
  <c r="BE5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F28" i="19"/>
  <c r="BG81" i="6"/>
  <c r="BH78" i="6" s="1"/>
  <c r="BF124" i="5" l="1"/>
  <c r="BF123" i="5"/>
  <c r="BF100" i="5"/>
  <c r="BF31" i="19"/>
  <c r="BF25" i="19"/>
  <c r="BF30" i="19"/>
  <c r="BG71" i="6"/>
  <c r="BH68" i="6" s="1"/>
  <c r="BG89" i="6"/>
  <c r="BG94" i="6" l="1"/>
  <c r="BG95" i="6" s="1"/>
  <c r="BG96" i="6" s="1"/>
  <c r="BH93" i="6" s="1"/>
  <c r="BG90" i="6"/>
  <c r="BF125" i="5"/>
  <c r="BF126" i="5"/>
  <c r="BF113" i="5" l="1"/>
  <c r="BG91" i="6"/>
  <c r="BH88" i="6" s="1"/>
  <c r="BG99" i="6"/>
  <c r="BF110" i="5" l="1"/>
  <c r="BF39" i="19"/>
  <c r="BF286" i="11"/>
  <c r="BF287" i="11" s="1"/>
  <c r="BF54" i="19"/>
  <c r="BG100" i="6"/>
  <c r="BG101" i="6" l="1"/>
  <c r="BH98" i="6" s="1"/>
  <c r="BF57" i="19"/>
  <c r="BF56" i="19"/>
  <c r="BF41" i="19"/>
  <c r="BF36" i="19"/>
  <c r="BF42" i="19"/>
  <c r="BF48" i="19"/>
  <c r="BF49" i="19"/>
  <c r="BE39" i="15"/>
  <c r="BE38" i="15" s="1"/>
  <c r="BE34" i="15" s="1"/>
  <c r="BE40" i="15" s="1"/>
  <c r="BG284" i="11"/>
  <c r="BF133" i="5"/>
  <c r="BF67" i="5"/>
  <c r="BF120" i="5" s="1"/>
  <c r="BF122" i="5" s="1"/>
  <c r="BF130" i="5"/>
  <c r="BF132" i="5" s="1"/>
  <c r="BF129" i="5"/>
  <c r="BF131"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G28" i="19"/>
  <c r="BH81" i="6"/>
  <c r="BI78" i="6" s="1"/>
  <c r="BG30" i="19" l="1"/>
  <c r="BG31" i="19"/>
  <c r="BG25" i="19"/>
  <c r="BH89" i="6"/>
  <c r="BG124" i="5"/>
  <c r="BG123" i="5"/>
  <c r="BG100" i="5"/>
  <c r="BH94" i="6" l="1"/>
  <c r="BH95" i="6" s="1"/>
  <c r="BH96" i="6" s="1"/>
  <c r="BI93" i="6" s="1"/>
  <c r="BH90" i="6"/>
  <c r="BG125" i="5"/>
  <c r="BG126" i="5"/>
  <c r="BH99" i="6" l="1"/>
  <c r="BH100" i="6" s="1"/>
  <c r="BH91" i="6"/>
  <c r="BI88" i="6" s="1"/>
  <c r="BG113" i="5"/>
  <c r="BG54" i="19" l="1"/>
  <c r="BG56" i="19" s="1"/>
  <c r="BG110" i="5"/>
  <c r="BG39" i="19"/>
  <c r="BG286" i="11"/>
  <c r="BG287" i="11" s="1"/>
  <c r="BH101" i="6"/>
  <c r="BI98" i="6" s="1"/>
  <c r="BG57" i="19" l="1"/>
  <c r="BG36" i="19"/>
  <c r="BG42" i="19"/>
  <c r="BG41" i="19"/>
  <c r="BG49" i="19"/>
  <c r="BG48" i="19"/>
  <c r="BF39" i="15"/>
  <c r="BF38" i="15" s="1"/>
  <c r="BF34" i="15" s="1"/>
  <c r="BF40" i="15" s="1"/>
  <c r="BH284" i="11"/>
  <c r="BG130" i="5"/>
  <c r="BG132" i="5" s="1"/>
  <c r="BG133" i="5"/>
  <c r="BG67" i="5"/>
  <c r="BG120" i="5" s="1"/>
  <c r="BG122" i="5" s="1"/>
  <c r="BG129" i="5"/>
  <c r="BG131"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H28" i="19"/>
  <c r="BI81" i="6"/>
  <c r="BJ78" i="6" s="1"/>
  <c r="BH19" i="19"/>
  <c r="BH20" i="19"/>
  <c r="BH14" i="19"/>
  <c r="BH95" i="5"/>
  <c r="BI64" i="6"/>
  <c r="BI69" i="6"/>
  <c r="BI70" i="6" s="1"/>
  <c r="BH31" i="19" l="1"/>
  <c r="BH30" i="19"/>
  <c r="BH25" i="19"/>
  <c r="BI71" i="6"/>
  <c r="BJ68" i="6" s="1"/>
  <c r="U73" i="16"/>
  <c r="U76" i="16" s="1"/>
  <c r="U77" i="16" s="1"/>
  <c r="U80" i="16"/>
  <c r="BI89" i="6"/>
  <c r="BH124" i="5"/>
  <c r="BH123" i="5"/>
  <c r="BH125" i="5"/>
  <c r="BH126" i="5"/>
  <c r="BI94" i="6" l="1"/>
  <c r="BI90" i="6"/>
  <c r="BH113" i="5" s="1"/>
  <c r="BI91" i="6" l="1"/>
  <c r="BJ88" i="6" s="1"/>
  <c r="BI99" i="6"/>
  <c r="BI95" i="6"/>
  <c r="BI96" i="6" s="1"/>
  <c r="BJ93" i="6" s="1"/>
  <c r="BH110" i="5"/>
  <c r="BH39" i="19"/>
  <c r="BH286" i="11"/>
  <c r="BH287" i="11" s="1"/>
  <c r="BI284" i="11" l="1"/>
  <c r="BG39" i="15"/>
  <c r="BH130" i="5"/>
  <c r="BH132" i="5" s="1"/>
  <c r="BH67" i="5"/>
  <c r="BH120" i="5" s="1"/>
  <c r="BH122" i="5" s="1"/>
  <c r="BH129" i="5"/>
  <c r="BH131" i="5" s="1"/>
  <c r="BH133" i="5"/>
  <c r="BH36" i="19"/>
  <c r="BH42" i="19"/>
  <c r="BH41" i="19"/>
  <c r="BH48" i="19"/>
  <c r="Q383" i="32" s="1"/>
  <c r="BH49" i="19"/>
  <c r="S383" i="32" s="1"/>
  <c r="BI100" i="6"/>
  <c r="BI101" i="6" s="1"/>
  <c r="BJ98" i="6" s="1"/>
  <c r="BH54" i="19"/>
  <c r="BH57" i="19" l="1"/>
  <c r="BH5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I28" i="19"/>
  <c r="BJ81" i="6"/>
  <c r="BK78" i="6" s="1"/>
  <c r="BI30" i="19" l="1"/>
  <c r="BI31" i="19"/>
  <c r="BI25" i="19"/>
  <c r="BI100" i="5"/>
  <c r="BJ89" i="6"/>
  <c r="BI123" i="5"/>
  <c r="BI124" i="5"/>
  <c r="BJ94" i="6" l="1"/>
  <c r="BJ90" i="6"/>
  <c r="BI126" i="5"/>
  <c r="BI125" i="5"/>
  <c r="BJ91" i="6" l="1"/>
  <c r="BK88" i="6" s="1"/>
  <c r="BI113" i="5"/>
  <c r="BJ99" i="6"/>
  <c r="BJ95" i="6"/>
  <c r="BJ96" i="6" s="1"/>
  <c r="BK93" i="6" s="1"/>
  <c r="BI110" i="5" l="1"/>
  <c r="BI39" i="19"/>
  <c r="BI286" i="11"/>
  <c r="BI287" i="11" s="1"/>
  <c r="BI54" i="19"/>
  <c r="BJ100" i="6"/>
  <c r="BJ101" i="6" l="1"/>
  <c r="BK98" i="6" s="1"/>
  <c r="BI57" i="19"/>
  <c r="BI56" i="19"/>
  <c r="BH39" i="15"/>
  <c r="BH38" i="15" s="1"/>
  <c r="BH34" i="15" s="1"/>
  <c r="BH40" i="15" s="1"/>
  <c r="BJ284" i="11"/>
  <c r="BI41" i="19"/>
  <c r="BI42" i="19"/>
  <c r="BI36" i="19"/>
  <c r="BI49" i="19"/>
  <c r="BI48" i="19"/>
  <c r="BI133" i="5"/>
  <c r="BI129" i="5"/>
  <c r="BI131" i="5" s="1"/>
  <c r="BI130" i="5"/>
  <c r="BI132" i="5" s="1"/>
  <c r="BI67" i="5"/>
  <c r="BI120" i="5" s="1"/>
  <c r="BI122"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28" i="19"/>
  <c r="BJ103" i="5"/>
  <c r="BK81" i="6"/>
  <c r="BL78" i="6" s="1"/>
  <c r="BJ95" i="5"/>
  <c r="BJ30" i="19" l="1"/>
  <c r="BJ25" i="19"/>
  <c r="BJ31" i="19"/>
  <c r="BJ123" i="5"/>
  <c r="BJ124" i="5"/>
  <c r="BK94" i="6"/>
  <c r="BK90" i="6"/>
  <c r="BK91" i="6" s="1"/>
  <c r="BL88" i="6" s="1"/>
  <c r="BJ100" i="5"/>
  <c r="BJ126" i="5" l="1"/>
  <c r="BJ125" i="5"/>
  <c r="BK99" i="6"/>
  <c r="BK95" i="6"/>
  <c r="BK96" i="6" s="1"/>
  <c r="BL93" i="6" s="1"/>
  <c r="BJ113" i="5"/>
  <c r="BK100" i="6" l="1"/>
  <c r="BJ54" i="19"/>
  <c r="BJ286" i="11"/>
  <c r="BJ287" i="11" s="1"/>
  <c r="BJ110" i="5"/>
  <c r="BJ39" i="19"/>
  <c r="BI39" i="15" l="1"/>
  <c r="BI38" i="15" s="1"/>
  <c r="BI34" i="15" s="1"/>
  <c r="BI40" i="15" s="1"/>
  <c r="BK284" i="11"/>
  <c r="BJ57" i="19"/>
  <c r="BJ56" i="19"/>
  <c r="BJ42" i="19"/>
  <c r="BJ41" i="19"/>
  <c r="BJ36" i="19"/>
  <c r="BJ48" i="19"/>
  <c r="BJ49" i="19"/>
  <c r="BK101" i="6"/>
  <c r="BL98" i="6" s="1"/>
  <c r="BJ130" i="5"/>
  <c r="BJ132" i="5" s="1"/>
  <c r="BJ67" i="5"/>
  <c r="BJ120" i="5" s="1"/>
  <c r="BJ122" i="5" s="1"/>
  <c r="BJ133" i="5"/>
  <c r="BJ129" i="5"/>
  <c r="BJ131"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K28" i="19"/>
  <c r="BL81" i="6"/>
  <c r="BM78" i="6" s="1"/>
  <c r="BK31" i="19" l="1"/>
  <c r="BK25" i="19"/>
  <c r="BK30" i="19"/>
  <c r="BL71" i="6"/>
  <c r="BM68" i="6" s="1"/>
  <c r="BL89" i="6"/>
  <c r="BK100" i="5"/>
  <c r="BK124" i="5"/>
  <c r="BK123" i="5"/>
  <c r="BK125" i="5" l="1"/>
  <c r="BK126" i="5"/>
  <c r="BL94" i="6"/>
  <c r="BL90" i="6"/>
  <c r="BL99" i="6" l="1"/>
  <c r="BL95" i="6"/>
  <c r="BL96" i="6" s="1"/>
  <c r="BM93" i="6" s="1"/>
  <c r="BL91" i="6"/>
  <c r="BM88" i="6" s="1"/>
  <c r="BK113" i="5"/>
  <c r="BK110" i="5" l="1"/>
  <c r="BK39" i="19"/>
  <c r="BK286" i="11"/>
  <c r="BK287" i="11" s="1"/>
  <c r="BL100" i="6"/>
  <c r="BK54" i="19"/>
  <c r="BL101" i="6" l="1"/>
  <c r="BM98" i="6" s="1"/>
  <c r="BK57" i="19"/>
  <c r="BK56" i="19"/>
  <c r="BJ39" i="15"/>
  <c r="BJ38" i="15" s="1"/>
  <c r="BJ34" i="15" s="1"/>
  <c r="BJ40" i="15" s="1"/>
  <c r="BL284" i="11"/>
  <c r="BK41" i="19"/>
  <c r="BK42" i="19"/>
  <c r="BK36" i="19"/>
  <c r="BK49" i="19"/>
  <c r="BK48" i="19"/>
  <c r="BK130" i="5"/>
  <c r="BK132" i="5" s="1"/>
  <c r="BK67" i="5"/>
  <c r="BK120" i="5" s="1"/>
  <c r="BK122" i="5" s="1"/>
  <c r="BK133" i="5"/>
  <c r="BK129" i="5"/>
  <c r="BK131"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L28" i="19"/>
  <c r="BM81" i="6"/>
  <c r="BN78" i="6" s="1"/>
  <c r="BM89" i="6" l="1"/>
  <c r="BL31" i="19"/>
  <c r="BL30" i="19"/>
  <c r="BL25" i="19"/>
  <c r="BL100" i="5"/>
  <c r="BL124" i="5"/>
  <c r="BL123" i="5"/>
  <c r="BM71" i="6"/>
  <c r="BN68" i="6" s="1"/>
  <c r="BM94" i="6" l="1"/>
  <c r="BM90" i="6"/>
  <c r="BL125" i="5"/>
  <c r="BL126" i="5"/>
  <c r="BM91" i="6" l="1"/>
  <c r="BN88" i="6" s="1"/>
  <c r="BL113" i="5"/>
  <c r="BM99" i="6"/>
  <c r="BM95" i="6"/>
  <c r="BM96" i="6" s="1"/>
  <c r="BN93" i="6" s="1"/>
  <c r="BL110" i="5" l="1"/>
  <c r="BL39" i="19"/>
  <c r="BL286" i="11"/>
  <c r="BL287" i="11" s="1"/>
  <c r="BM100" i="6"/>
  <c r="BL54" i="19"/>
  <c r="BL129" i="5" l="1"/>
  <c r="BL131" i="5" s="1"/>
  <c r="BL130" i="5"/>
  <c r="BL132" i="5" s="1"/>
  <c r="BL133" i="5"/>
  <c r="BL67" i="5"/>
  <c r="BL120" i="5" s="1"/>
  <c r="BL122" i="5" s="1"/>
  <c r="BL56" i="19"/>
  <c r="BL57" i="19"/>
  <c r="BM101" i="6"/>
  <c r="BN98" i="6" s="1"/>
  <c r="BK39" i="15"/>
  <c r="BK38" i="15" s="1"/>
  <c r="BK34" i="15" s="1"/>
  <c r="BK40" i="15" s="1"/>
  <c r="BM284" i="11"/>
  <c r="BL42" i="19"/>
  <c r="BL41" i="19"/>
  <c r="BL36" i="19"/>
  <c r="BL48" i="19"/>
  <c r="BL49"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M28" i="19"/>
  <c r="BN81" i="6"/>
  <c r="BO78" i="6" s="1"/>
  <c r="BM14" i="19"/>
  <c r="BM20" i="19"/>
  <c r="BM19" i="19"/>
  <c r="BM95" i="5"/>
  <c r="BN70" i="6"/>
  <c r="BM25" i="19" l="1"/>
  <c r="BM30" i="19"/>
  <c r="BM31" i="19"/>
  <c r="BM123" i="5"/>
  <c r="BM124" i="5"/>
  <c r="BN89" i="6"/>
  <c r="BN71" i="6"/>
  <c r="BO68" i="6" s="1"/>
  <c r="BM100" i="5"/>
  <c r="BM126" i="5" l="1"/>
  <c r="BM125" i="5"/>
  <c r="BN94" i="6"/>
  <c r="BN90" i="6"/>
  <c r="BN99" i="6" l="1"/>
  <c r="BN95" i="6"/>
  <c r="BN96" i="6" s="1"/>
  <c r="BO93" i="6" s="1"/>
  <c r="BN91" i="6"/>
  <c r="BO88" i="6" s="1"/>
  <c r="BM113" i="5"/>
  <c r="BM110" i="5" l="1"/>
  <c r="BM39" i="19"/>
  <c r="BM286" i="11"/>
  <c r="BM287" i="11" s="1"/>
  <c r="BM54" i="19"/>
  <c r="BN100" i="6"/>
  <c r="BM56" i="19" l="1"/>
  <c r="BM57" i="19"/>
  <c r="BL39" i="15"/>
  <c r="BL38" i="15" s="1"/>
  <c r="BL34" i="15" s="1"/>
  <c r="BL40" i="15" s="1"/>
  <c r="BN284" i="11"/>
  <c r="BM42" i="19"/>
  <c r="BM36" i="19"/>
  <c r="BM41" i="19"/>
  <c r="BM49" i="19"/>
  <c r="BM48" i="19"/>
  <c r="BN101" i="6"/>
  <c r="BO98" i="6" s="1"/>
  <c r="BM129" i="5"/>
  <c r="BM131" i="5" s="1"/>
  <c r="BM67" i="5"/>
  <c r="BM120" i="5" s="1"/>
  <c r="BM122" i="5" s="1"/>
  <c r="BM133" i="5"/>
  <c r="BM130" i="5"/>
  <c r="BM132"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N28" i="19"/>
  <c r="BO81" i="6"/>
  <c r="BP78" i="6" s="1"/>
  <c r="BN98" i="5"/>
  <c r="BN17" i="19"/>
  <c r="BO76" i="6"/>
  <c r="BP73" i="6" s="1"/>
  <c r="BO69" i="6"/>
  <c r="BO70" i="6" s="1"/>
  <c r="BO64" i="6"/>
  <c r="BN95" i="5" l="1"/>
  <c r="BO71" i="6"/>
  <c r="BP68" i="6" s="1"/>
  <c r="V80" i="16"/>
  <c r="BO89" i="6"/>
  <c r="V73" i="16"/>
  <c r="V76" i="16" s="1"/>
  <c r="V77" i="16" s="1"/>
  <c r="BN14" i="19"/>
  <c r="BN20" i="19"/>
  <c r="BN19" i="19"/>
  <c r="BN30" i="19"/>
  <c r="BN25" i="19"/>
  <c r="BN31" i="19"/>
  <c r="BN126" i="5"/>
  <c r="BN125" i="5"/>
  <c r="BO94" i="6" l="1"/>
  <c r="BO95" i="6" s="1"/>
  <c r="BO96" i="6" s="1"/>
  <c r="BP93" i="6" s="1"/>
  <c r="BO90" i="6"/>
  <c r="BN113" i="5" s="1"/>
  <c r="BN124" i="5"/>
  <c r="BN123" i="5"/>
  <c r="BO99" i="6" l="1"/>
  <c r="BN54" i="19" s="1"/>
  <c r="BN39" i="19"/>
  <c r="BN110" i="5"/>
  <c r="BN286" i="11"/>
  <c r="BN287" i="11" s="1"/>
  <c r="BO91" i="6"/>
  <c r="BP88" i="6" s="1"/>
  <c r="BO100" i="6" l="1"/>
  <c r="BO101" i="6" s="1"/>
  <c r="BP98" i="6" s="1"/>
  <c r="BO284" i="11"/>
  <c r="BM39" i="15"/>
  <c r="BN129" i="5"/>
  <c r="BN131" i="5" s="1"/>
  <c r="BN133" i="5"/>
  <c r="BN67" i="5"/>
  <c r="BN120" i="5" s="1"/>
  <c r="BN122" i="5" s="1"/>
  <c r="BN130" i="5"/>
  <c r="BN132" i="5" s="1"/>
  <c r="BN56" i="19"/>
  <c r="BN57" i="19"/>
  <c r="BN42" i="19"/>
  <c r="BN41" i="19"/>
  <c r="BN36" i="19"/>
  <c r="BN48" i="19"/>
  <c r="Q384" i="32" s="1"/>
  <c r="BN49" i="19"/>
  <c r="S384" i="32" s="1"/>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O28" i="19"/>
  <c r="BP81" i="6"/>
  <c r="BQ78" i="6" s="1"/>
  <c r="BO98" i="5"/>
  <c r="BO17" i="19"/>
  <c r="BP76" i="6"/>
  <c r="BQ73" i="6" s="1"/>
  <c r="BP94" i="6" l="1"/>
  <c r="BP90" i="6"/>
  <c r="BP91" i="6" s="1"/>
  <c r="BQ88" i="6" s="1"/>
  <c r="BO19" i="19"/>
  <c r="BO14" i="19"/>
  <c r="BO20" i="19"/>
  <c r="BO100" i="5"/>
  <c r="BO95" i="5"/>
  <c r="BP71" i="6"/>
  <c r="BQ68" i="6" s="1"/>
  <c r="BO25" i="19"/>
  <c r="BO31" i="19"/>
  <c r="BO30" i="19"/>
  <c r="BO125" i="5" l="1"/>
  <c r="BO126" i="5"/>
  <c r="BO124" i="5"/>
  <c r="BO123" i="5"/>
  <c r="BO113" i="5"/>
  <c r="BP99" i="6"/>
  <c r="BP95" i="6"/>
  <c r="BP96" i="6" s="1"/>
  <c r="BQ93" i="6" s="1"/>
  <c r="BO110" i="5" l="1"/>
  <c r="BO39" i="19"/>
  <c r="BO286" i="11"/>
  <c r="BO287" i="11" s="1"/>
  <c r="BP100" i="6"/>
  <c r="BO54" i="19"/>
  <c r="BO57" i="19" l="1"/>
  <c r="BO56" i="19"/>
  <c r="BP101" i="6"/>
  <c r="BQ98" i="6" s="1"/>
  <c r="BO36" i="19"/>
  <c r="BO42" i="19"/>
  <c r="BO41" i="19"/>
  <c r="BO49" i="19"/>
  <c r="BO48" i="19"/>
  <c r="BN39" i="15"/>
  <c r="BN38" i="15" s="1"/>
  <c r="BN34" i="15" s="1"/>
  <c r="BN40" i="15" s="1"/>
  <c r="BP284" i="11"/>
  <c r="BO67" i="5"/>
  <c r="BO120" i="5" s="1"/>
  <c r="BO122" i="5" s="1"/>
  <c r="BO130" i="5"/>
  <c r="BO132" i="5" s="1"/>
  <c r="BO133" i="5"/>
  <c r="BO129" i="5"/>
  <c r="BO131"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P28" i="19"/>
  <c r="BQ81" i="6"/>
  <c r="BR78" i="6" s="1"/>
  <c r="BP100" i="5" l="1"/>
  <c r="BP124" i="5"/>
  <c r="BP123" i="5"/>
  <c r="BP31" i="19"/>
  <c r="BP30" i="19"/>
  <c r="BP25" i="19"/>
  <c r="BQ71" i="6"/>
  <c r="BR68" i="6" s="1"/>
  <c r="BQ89" i="6"/>
  <c r="BQ94" i="6" l="1"/>
  <c r="BQ90" i="6"/>
  <c r="BP125" i="5"/>
  <c r="BP126" i="5"/>
  <c r="BQ99" i="6" l="1"/>
  <c r="BQ95" i="6"/>
  <c r="BQ96" i="6" s="1"/>
  <c r="BR93" i="6" s="1"/>
  <c r="BQ91" i="6"/>
  <c r="BR88" i="6" s="1"/>
  <c r="BP113" i="5"/>
  <c r="BP110" i="5" l="1"/>
  <c r="BP39" i="19"/>
  <c r="BP286" i="11"/>
  <c r="BP287" i="11" s="1"/>
  <c r="BQ100" i="6"/>
  <c r="BP54" i="19"/>
  <c r="BQ101" i="6" l="1"/>
  <c r="BR98" i="6" s="1"/>
  <c r="BP42" i="19"/>
  <c r="BP41" i="19"/>
  <c r="BP36" i="19"/>
  <c r="BP49" i="19"/>
  <c r="BP48" i="19"/>
  <c r="BP57" i="19"/>
  <c r="BP56" i="19"/>
  <c r="BO39" i="15"/>
  <c r="BO38" i="15" s="1"/>
  <c r="BO34" i="15" s="1"/>
  <c r="BO40" i="15" s="1"/>
  <c r="BQ284" i="11"/>
  <c r="BP130" i="5"/>
  <c r="BP132" i="5" s="1"/>
  <c r="BP129" i="5"/>
  <c r="BP131" i="5" s="1"/>
  <c r="BP133" i="5"/>
  <c r="BP67" i="5"/>
  <c r="BP120" i="5" s="1"/>
  <c r="BP122"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Q28" i="19"/>
  <c r="BR81" i="6"/>
  <c r="BS78" i="6" s="1"/>
  <c r="BR89" i="6" l="1"/>
  <c r="BQ100" i="5"/>
  <c r="BR71" i="6"/>
  <c r="BS68" i="6" s="1"/>
  <c r="BQ30" i="19"/>
  <c r="BQ25" i="19"/>
  <c r="BQ31" i="19"/>
  <c r="BQ124" i="5"/>
  <c r="BQ123" i="5"/>
  <c r="BQ126" i="5" l="1"/>
  <c r="BQ125" i="5"/>
  <c r="BR94" i="6"/>
  <c r="BR90" i="6"/>
  <c r="BQ113" i="5" l="1"/>
  <c r="BR91" i="6"/>
  <c r="BS88" i="6" s="1"/>
  <c r="BR99" i="6"/>
  <c r="BR95" i="6"/>
  <c r="BR96" i="6" s="1"/>
  <c r="BS93" i="6" s="1"/>
  <c r="BR100" i="6" l="1"/>
  <c r="BQ54" i="19"/>
  <c r="BQ110" i="5"/>
  <c r="BQ39" i="19"/>
  <c r="BQ286" i="11"/>
  <c r="BQ287" i="11" s="1"/>
  <c r="BQ57" i="19" l="1"/>
  <c r="BQ56" i="19"/>
  <c r="BQ42" i="19"/>
  <c r="BQ36" i="19"/>
  <c r="BQ41" i="19"/>
  <c r="BQ48" i="19"/>
  <c r="BQ49" i="19"/>
  <c r="BR101" i="6"/>
  <c r="BS98" i="6" s="1"/>
  <c r="BP39" i="15"/>
  <c r="BP38" i="15" s="1"/>
  <c r="BP34" i="15" s="1"/>
  <c r="BP40" i="15" s="1"/>
  <c r="BR284" i="11"/>
  <c r="BQ130" i="5"/>
  <c r="BQ132" i="5" s="1"/>
  <c r="BQ133" i="5"/>
  <c r="BQ129" i="5"/>
  <c r="BQ131" i="5" s="1"/>
  <c r="BQ67" i="5"/>
  <c r="BQ120" i="5" s="1"/>
  <c r="BQ122"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R28" i="19"/>
  <c r="BS81" i="6"/>
  <c r="BT78" i="6" s="1"/>
  <c r="BR25" i="19" l="1"/>
  <c r="BR31" i="19"/>
  <c r="BR30" i="19"/>
  <c r="BR100" i="5"/>
  <c r="BR123" i="5"/>
  <c r="BR124" i="5"/>
  <c r="BS89" i="6"/>
  <c r="BR126" i="5" l="1"/>
  <c r="BR125" i="5"/>
  <c r="BS94" i="6"/>
  <c r="BS95" i="6" s="1"/>
  <c r="BS96" i="6" s="1"/>
  <c r="BT93" i="6" s="1"/>
  <c r="BS90" i="6"/>
  <c r="BS99" i="6" l="1"/>
  <c r="BS100" i="6" s="1"/>
  <c r="BS91" i="6"/>
  <c r="BT88" i="6" s="1"/>
  <c r="BR113" i="5"/>
  <c r="BR54" i="19" l="1"/>
  <c r="BR57" i="19" s="1"/>
  <c r="BR39" i="19"/>
  <c r="BR110" i="5"/>
  <c r="BR286" i="11"/>
  <c r="BR287" i="11" s="1"/>
  <c r="BS101" i="6"/>
  <c r="BT98" i="6" s="1"/>
  <c r="BR56" i="19" l="1"/>
  <c r="BS284" i="11"/>
  <c r="BQ39" i="15"/>
  <c r="BQ38" i="15" s="1"/>
  <c r="BQ34" i="15" s="1"/>
  <c r="BQ40" i="15" s="1"/>
  <c r="BR42" i="19"/>
  <c r="BR36" i="19"/>
  <c r="BR41" i="19"/>
  <c r="BR49" i="19"/>
  <c r="BR48" i="19"/>
  <c r="BR67" i="5"/>
  <c r="BR120" i="5" s="1"/>
  <c r="BR122" i="5" s="1"/>
  <c r="BR130" i="5"/>
  <c r="BR132" i="5" s="1"/>
  <c r="BR129" i="5"/>
  <c r="BR131" i="5" s="1"/>
  <c r="BR133"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28" i="19" l="1"/>
  <c r="BS103" i="5"/>
  <c r="BT81" i="6"/>
  <c r="BU78" i="6" s="1"/>
  <c r="BT70" i="6"/>
  <c r="BS98" i="5"/>
  <c r="BS17" i="19"/>
  <c r="BT76" i="6"/>
  <c r="BU73" i="6" s="1"/>
  <c r="BS19" i="19" l="1"/>
  <c r="BS20" i="19"/>
  <c r="BS14" i="19"/>
  <c r="BS95" i="5"/>
  <c r="BS100" i="5"/>
  <c r="BT71" i="6"/>
  <c r="BU68" i="6" s="1"/>
  <c r="BS31" i="19"/>
  <c r="BS25" i="19"/>
  <c r="BS30" i="19"/>
  <c r="BT89" i="6"/>
  <c r="BT94" i="6" l="1"/>
  <c r="BT90" i="6"/>
  <c r="BS125" i="5"/>
  <c r="BS126" i="5"/>
  <c r="BS124" i="5"/>
  <c r="BS123" i="5"/>
  <c r="BT91" i="6" l="1"/>
  <c r="BU88" i="6" s="1"/>
  <c r="BS113" i="5"/>
  <c r="BT99" i="6"/>
  <c r="BT95" i="6"/>
  <c r="BT96" i="6" s="1"/>
  <c r="BU93" i="6" s="1"/>
  <c r="BS54" i="19" l="1"/>
  <c r="BT100" i="6"/>
  <c r="BS110" i="5"/>
  <c r="BS39" i="19"/>
  <c r="BS286" i="11"/>
  <c r="BS287" i="11" s="1"/>
  <c r="BS36" i="19" l="1"/>
  <c r="BS41" i="19"/>
  <c r="BS42" i="19"/>
  <c r="BS48" i="19"/>
  <c r="BS49" i="19"/>
  <c r="BR39" i="15"/>
  <c r="BR38" i="15" s="1"/>
  <c r="BR34" i="15" s="1"/>
  <c r="BR40" i="15" s="1"/>
  <c r="BT284" i="11"/>
  <c r="BS129" i="5"/>
  <c r="BS131" i="5" s="1"/>
  <c r="BS130" i="5"/>
  <c r="BS132" i="5" s="1"/>
  <c r="BS133" i="5"/>
  <c r="BS67" i="5"/>
  <c r="BS120" i="5" s="1"/>
  <c r="BS122" i="5" s="1"/>
  <c r="BT101" i="6"/>
  <c r="BU98" i="6" s="1"/>
  <c r="BS56" i="19"/>
  <c r="BS5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28" i="19" l="1"/>
  <c r="BT103" i="5"/>
  <c r="BT100" i="5" s="1"/>
  <c r="BU81" i="6"/>
  <c r="BV78" i="6" s="1"/>
  <c r="BT14" i="19"/>
  <c r="BT19" i="19"/>
  <c r="BT20" i="19"/>
  <c r="BU71" i="6"/>
  <c r="BV68" i="6" s="1"/>
  <c r="W80" i="16"/>
  <c r="BU89" i="6"/>
  <c r="W73" i="16"/>
  <c r="W76" i="16" s="1"/>
  <c r="W77" i="16" s="1"/>
  <c r="BT95" i="5"/>
  <c r="BT126" i="5" l="1"/>
  <c r="BT125" i="5"/>
  <c r="BT124" i="5"/>
  <c r="BT123" i="5"/>
  <c r="BU94" i="6"/>
  <c r="BU90" i="6"/>
  <c r="BT113" i="5" s="1"/>
  <c r="BT31" i="19"/>
  <c r="BT25" i="19"/>
  <c r="BT30" i="19"/>
  <c r="BU91" i="6" l="1"/>
  <c r="BV88" i="6" s="1"/>
  <c r="BT110" i="5"/>
  <c r="BT39" i="19"/>
  <c r="BT286" i="11"/>
  <c r="BT287" i="11" s="1"/>
  <c r="BU99" i="6"/>
  <c r="BU95" i="6"/>
  <c r="BU96" i="6" s="1"/>
  <c r="BV93" i="6" s="1"/>
  <c r="BS39" i="15" l="1"/>
  <c r="BU284" i="11"/>
  <c r="BT36" i="19"/>
  <c r="BT42" i="19"/>
  <c r="BT41" i="19"/>
  <c r="BT49" i="19"/>
  <c r="S385" i="32" s="1"/>
  <c r="BT48" i="19"/>
  <c r="Q385" i="32" s="1"/>
  <c r="BT133" i="5"/>
  <c r="BT67" i="5"/>
  <c r="BT120" i="5" s="1"/>
  <c r="BT122" i="5" s="1"/>
  <c r="BT129" i="5"/>
  <c r="BT131" i="5" s="1"/>
  <c r="BT130" i="5"/>
  <c r="BT132" i="5" s="1"/>
  <c r="BU100" i="6"/>
  <c r="BU101" i="6" s="1"/>
  <c r="BV98" i="6" s="1"/>
  <c r="BT54" i="19"/>
  <c r="BT57" i="19" l="1"/>
  <c r="BT5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U28" i="19"/>
  <c r="BV81" i="6"/>
  <c r="BW78" i="6" s="1"/>
  <c r="BU19" i="19"/>
  <c r="BU20" i="19"/>
  <c r="BU14" i="19"/>
  <c r="BU95" i="5"/>
  <c r="BU124" i="5" l="1"/>
  <c r="BU123" i="5"/>
  <c r="BU25" i="19"/>
  <c r="BU30" i="19"/>
  <c r="BU31" i="19"/>
  <c r="BV71" i="6"/>
  <c r="BW68" i="6" s="1"/>
  <c r="BV89" i="6"/>
  <c r="BU100" i="5"/>
  <c r="BV94" i="6" l="1"/>
  <c r="BV95" i="6" s="1"/>
  <c r="BV96" i="6" s="1"/>
  <c r="BW93" i="6" s="1"/>
  <c r="BV90" i="6"/>
  <c r="BU125" i="5"/>
  <c r="BU126" i="5"/>
  <c r="BV99" i="6" l="1"/>
  <c r="BV100" i="6" s="1"/>
  <c r="BV91" i="6"/>
  <c r="BW88" i="6" s="1"/>
  <c r="BU113" i="5"/>
  <c r="BU54" i="19" l="1"/>
  <c r="BU56" i="19" s="1"/>
  <c r="BV101" i="6"/>
  <c r="BW98" i="6" s="1"/>
  <c r="BU39" i="19"/>
  <c r="BU110" i="5"/>
  <c r="BU286" i="11"/>
  <c r="BU287" i="11" s="1"/>
  <c r="BU57" i="19" l="1"/>
  <c r="BT39" i="15"/>
  <c r="BT38" i="15" s="1"/>
  <c r="BT34" i="15" s="1"/>
  <c r="BT40" i="15" s="1"/>
  <c r="BV284" i="11"/>
  <c r="BU133" i="5"/>
  <c r="BU67" i="5"/>
  <c r="BU120" i="5" s="1"/>
  <c r="BU122" i="5" s="1"/>
  <c r="BU130" i="5"/>
  <c r="BU132" i="5" s="1"/>
  <c r="BU129" i="5"/>
  <c r="BU131" i="5" s="1"/>
  <c r="BU42" i="19"/>
  <c r="BU36" i="19"/>
  <c r="BU41" i="19"/>
  <c r="BU49" i="19"/>
  <c r="BU48"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V28" i="19"/>
  <c r="BW81" i="6"/>
  <c r="BX78" i="6" s="1"/>
  <c r="BW70" i="6"/>
  <c r="BV98" i="5"/>
  <c r="BV17" i="19"/>
  <c r="BW76" i="6"/>
  <c r="BX73" i="6" s="1"/>
  <c r="BV14" i="19" l="1"/>
  <c r="BV20" i="19"/>
  <c r="BV19" i="19"/>
  <c r="BV95" i="5"/>
  <c r="BV25" i="19"/>
  <c r="BV30" i="19"/>
  <c r="BV31" i="19"/>
  <c r="BW71" i="6"/>
  <c r="BX68" i="6" s="1"/>
  <c r="BV100" i="5"/>
  <c r="BW89" i="6"/>
  <c r="BV123" i="5" l="1"/>
  <c r="BV124" i="5"/>
  <c r="BW94" i="6"/>
  <c r="BW90" i="6"/>
  <c r="BV126" i="5"/>
  <c r="BV125" i="5"/>
  <c r="BW91" i="6" l="1"/>
  <c r="BX88" i="6" s="1"/>
  <c r="BV113" i="5"/>
  <c r="BW99" i="6"/>
  <c r="BW95" i="6"/>
  <c r="BW96" i="6" s="1"/>
  <c r="BX93" i="6" s="1"/>
  <c r="BW100" i="6" l="1"/>
  <c r="BV54" i="19"/>
  <c r="BV286" i="11"/>
  <c r="BV287" i="11" s="1"/>
  <c r="BV110" i="5"/>
  <c r="BV39" i="19"/>
  <c r="BU39" i="15" l="1"/>
  <c r="BU38" i="15" s="1"/>
  <c r="BU34" i="15" s="1"/>
  <c r="BU40" i="15" s="1"/>
  <c r="BW284" i="11"/>
  <c r="BV57" i="19"/>
  <c r="BV56" i="19"/>
  <c r="BV130" i="5"/>
  <c r="BV132" i="5" s="1"/>
  <c r="BV67" i="5"/>
  <c r="BV120" i="5" s="1"/>
  <c r="BV122" i="5" s="1"/>
  <c r="BV133" i="5"/>
  <c r="BV129" i="5"/>
  <c r="BV131" i="5" s="1"/>
  <c r="BV42" i="19"/>
  <c r="BV36" i="19"/>
  <c r="BV41" i="19"/>
  <c r="BV49" i="19"/>
  <c r="BV48"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W28" i="19"/>
  <c r="BX81" i="6"/>
  <c r="BY78" i="6" s="1"/>
  <c r="BX89" i="6" l="1"/>
  <c r="BW31" i="19"/>
  <c r="BW30" i="19"/>
  <c r="BW25" i="19"/>
  <c r="BW123" i="5"/>
  <c r="BW124" i="5"/>
  <c r="BW100" i="5"/>
  <c r="BX71" i="6"/>
  <c r="BY68" i="6" s="1"/>
  <c r="BW125" i="5" l="1"/>
  <c r="BW126" i="5"/>
  <c r="BX94" i="6"/>
  <c r="BX90" i="6"/>
  <c r="BX91" i="6" l="1"/>
  <c r="BY88" i="6" s="1"/>
  <c r="BW113" i="5"/>
  <c r="BX99" i="6"/>
  <c r="BX95" i="6"/>
  <c r="BX96" i="6" s="1"/>
  <c r="BY93" i="6" s="1"/>
  <c r="BX100" i="6" l="1"/>
  <c r="BW54" i="19"/>
  <c r="BW110" i="5"/>
  <c r="BW39" i="19"/>
  <c r="BW286" i="11"/>
  <c r="BW287" i="11" s="1"/>
  <c r="BV39" i="15" l="1"/>
  <c r="BV38" i="15" s="1"/>
  <c r="BV34" i="15" s="1"/>
  <c r="BV40" i="15" s="1"/>
  <c r="BX284" i="11"/>
  <c r="BW41" i="19"/>
  <c r="BW36" i="19"/>
  <c r="BW42" i="19"/>
  <c r="BW48" i="19"/>
  <c r="BW49" i="19"/>
  <c r="BW133" i="5"/>
  <c r="BW130" i="5"/>
  <c r="BW132" i="5" s="1"/>
  <c r="BW67" i="5"/>
  <c r="BW120" i="5" s="1"/>
  <c r="BW122" i="5" s="1"/>
  <c r="BW129" i="5"/>
  <c r="BW131" i="5" s="1"/>
  <c r="BW56" i="19"/>
  <c r="BW5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X28" i="19"/>
  <c r="BY81" i="6"/>
  <c r="BZ78" i="6" s="1"/>
  <c r="BX98" i="5"/>
  <c r="BX17" i="19"/>
  <c r="BY76" i="6"/>
  <c r="BZ73" i="6" s="1"/>
  <c r="BX95" i="5" l="1"/>
  <c r="BY71" i="6"/>
  <c r="BZ68" i="6" s="1"/>
  <c r="BX19" i="19"/>
  <c r="BX14" i="19"/>
  <c r="BX20" i="19"/>
  <c r="BX100" i="5"/>
  <c r="BY94" i="6"/>
  <c r="BY90" i="6"/>
  <c r="BX25" i="19"/>
  <c r="BX30" i="19"/>
  <c r="BX31" i="19"/>
  <c r="BY91" i="6" l="1"/>
  <c r="BZ88" i="6" s="1"/>
  <c r="BX113" i="5"/>
  <c r="BX125" i="5"/>
  <c r="BX126" i="5"/>
  <c r="BY99" i="6"/>
  <c r="BY95" i="6"/>
  <c r="BY96" i="6" s="1"/>
  <c r="BZ93" i="6" s="1"/>
  <c r="BX123" i="5"/>
  <c r="BX124" i="5"/>
  <c r="BX54" i="19" l="1"/>
  <c r="BY100" i="6"/>
  <c r="BX110" i="5"/>
  <c r="BX39" i="19"/>
  <c r="BX286" i="11"/>
  <c r="BX287" i="11" s="1"/>
  <c r="BX56" i="19" l="1"/>
  <c r="BX57" i="19"/>
  <c r="BY101" i="6"/>
  <c r="BZ98" i="6" s="1"/>
  <c r="BW39" i="15"/>
  <c r="BW38" i="15" s="1"/>
  <c r="BW34" i="15" s="1"/>
  <c r="BW40" i="15" s="1"/>
  <c r="BY284" i="11"/>
  <c r="BX36" i="19"/>
  <c r="BX42" i="19"/>
  <c r="BX41" i="19"/>
  <c r="BX49" i="19"/>
  <c r="BX48" i="19"/>
  <c r="BX67" i="5"/>
  <c r="BX120" i="5" s="1"/>
  <c r="BX122" i="5" s="1"/>
  <c r="BX130" i="5"/>
  <c r="BX132" i="5" s="1"/>
  <c r="BX133" i="5"/>
  <c r="BX129" i="5"/>
  <c r="BX131"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Y28" i="19"/>
  <c r="BZ81" i="6"/>
  <c r="CA78" i="6" s="1"/>
  <c r="BY25" i="19" l="1"/>
  <c r="BY30" i="19"/>
  <c r="BY31" i="19"/>
  <c r="BY100" i="5"/>
  <c r="BZ89" i="6"/>
  <c r="BY123" i="5"/>
  <c r="BY124" i="5"/>
  <c r="BZ94" i="6" l="1"/>
  <c r="BZ90" i="6"/>
  <c r="BY125" i="5"/>
  <c r="BY126" i="5"/>
  <c r="BZ99" i="6" l="1"/>
  <c r="BZ95" i="6"/>
  <c r="BZ96" i="6" s="1"/>
  <c r="CA93" i="6" s="1"/>
  <c r="BZ91" i="6"/>
  <c r="CA88" i="6" s="1"/>
  <c r="BY113" i="5"/>
  <c r="BY39" i="19" l="1"/>
  <c r="BY110" i="5"/>
  <c r="BY286" i="11"/>
  <c r="BY287" i="11" s="1"/>
  <c r="BZ100" i="6"/>
  <c r="BY54" i="19"/>
  <c r="BX39" i="15" l="1"/>
  <c r="BX38" i="15" s="1"/>
  <c r="BX34" i="15" s="1"/>
  <c r="BX40" i="15" s="1"/>
  <c r="BZ284" i="11"/>
  <c r="BY133" i="5"/>
  <c r="BY130" i="5"/>
  <c r="BY132" i="5" s="1"/>
  <c r="BY129" i="5"/>
  <c r="BY131" i="5" s="1"/>
  <c r="BY67" i="5"/>
  <c r="BY120" i="5" s="1"/>
  <c r="BY122" i="5" s="1"/>
  <c r="BY56" i="19"/>
  <c r="BY57" i="19"/>
  <c r="BZ101" i="6"/>
  <c r="CA98" i="6" s="1"/>
  <c r="BY36" i="19"/>
  <c r="BY41" i="19"/>
  <c r="BY42" i="19"/>
  <c r="BY49" i="19"/>
  <c r="BY48"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BZ28" i="19"/>
  <c r="CA81" i="6"/>
  <c r="CB78" i="6" s="1"/>
  <c r="BZ14" i="19"/>
  <c r="BZ19" i="19"/>
  <c r="BZ20" i="19"/>
  <c r="CA64" i="6"/>
  <c r="CA69" i="6"/>
  <c r="CA70" i="6" s="1"/>
  <c r="CA71" i="6" l="1"/>
  <c r="CB68" i="6" s="1"/>
  <c r="X73" i="16"/>
  <c r="X76" i="16" s="1"/>
  <c r="X77" i="16" s="1"/>
  <c r="CA89" i="6"/>
  <c r="X80" i="16"/>
  <c r="BZ30" i="19"/>
  <c r="BZ31" i="19"/>
  <c r="BZ25" i="19"/>
  <c r="BZ125" i="5"/>
  <c r="BZ126" i="5"/>
  <c r="BZ124" i="5"/>
  <c r="BZ123" i="5"/>
  <c r="CA94" i="6" l="1"/>
  <c r="CA95" i="6" s="1"/>
  <c r="CA96" i="6" s="1"/>
  <c r="CB93" i="6" s="1"/>
  <c r="CA90" i="6"/>
  <c r="BZ113" i="5" s="1"/>
  <c r="BZ110" i="5" l="1"/>
  <c r="BZ39" i="19"/>
  <c r="BZ286" i="11"/>
  <c r="BZ287" i="11" s="1"/>
  <c r="CA91" i="6"/>
  <c r="CB88" i="6" s="1"/>
  <c r="CA99" i="6"/>
  <c r="BZ130" i="5" l="1"/>
  <c r="BZ132" i="5" s="1"/>
  <c r="BZ67" i="5"/>
  <c r="BZ120" i="5" s="1"/>
  <c r="BZ122" i="5" s="1"/>
  <c r="BZ133" i="5"/>
  <c r="BZ129" i="5"/>
  <c r="BZ131" i="5" s="1"/>
  <c r="CA284" i="11"/>
  <c r="BY39" i="15"/>
  <c r="CA100" i="6"/>
  <c r="CA101" i="6" s="1"/>
  <c r="CB98" i="6" s="1"/>
  <c r="BZ54" i="19"/>
  <c r="BZ42" i="19"/>
  <c r="BZ41" i="19"/>
  <c r="BZ36" i="19"/>
  <c r="BZ48" i="19"/>
  <c r="Q386" i="32" s="1"/>
  <c r="BZ49" i="19"/>
  <c r="S386" i="32" s="1"/>
  <c r="V34" i="18" l="1"/>
  <c r="V33" i="18" s="1"/>
  <c r="V29" i="18" s="1"/>
  <c r="V35" i="18" s="1"/>
  <c r="BY38" i="15"/>
  <c r="BY34" i="15" s="1"/>
  <c r="BY40" i="15" s="1"/>
  <c r="BY16" i="15"/>
  <c r="CA121" i="5"/>
  <c r="CB44" i="6"/>
  <c r="BZ56" i="19"/>
  <c r="BZ5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A28" i="19"/>
  <c r="CB81" i="6"/>
  <c r="CC78" i="6" s="1"/>
  <c r="CA95" i="5"/>
  <c r="CA100" i="5" l="1"/>
  <c r="CA123" i="5"/>
  <c r="CA124" i="5"/>
  <c r="CA31" i="19"/>
  <c r="CA25" i="19"/>
  <c r="CA30" i="19"/>
  <c r="CB94" i="6"/>
  <c r="CB90" i="6"/>
  <c r="CB91" i="6" s="1"/>
  <c r="CC88" i="6" s="1"/>
  <c r="CB99" i="6" l="1"/>
  <c r="CB95" i="6"/>
  <c r="CB96" i="6" s="1"/>
  <c r="CC93" i="6" s="1"/>
  <c r="CA113" i="5"/>
  <c r="CA125" i="5"/>
  <c r="CA126" i="5"/>
  <c r="CA110" i="5" l="1"/>
  <c r="CA39" i="19"/>
  <c r="CA286" i="11"/>
  <c r="CA287" i="11" s="1"/>
  <c r="CB100" i="6"/>
  <c r="CA54" i="19"/>
  <c r="CA56" i="19" l="1"/>
  <c r="CA57" i="19"/>
  <c r="CB101" i="6"/>
  <c r="CC98" i="6" s="1"/>
  <c r="CA41" i="19"/>
  <c r="CA36" i="19"/>
  <c r="CA42" i="19"/>
  <c r="CA49" i="19"/>
  <c r="CA48" i="19"/>
  <c r="BZ39" i="15"/>
  <c r="BZ38" i="15" s="1"/>
  <c r="BZ34" i="15" s="1"/>
  <c r="BZ40" i="15" s="1"/>
  <c r="CB284" i="11"/>
  <c r="CA130" i="5"/>
  <c r="CA132" i="5" s="1"/>
  <c r="CA133" i="5"/>
  <c r="CA129" i="5"/>
  <c r="CA131" i="5" s="1"/>
  <c r="CA67" i="5"/>
  <c r="CA120" i="5" s="1"/>
  <c r="CA122"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B28" i="19"/>
  <c r="CC81" i="6"/>
  <c r="CD78" i="6" s="1"/>
  <c r="CB100" i="5" l="1"/>
  <c r="CC89" i="6"/>
  <c r="CB30" i="19"/>
  <c r="CB31" i="19"/>
  <c r="CB25" i="19"/>
  <c r="CB124" i="5"/>
  <c r="CB123" i="5"/>
  <c r="CC94" i="6" l="1"/>
  <c r="CC90" i="6"/>
  <c r="CB126" i="5"/>
  <c r="CB125" i="5"/>
  <c r="CC91" i="6" l="1"/>
  <c r="CD88" i="6" s="1"/>
  <c r="CB113" i="5"/>
  <c r="CC99" i="6"/>
  <c r="CC95" i="6"/>
  <c r="CC96" i="6" s="1"/>
  <c r="CD93" i="6" s="1"/>
  <c r="CB110" i="5" l="1"/>
  <c r="CB39" i="19"/>
  <c r="CB286" i="11"/>
  <c r="CB287" i="11" s="1"/>
  <c r="CC100" i="6"/>
  <c r="CC101" i="6" s="1"/>
  <c r="CD98" i="6" s="1"/>
  <c r="CB54" i="19"/>
  <c r="CB57" i="19" l="1"/>
  <c r="CB56" i="19"/>
  <c r="CB42" i="19"/>
  <c r="CB41" i="19"/>
  <c r="CB36" i="19"/>
  <c r="CB49" i="19"/>
  <c r="CB48" i="19"/>
  <c r="CA39" i="15"/>
  <c r="CA38" i="15" s="1"/>
  <c r="CA34" i="15" s="1"/>
  <c r="CA40" i="15" s="1"/>
  <c r="CC284" i="11"/>
  <c r="CB133" i="5"/>
  <c r="CB130" i="5"/>
  <c r="CB132" i="5" s="1"/>
  <c r="CB129" i="5"/>
  <c r="CB131" i="5" s="1"/>
  <c r="CB67" i="5"/>
  <c r="CB120" i="5" s="1"/>
  <c r="CB122"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28" i="19" l="1"/>
  <c r="CC103" i="5"/>
  <c r="CD81" i="6"/>
  <c r="CE78" i="6" s="1"/>
  <c r="CD89" i="6"/>
  <c r="CC19" i="19"/>
  <c r="CC20" i="19"/>
  <c r="CC14" i="19"/>
  <c r="CC95" i="5"/>
  <c r="CC123" i="5" l="1"/>
  <c r="CC124" i="5"/>
  <c r="CC100" i="5"/>
  <c r="CD94" i="6"/>
  <c r="CD95" i="6" s="1"/>
  <c r="CD96" i="6" s="1"/>
  <c r="CE93" i="6" s="1"/>
  <c r="CD90" i="6"/>
  <c r="CC31" i="19"/>
  <c r="CC25" i="19"/>
  <c r="CC30" i="19"/>
  <c r="CD99" i="6" l="1"/>
  <c r="CC54" i="19" s="1"/>
  <c r="CD91" i="6"/>
  <c r="CE88" i="6" s="1"/>
  <c r="CC113" i="5"/>
  <c r="CC125" i="5"/>
  <c r="CC126" i="5"/>
  <c r="CD100" i="6" l="1"/>
  <c r="CD101" i="6" s="1"/>
  <c r="CE98" i="6" s="1"/>
  <c r="CC57" i="19"/>
  <c r="CC56" i="19"/>
  <c r="CC110" i="5"/>
  <c r="CC39" i="19"/>
  <c r="CC286" i="11"/>
  <c r="CC287" i="11" s="1"/>
  <c r="CC36" i="19" l="1"/>
  <c r="CC41" i="19"/>
  <c r="CC42" i="19"/>
  <c r="CC49" i="19"/>
  <c r="CC48" i="19"/>
  <c r="CB39" i="15"/>
  <c r="CB38" i="15" s="1"/>
  <c r="CB34" i="15" s="1"/>
  <c r="CB40" i="15" s="1"/>
  <c r="CD284" i="11"/>
  <c r="CC129" i="5"/>
  <c r="CC131" i="5" s="1"/>
  <c r="CC67" i="5"/>
  <c r="CC120" i="5" s="1"/>
  <c r="CC122" i="5" s="1"/>
  <c r="CC130" i="5"/>
  <c r="CC132" i="5" s="1"/>
  <c r="CC133"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28" i="19"/>
  <c r="CD103" i="5"/>
  <c r="CE81" i="6"/>
  <c r="CF78" i="6" s="1"/>
  <c r="CD31" i="19" l="1"/>
  <c r="CD30" i="19"/>
  <c r="CD25" i="19"/>
  <c r="CD100" i="5"/>
  <c r="CE71" i="6"/>
  <c r="CF68" i="6" s="1"/>
  <c r="CE89" i="6"/>
  <c r="CD124" i="5"/>
  <c r="CD123" i="5"/>
  <c r="CE94" i="6" l="1"/>
  <c r="CE95" i="6" s="1"/>
  <c r="CE96" i="6" s="1"/>
  <c r="CF93" i="6" s="1"/>
  <c r="CE90" i="6"/>
  <c r="CD125" i="5"/>
  <c r="CD126" i="5"/>
  <c r="CE99" i="6" l="1"/>
  <c r="CD54" i="19" s="1"/>
  <c r="CE91" i="6"/>
  <c r="CF88" i="6" s="1"/>
  <c r="CD113" i="5"/>
  <c r="CE100" i="6" l="1"/>
  <c r="CE101" i="6" s="1"/>
  <c r="CF98" i="6" s="1"/>
  <c r="CD110" i="5"/>
  <c r="CD39" i="19"/>
  <c r="CD286" i="11"/>
  <c r="CD287" i="11" s="1"/>
  <c r="CD56" i="19"/>
  <c r="CD57" i="19"/>
  <c r="CD36" i="19" l="1"/>
  <c r="CD42" i="19"/>
  <c r="CD41" i="19"/>
  <c r="CD48" i="19"/>
  <c r="CD49" i="19"/>
  <c r="CE284" i="11"/>
  <c r="CC39" i="15"/>
  <c r="CC38" i="15" s="1"/>
  <c r="CC34" i="15" s="1"/>
  <c r="CC40" i="15" s="1"/>
  <c r="CD133" i="5"/>
  <c r="CD130" i="5"/>
  <c r="CD132" i="5" s="1"/>
  <c r="CD67" i="5"/>
  <c r="CD120" i="5" s="1"/>
  <c r="CD122" i="5" s="1"/>
  <c r="CD129" i="5"/>
  <c r="CD131"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E28" i="19"/>
  <c r="CF81" i="6"/>
  <c r="CG78" i="6" s="1"/>
  <c r="CF70" i="6"/>
  <c r="CF89" i="6" s="1"/>
  <c r="CE17" i="19"/>
  <c r="CE98" i="5"/>
  <c r="CF76" i="6"/>
  <c r="CG73" i="6" s="1"/>
  <c r="CE95" i="5" l="1"/>
  <c r="CE14" i="19"/>
  <c r="CE19" i="19"/>
  <c r="CE20" i="19"/>
  <c r="CE30" i="19"/>
  <c r="CE31" i="19"/>
  <c r="CE25" i="19"/>
  <c r="CF71" i="6"/>
  <c r="CG68" i="6" s="1"/>
  <c r="CE100" i="5"/>
  <c r="CF94" i="6"/>
  <c r="CF95" i="6" s="1"/>
  <c r="CF96" i="6" s="1"/>
  <c r="CG93" i="6" s="1"/>
  <c r="CF90" i="6"/>
  <c r="CF99" i="6" l="1"/>
  <c r="CE54" i="19" s="1"/>
  <c r="CE126" i="5"/>
  <c r="CE125" i="5"/>
  <c r="CE113" i="5"/>
  <c r="CF91" i="6"/>
  <c r="CG88" i="6" s="1"/>
  <c r="CE124" i="5"/>
  <c r="CE123" i="5"/>
  <c r="CF100" i="6" l="1"/>
  <c r="CF101" i="6" s="1"/>
  <c r="CG98" i="6" s="1"/>
  <c r="CE110" i="5"/>
  <c r="CE39" i="19"/>
  <c r="CE286" i="11"/>
  <c r="CE287" i="11" s="1"/>
  <c r="CE56" i="19"/>
  <c r="CE57" i="19"/>
  <c r="CE42" i="19" l="1"/>
  <c r="CE41" i="19"/>
  <c r="CE36" i="19"/>
  <c r="CE48" i="19"/>
  <c r="CE49" i="19"/>
  <c r="CD39" i="15"/>
  <c r="CD38" i="15" s="1"/>
  <c r="CD34" i="15" s="1"/>
  <c r="CD40" i="15" s="1"/>
  <c r="CF284" i="11"/>
  <c r="CE130" i="5"/>
  <c r="CE132" i="5" s="1"/>
  <c r="CE67" i="5"/>
  <c r="CE120" i="5" s="1"/>
  <c r="CE122" i="5" s="1"/>
  <c r="CE133" i="5"/>
  <c r="CE129" i="5"/>
  <c r="CE131"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F28" i="19"/>
  <c r="CG81" i="6"/>
  <c r="CH78" i="6" s="1"/>
  <c r="CG64" i="6"/>
  <c r="CG69" i="6"/>
  <c r="CG70" i="6" s="1"/>
  <c r="CF95" i="5"/>
  <c r="CF20" i="19"/>
  <c r="CF19" i="19"/>
  <c r="CF14" i="19"/>
  <c r="CG71" i="6" l="1"/>
  <c r="CH68" i="6" s="1"/>
  <c r="CG89" i="6"/>
  <c r="Y80" i="16"/>
  <c r="Y73" i="16"/>
  <c r="Y76" i="16" s="1"/>
  <c r="Y77" i="16" s="1"/>
  <c r="CF124" i="5"/>
  <c r="CF123" i="5"/>
  <c r="CF31" i="19"/>
  <c r="CF30" i="19"/>
  <c r="CF25" i="19"/>
  <c r="CF126" i="5"/>
  <c r="CF125" i="5"/>
  <c r="CG94" i="6" l="1"/>
  <c r="CG90" i="6"/>
  <c r="CF113" i="5" s="1"/>
  <c r="CF110" i="5" l="1"/>
  <c r="CF39" i="19"/>
  <c r="CF286" i="11"/>
  <c r="CF287" i="11" s="1"/>
  <c r="CG91" i="6"/>
  <c r="CH88" i="6" s="1"/>
  <c r="CG99" i="6"/>
  <c r="CG95" i="6"/>
  <c r="CG96" i="6" s="1"/>
  <c r="CH93" i="6" s="1"/>
  <c r="CF42" i="19" l="1"/>
  <c r="CF41" i="19"/>
  <c r="CF36" i="19"/>
  <c r="CF49" i="19"/>
  <c r="S387" i="32" s="1"/>
  <c r="CF48" i="19"/>
  <c r="Q387" i="32" s="1"/>
  <c r="CE39" i="15"/>
  <c r="CG284" i="11"/>
  <c r="CG100" i="6"/>
  <c r="CG101" i="6" s="1"/>
  <c r="CH98" i="6" s="1"/>
  <c r="CF54" i="19"/>
  <c r="CF133" i="5"/>
  <c r="CF67" i="5"/>
  <c r="CF120" i="5" s="1"/>
  <c r="CF122" i="5" s="1"/>
  <c r="CF129" i="5"/>
  <c r="CF131" i="5" s="1"/>
  <c r="CF130" i="5"/>
  <c r="CF132" i="5" s="1"/>
  <c r="CF57" i="19" l="1"/>
  <c r="CF5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G28" i="19"/>
  <c r="CH81" i="6"/>
  <c r="CI78" i="6" s="1"/>
  <c r="CH70" i="6"/>
  <c r="CG95" i="5"/>
  <c r="CG14" i="19"/>
  <c r="CG19" i="19"/>
  <c r="CG20" i="19"/>
  <c r="CG123" i="5" l="1"/>
  <c r="CG124" i="5"/>
  <c r="CG30" i="19"/>
  <c r="CG31" i="19"/>
  <c r="CG25" i="19"/>
  <c r="CH71" i="6"/>
  <c r="CI68" i="6" s="1"/>
  <c r="CH89" i="6"/>
  <c r="CG100" i="5"/>
  <c r="CG125" i="5" l="1"/>
  <c r="CG126" i="5"/>
  <c r="CH94" i="6"/>
  <c r="CH95" i="6" s="1"/>
  <c r="CH96" i="6" s="1"/>
  <c r="CI93" i="6" s="1"/>
  <c r="CH90" i="6"/>
  <c r="CH99" i="6" l="1"/>
  <c r="CH100" i="6" s="1"/>
  <c r="CG113" i="5"/>
  <c r="CH91" i="6"/>
  <c r="CI88" i="6" s="1"/>
  <c r="CG54" i="19" l="1"/>
  <c r="CG57" i="19" s="1"/>
  <c r="CG110" i="5"/>
  <c r="CG39" i="19"/>
  <c r="CG286" i="11"/>
  <c r="CG287" i="11" s="1"/>
  <c r="CH101" i="6"/>
  <c r="CI98" i="6" s="1"/>
  <c r="CG56" i="19" l="1"/>
  <c r="CF39" i="15"/>
  <c r="CF38" i="15" s="1"/>
  <c r="CF34" i="15" s="1"/>
  <c r="CF40" i="15" s="1"/>
  <c r="CH284" i="11"/>
  <c r="CG42" i="19"/>
  <c r="CG41" i="19"/>
  <c r="CG36" i="19"/>
  <c r="CG49" i="19"/>
  <c r="CG48" i="19"/>
  <c r="CG133" i="5"/>
  <c r="CG129" i="5"/>
  <c r="CG131" i="5" s="1"/>
  <c r="CG67" i="5"/>
  <c r="CG120" i="5" s="1"/>
  <c r="CG122" i="5" s="1"/>
  <c r="CG130" i="5"/>
  <c r="CG132"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H28" i="19"/>
  <c r="CI81" i="6"/>
  <c r="CJ78" i="6" s="1"/>
  <c r="CI89" i="6" l="1"/>
  <c r="CH25" i="19"/>
  <c r="CH30" i="19"/>
  <c r="CH31" i="19"/>
  <c r="CH100" i="5"/>
  <c r="CH124" i="5"/>
  <c r="CH123" i="5"/>
  <c r="CI71" i="6"/>
  <c r="CJ68" i="6" s="1"/>
  <c r="CI94" i="6" l="1"/>
  <c r="CI90" i="6"/>
  <c r="CH126" i="5"/>
  <c r="CH125" i="5"/>
  <c r="CH113" i="5" l="1"/>
  <c r="CI99" i="6"/>
  <c r="CI95" i="6"/>
  <c r="CI96" i="6" s="1"/>
  <c r="CJ93" i="6" s="1"/>
  <c r="CI91" i="6"/>
  <c r="CJ88" i="6" s="1"/>
  <c r="CI100" i="6" l="1"/>
  <c r="CI101" i="6" s="1"/>
  <c r="CJ98" i="6" s="1"/>
  <c r="CH54" i="19"/>
  <c r="CH39" i="19"/>
  <c r="CH110" i="5"/>
  <c r="CH286" i="11"/>
  <c r="CH287" i="11" s="1"/>
  <c r="CG39" i="15" l="1"/>
  <c r="CG38" i="15" s="1"/>
  <c r="CG34" i="15" s="1"/>
  <c r="CG40" i="15" s="1"/>
  <c r="CI284" i="11"/>
  <c r="CH67" i="5"/>
  <c r="CH120" i="5" s="1"/>
  <c r="CH122" i="5" s="1"/>
  <c r="CH133" i="5"/>
  <c r="CH129" i="5"/>
  <c r="CH131" i="5" s="1"/>
  <c r="CH130" i="5"/>
  <c r="CH132" i="5" s="1"/>
  <c r="CH56" i="19"/>
  <c r="CH57" i="19"/>
  <c r="CH41" i="19"/>
  <c r="CH42" i="19"/>
  <c r="CH36" i="19"/>
  <c r="CH49" i="19"/>
  <c r="CH48"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I28" i="19"/>
  <c r="CJ81" i="6"/>
  <c r="CK78" i="6" s="1"/>
  <c r="CI100" i="5" l="1"/>
  <c r="CI25" i="19"/>
  <c r="CI30" i="19"/>
  <c r="CI31" i="19"/>
  <c r="CJ71" i="6"/>
  <c r="CK68" i="6" s="1"/>
  <c r="CJ89" i="6"/>
  <c r="CI123" i="5"/>
  <c r="CI124" i="5"/>
  <c r="CJ94" i="6" l="1"/>
  <c r="CJ90" i="6"/>
  <c r="CI125" i="5"/>
  <c r="CI126" i="5"/>
  <c r="CJ99" i="6" l="1"/>
  <c r="CJ95" i="6"/>
  <c r="CJ96" i="6" s="1"/>
  <c r="CK93" i="6" s="1"/>
  <c r="CJ91" i="6"/>
  <c r="CK88" i="6" s="1"/>
  <c r="CI113" i="5"/>
  <c r="CI110" i="5" l="1"/>
  <c r="CI39" i="19"/>
  <c r="CI286" i="11"/>
  <c r="CI287" i="11" s="1"/>
  <c r="CJ100" i="6"/>
  <c r="CI54" i="19"/>
  <c r="CI57" i="19" l="1"/>
  <c r="CI56" i="19"/>
  <c r="CH39" i="15"/>
  <c r="CH38" i="15" s="1"/>
  <c r="CH34" i="15" s="1"/>
  <c r="CH40" i="15" s="1"/>
  <c r="CJ284" i="11"/>
  <c r="CI41" i="19"/>
  <c r="CI36" i="19"/>
  <c r="CI42" i="19"/>
  <c r="CI49" i="19"/>
  <c r="CI48" i="19"/>
  <c r="CJ101" i="6"/>
  <c r="CK98" i="6" s="1"/>
  <c r="CI67" i="5"/>
  <c r="CI120" i="5" s="1"/>
  <c r="CI122" i="5" s="1"/>
  <c r="CI129" i="5"/>
  <c r="CI131" i="5" s="1"/>
  <c r="CI130" i="5"/>
  <c r="CI132" i="5" s="1"/>
  <c r="CI133"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J28" i="19"/>
  <c r="CK81" i="6"/>
  <c r="CL78" i="6" s="1"/>
  <c r="CK89" i="6" l="1"/>
  <c r="CJ31" i="19"/>
  <c r="CJ25" i="19"/>
  <c r="CJ30" i="19"/>
  <c r="CJ100" i="5"/>
  <c r="CK71" i="6"/>
  <c r="CL68" i="6" s="1"/>
  <c r="CJ123" i="5"/>
  <c r="CJ124" i="5"/>
  <c r="CJ125" i="5" l="1"/>
  <c r="CJ126" i="5"/>
  <c r="CK94" i="6"/>
  <c r="CK95" i="6" s="1"/>
  <c r="CK96" i="6" s="1"/>
  <c r="CL93" i="6" s="1"/>
  <c r="CK90" i="6"/>
  <c r="CK99" i="6" l="1"/>
  <c r="CJ54" i="19" s="1"/>
  <c r="CK91" i="6"/>
  <c r="CL88" i="6" s="1"/>
  <c r="CJ113" i="5"/>
  <c r="CK100" i="6" l="1"/>
  <c r="CK101" i="6" s="1"/>
  <c r="CL98" i="6" s="1"/>
  <c r="CJ56" i="19"/>
  <c r="CJ57" i="19"/>
  <c r="CJ110" i="5"/>
  <c r="CJ39" i="19"/>
  <c r="CJ286" i="11"/>
  <c r="CJ287" i="11" s="1"/>
  <c r="CI39" i="15" l="1"/>
  <c r="CI38" i="15" s="1"/>
  <c r="CI34" i="15" s="1"/>
  <c r="CI40" i="15" s="1"/>
  <c r="CK284" i="11"/>
  <c r="CJ36" i="19"/>
  <c r="CJ42" i="19"/>
  <c r="CJ41" i="19"/>
  <c r="CJ48" i="19"/>
  <c r="CJ49" i="19"/>
  <c r="CJ133" i="5"/>
  <c r="CJ67" i="5"/>
  <c r="CJ120" i="5" s="1"/>
  <c r="CJ122" i="5" s="1"/>
  <c r="CJ129" i="5"/>
  <c r="CJ131" i="5" s="1"/>
  <c r="CJ130" i="5"/>
  <c r="CJ132"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K28" i="19"/>
  <c r="CL81" i="6"/>
  <c r="CM78" i="6" s="1"/>
  <c r="CK124" i="5" l="1"/>
  <c r="CK123" i="5"/>
  <c r="CK31" i="19"/>
  <c r="CK25" i="19"/>
  <c r="CK30" i="19"/>
  <c r="CL89" i="6"/>
  <c r="CK100" i="5"/>
  <c r="CL94" i="6" l="1"/>
  <c r="CL90" i="6"/>
  <c r="CK125" i="5"/>
  <c r="CK126" i="5"/>
  <c r="CL91" i="6" l="1"/>
  <c r="CM88" i="6" s="1"/>
  <c r="CK113" i="5"/>
  <c r="CL99" i="6"/>
  <c r="CL95" i="6"/>
  <c r="CL96" i="6" s="1"/>
  <c r="CM93" i="6" s="1"/>
  <c r="CL100" i="6" l="1"/>
  <c r="CL101" i="6" s="1"/>
  <c r="CM98" i="6" s="1"/>
  <c r="CK54" i="19"/>
  <c r="CK110" i="5"/>
  <c r="CK39" i="19"/>
  <c r="CK286" i="11"/>
  <c r="CK287" i="11" s="1"/>
  <c r="CJ39" i="15" l="1"/>
  <c r="CJ38" i="15" s="1"/>
  <c r="CJ34" i="15" s="1"/>
  <c r="CJ40" i="15" s="1"/>
  <c r="CL284" i="11"/>
  <c r="CK36" i="19"/>
  <c r="CK42" i="19"/>
  <c r="CK41" i="19"/>
  <c r="CK48" i="19"/>
  <c r="CK49" i="19"/>
  <c r="CK67" i="5"/>
  <c r="CK120" i="5" s="1"/>
  <c r="CK122" i="5" s="1"/>
  <c r="CK129" i="5"/>
  <c r="CK131" i="5" s="1"/>
  <c r="CK130" i="5"/>
  <c r="CK132" i="5" s="1"/>
  <c r="CK133" i="5"/>
  <c r="CK56" i="19"/>
  <c r="CK5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L28" i="19"/>
  <c r="CM81" i="6"/>
  <c r="CN78" i="6" s="1"/>
  <c r="CL98" i="5"/>
  <c r="CL95" i="5" s="1"/>
  <c r="CL17" i="19"/>
  <c r="CM76" i="6"/>
  <c r="CN73" i="6" s="1"/>
  <c r="CM69" i="6"/>
  <c r="CM64" i="6"/>
  <c r="CL123" i="5" l="1"/>
  <c r="CL124" i="5"/>
  <c r="CM70" i="6"/>
  <c r="CM71" i="6" s="1"/>
  <c r="CN68" i="6" s="1"/>
  <c r="CL30" i="19"/>
  <c r="CL25" i="19"/>
  <c r="CL31" i="19"/>
  <c r="CL14" i="19"/>
  <c r="CL19" i="19"/>
  <c r="CL20" i="19"/>
  <c r="CL126" i="5"/>
  <c r="CL125" i="5"/>
  <c r="Z80" i="16" l="1"/>
  <c r="Z73" i="16"/>
  <c r="Z76" i="16" s="1"/>
  <c r="Z77" i="16" s="1"/>
  <c r="CM89" i="6"/>
  <c r="CM94" i="6" l="1"/>
  <c r="CM90" i="6"/>
  <c r="CL113" i="5" s="1"/>
  <c r="CM91" i="6" l="1"/>
  <c r="CN88" i="6" s="1"/>
  <c r="CL286" i="11"/>
  <c r="CL287" i="11" s="1"/>
  <c r="CL110" i="5"/>
  <c r="CL39" i="19"/>
  <c r="CM99" i="6"/>
  <c r="CM95" i="6"/>
  <c r="CM96" i="6" s="1"/>
  <c r="CN93" i="6" s="1"/>
  <c r="CL41" i="19" l="1"/>
  <c r="CL36" i="19"/>
  <c r="CL42" i="19"/>
  <c r="CL49" i="19"/>
  <c r="S388" i="32" s="1"/>
  <c r="CL48" i="19"/>
  <c r="Q388" i="32" s="1"/>
  <c r="CL67" i="5"/>
  <c r="CL120" i="5" s="1"/>
  <c r="CL122" i="5" s="1"/>
  <c r="CL129" i="5"/>
  <c r="CL131" i="5" s="1"/>
  <c r="CL133" i="5"/>
  <c r="CL130" i="5"/>
  <c r="CL132" i="5" s="1"/>
  <c r="CK39" i="15"/>
  <c r="CM284" i="11"/>
  <c r="CM100" i="6"/>
  <c r="CM101" i="6" s="1"/>
  <c r="CN98" i="6" s="1"/>
  <c r="CL54" i="19"/>
  <c r="CL57" i="19" l="1"/>
  <c r="CL5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M28" i="19"/>
  <c r="CN81" i="6"/>
  <c r="CO78" i="6" s="1"/>
  <c r="CM95" i="5"/>
  <c r="CM20" i="19"/>
  <c r="CM19" i="19"/>
  <c r="CM14" i="19"/>
  <c r="CN70" i="6"/>
  <c r="CN71" i="6" l="1"/>
  <c r="CO68" i="6" s="1"/>
  <c r="CN89" i="6"/>
  <c r="CM123" i="5"/>
  <c r="CM124" i="5"/>
  <c r="CM31" i="19"/>
  <c r="CM25" i="19"/>
  <c r="CM30" i="19"/>
  <c r="CM100" i="5"/>
  <c r="CM125" i="5" l="1"/>
  <c r="CM126" i="5"/>
  <c r="CN94" i="6"/>
  <c r="CN90" i="6"/>
  <c r="CN99" i="6" l="1"/>
  <c r="CN95" i="6"/>
  <c r="CN96" i="6" s="1"/>
  <c r="CO93" i="6" s="1"/>
  <c r="CN91" i="6"/>
  <c r="CO88" i="6" s="1"/>
  <c r="CM113" i="5"/>
  <c r="CM110" i="5" l="1"/>
  <c r="CM39" i="19"/>
  <c r="CM286" i="11"/>
  <c r="CM287" i="11" s="1"/>
  <c r="CN100" i="6"/>
  <c r="CM54" i="19"/>
  <c r="CM57" i="19" l="1"/>
  <c r="CM56" i="19"/>
  <c r="CM41" i="19"/>
  <c r="CM36" i="19"/>
  <c r="CM42" i="19"/>
  <c r="CM48" i="19"/>
  <c r="CM49" i="19"/>
  <c r="CN101" i="6"/>
  <c r="CO98" i="6" s="1"/>
  <c r="CL39" i="15"/>
  <c r="CL38" i="15" s="1"/>
  <c r="CL34" i="15" s="1"/>
  <c r="CL40" i="15" s="1"/>
  <c r="CN284" i="11"/>
  <c r="CM130" i="5"/>
  <c r="CM132" i="5" s="1"/>
  <c r="CM133" i="5"/>
  <c r="CM129" i="5"/>
  <c r="CM131" i="5" s="1"/>
  <c r="CM67" i="5"/>
  <c r="CM120" i="5" s="1"/>
  <c r="CM122"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N28" i="19"/>
  <c r="CO81" i="6"/>
  <c r="CP78" i="6" s="1"/>
  <c r="CO89" i="6" l="1"/>
  <c r="CN124" i="5"/>
  <c r="CN123" i="5"/>
  <c r="CN100" i="5"/>
  <c r="CN30" i="19"/>
  <c r="CN31" i="19"/>
  <c r="CN25" i="19"/>
  <c r="CO71" i="6"/>
  <c r="CP68" i="6" s="1"/>
  <c r="CN126" i="5" l="1"/>
  <c r="CN125" i="5"/>
  <c r="CO94" i="6"/>
  <c r="CO95" i="6" s="1"/>
  <c r="CO96" i="6" s="1"/>
  <c r="CP93" i="6" s="1"/>
  <c r="CO90" i="6"/>
  <c r="CO99" i="6" l="1"/>
  <c r="CO100" i="6" s="1"/>
  <c r="CN113" i="5"/>
  <c r="CO91" i="6"/>
  <c r="CP88" i="6" s="1"/>
  <c r="CN54" i="19" l="1"/>
  <c r="CN57" i="19" s="1"/>
  <c r="CO101" i="6"/>
  <c r="CP98" i="6" s="1"/>
  <c r="CN110" i="5"/>
  <c r="CN39" i="19"/>
  <c r="CN286" i="11"/>
  <c r="CN287" i="11" s="1"/>
  <c r="CN56" i="19" l="1"/>
  <c r="CN42" i="19"/>
  <c r="CN41" i="19"/>
  <c r="CN36" i="19"/>
  <c r="CN49" i="19"/>
  <c r="CN48" i="19"/>
  <c r="CO284" i="11"/>
  <c r="CM39" i="15"/>
  <c r="CM38" i="15" s="1"/>
  <c r="CM34" i="15" s="1"/>
  <c r="CM40" i="15" s="1"/>
  <c r="CN133" i="5"/>
  <c r="CN129" i="5"/>
  <c r="CN131" i="5" s="1"/>
  <c r="CN130" i="5"/>
  <c r="CN132" i="5" s="1"/>
  <c r="CN67" i="5"/>
  <c r="CN120" i="5" s="1"/>
  <c r="CN122"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O28" i="19"/>
  <c r="CP81" i="6"/>
  <c r="CQ78" i="6" s="1"/>
  <c r="CO95" i="5"/>
  <c r="CO20" i="19"/>
  <c r="CO14" i="19"/>
  <c r="CO19" i="19"/>
  <c r="CP70" i="6"/>
  <c r="CO30" i="19" l="1"/>
  <c r="CO31" i="19"/>
  <c r="CO25" i="19"/>
  <c r="CO100" i="5"/>
  <c r="CP89" i="6"/>
  <c r="CP71" i="6"/>
  <c r="CQ68" i="6" s="1"/>
  <c r="CO124" i="5"/>
  <c r="CO123" i="5"/>
  <c r="CO125" i="5" l="1"/>
  <c r="CO126" i="5"/>
  <c r="CP94" i="6"/>
  <c r="CP90" i="6"/>
  <c r="CP99" i="6" l="1"/>
  <c r="CP95" i="6"/>
  <c r="CP96" i="6" s="1"/>
  <c r="CQ93" i="6" s="1"/>
  <c r="CP91" i="6"/>
  <c r="CQ88" i="6" s="1"/>
  <c r="CO113" i="5"/>
  <c r="CO110" i="5" l="1"/>
  <c r="CO39" i="19"/>
  <c r="CO286" i="11"/>
  <c r="CO287" i="11" s="1"/>
  <c r="CP100" i="6"/>
  <c r="CO54" i="19"/>
  <c r="CP101" i="6" l="1"/>
  <c r="CQ98" i="6" s="1"/>
  <c r="CO42" i="19"/>
  <c r="CO41" i="19"/>
  <c r="CO36" i="19"/>
  <c r="CO49" i="19"/>
  <c r="CO48" i="19"/>
  <c r="CO56" i="19"/>
  <c r="CO57" i="19"/>
  <c r="CN39" i="15"/>
  <c r="CN38" i="15" s="1"/>
  <c r="CN34" i="15" s="1"/>
  <c r="CN40" i="15" s="1"/>
  <c r="CP284" i="11"/>
  <c r="CO129" i="5"/>
  <c r="CO131" i="5" s="1"/>
  <c r="CO130" i="5"/>
  <c r="CO132" i="5" s="1"/>
  <c r="CO67" i="5"/>
  <c r="CO120" i="5" s="1"/>
  <c r="CO122" i="5" s="1"/>
  <c r="CO133"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P28" i="19"/>
  <c r="CQ81" i="6"/>
  <c r="CR78" i="6" s="1"/>
  <c r="CP17" i="19"/>
  <c r="CP98" i="5"/>
  <c r="CQ76" i="6"/>
  <c r="CR73" i="6" s="1"/>
  <c r="CQ94" i="6" l="1"/>
  <c r="CQ95" i="6" s="1"/>
  <c r="CQ96" i="6" s="1"/>
  <c r="CR93" i="6" s="1"/>
  <c r="CQ90" i="6"/>
  <c r="CP95" i="5"/>
  <c r="CP100" i="5"/>
  <c r="CP20" i="19"/>
  <c r="CP14" i="19"/>
  <c r="CP19" i="19"/>
  <c r="CQ71" i="6"/>
  <c r="CR68" i="6" s="1"/>
  <c r="CP30" i="19"/>
  <c r="CP25" i="19"/>
  <c r="CP31" i="19"/>
  <c r="CQ99" i="6" l="1"/>
  <c r="CQ100" i="6" s="1"/>
  <c r="CQ91" i="6"/>
  <c r="CR88" i="6" s="1"/>
  <c r="CP113" i="5"/>
  <c r="CP126" i="5"/>
  <c r="CP125" i="5"/>
  <c r="CP123" i="5"/>
  <c r="CP124" i="5"/>
  <c r="CP54" i="19" l="1"/>
  <c r="CP57" i="19" s="1"/>
  <c r="CQ101" i="6"/>
  <c r="CR98" i="6" s="1"/>
  <c r="CP110" i="5"/>
  <c r="CP39" i="19"/>
  <c r="CP286" i="11"/>
  <c r="CP287" i="11" s="1"/>
  <c r="CP56" i="19" l="1"/>
  <c r="CP41" i="19"/>
  <c r="CP36" i="19"/>
  <c r="CP42" i="19"/>
  <c r="CP49" i="19"/>
  <c r="CP48" i="19"/>
  <c r="CO39" i="15"/>
  <c r="CO38" i="15" s="1"/>
  <c r="CO34" i="15" s="1"/>
  <c r="CO40" i="15" s="1"/>
  <c r="CQ284" i="11"/>
  <c r="CP129" i="5"/>
  <c r="CP131" i="5" s="1"/>
  <c r="CP67" i="5"/>
  <c r="CP120" i="5" s="1"/>
  <c r="CP122" i="5" s="1"/>
  <c r="CP130" i="5"/>
  <c r="CP132" i="5" s="1"/>
  <c r="CP133"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Q28" i="19"/>
  <c r="CR81" i="6"/>
  <c r="CS78" i="6" s="1"/>
  <c r="CQ95" i="5"/>
  <c r="CR70" i="6"/>
  <c r="CQ19" i="19"/>
  <c r="CQ20" i="19"/>
  <c r="CQ14" i="19"/>
  <c r="CR71" i="6" l="1"/>
  <c r="CS68" i="6" s="1"/>
  <c r="CR89" i="6"/>
  <c r="CQ25" i="19"/>
  <c r="CQ30" i="19"/>
  <c r="CQ31" i="19"/>
  <c r="CQ124" i="5"/>
  <c r="CQ123" i="5"/>
  <c r="CQ100" i="5"/>
  <c r="CQ125" i="5" l="1"/>
  <c r="CQ126" i="5"/>
  <c r="CR94" i="6"/>
  <c r="CR95" i="6" s="1"/>
  <c r="CR96" i="6" s="1"/>
  <c r="CS93" i="6" s="1"/>
  <c r="CR90" i="6"/>
  <c r="CR99" i="6" l="1"/>
  <c r="CR100" i="6" s="1"/>
  <c r="CQ113" i="5"/>
  <c r="CR91" i="6"/>
  <c r="CS88" i="6" s="1"/>
  <c r="CQ54" i="19" l="1"/>
  <c r="CQ56" i="19" s="1"/>
  <c r="CQ39" i="19"/>
  <c r="CQ110" i="5"/>
  <c r="CQ286" i="11"/>
  <c r="CQ287" i="11" s="1"/>
  <c r="CR101" i="6"/>
  <c r="CS98" i="6" s="1"/>
  <c r="CQ57" i="19" l="1"/>
  <c r="CQ67" i="5"/>
  <c r="CQ120" i="5" s="1"/>
  <c r="CQ122" i="5" s="1"/>
  <c r="CQ133" i="5"/>
  <c r="CQ130" i="5"/>
  <c r="CQ132" i="5" s="1"/>
  <c r="CQ129" i="5"/>
  <c r="CQ131" i="5" s="1"/>
  <c r="CR284" i="11"/>
  <c r="CP39" i="15"/>
  <c r="CP38" i="15" s="1"/>
  <c r="CP34" i="15" s="1"/>
  <c r="CP40" i="15" s="1"/>
  <c r="CQ41" i="19"/>
  <c r="CQ36" i="19"/>
  <c r="CQ42" i="19"/>
  <c r="CQ48" i="19"/>
  <c r="CQ49"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R28" i="19"/>
  <c r="CS81" i="6"/>
  <c r="CT78" i="6" s="1"/>
  <c r="CR98" i="5"/>
  <c r="CR17" i="19"/>
  <c r="CS76" i="6"/>
  <c r="CT73" i="6" s="1"/>
  <c r="CR31" i="19" l="1"/>
  <c r="CR30" i="19"/>
  <c r="CR25" i="19"/>
  <c r="CR14" i="19"/>
  <c r="CR19" i="19"/>
  <c r="CR20" i="19"/>
  <c r="CR126" i="5"/>
  <c r="CR125" i="5"/>
  <c r="CR95" i="5"/>
  <c r="CS70" i="6"/>
  <c r="AA80" i="16" l="1"/>
  <c r="CS89" i="6"/>
  <c r="AA73" i="16"/>
  <c r="AA76" i="16" s="1"/>
  <c r="AA77" i="16" s="1"/>
  <c r="CS71" i="6"/>
  <c r="CT68" i="6" s="1"/>
  <c r="CR124" i="5"/>
  <c r="CR123" i="5"/>
  <c r="CS94" i="6" l="1"/>
  <c r="CS90" i="6"/>
  <c r="CR113" i="5" s="1"/>
  <c r="CR110" i="5" l="1"/>
  <c r="CR39" i="19"/>
  <c r="CR286" i="11"/>
  <c r="CR287" i="11" s="1"/>
  <c r="CS99" i="6"/>
  <c r="CS95" i="6"/>
  <c r="CS96" i="6" s="1"/>
  <c r="CT93" i="6" s="1"/>
  <c r="CS91" i="6"/>
  <c r="CT88" i="6" s="1"/>
  <c r="CS100" i="6" l="1"/>
  <c r="CS101" i="6" s="1"/>
  <c r="CT98" i="6" s="1"/>
  <c r="CR54" i="19"/>
  <c r="CQ39" i="15"/>
  <c r="CS284" i="11"/>
  <c r="CR42" i="19"/>
  <c r="CR41" i="19"/>
  <c r="CR36" i="19"/>
  <c r="CR49" i="19"/>
  <c r="S389" i="32" s="1"/>
  <c r="CR48" i="19"/>
  <c r="Q389" i="32" s="1"/>
  <c r="CR130" i="5"/>
  <c r="CR132" i="5" s="1"/>
  <c r="CR67" i="5"/>
  <c r="CR120" i="5" s="1"/>
  <c r="CR122" i="5" s="1"/>
  <c r="CR129" i="5"/>
  <c r="CR131" i="5" s="1"/>
  <c r="CR133" i="5"/>
  <c r="CQ38" i="15" l="1"/>
  <c r="CQ34" i="15" s="1"/>
  <c r="CQ40" i="15" s="1"/>
  <c r="Y34" i="18"/>
  <c r="CQ16" i="15"/>
  <c r="CS121" i="5"/>
  <c r="CT44" i="6"/>
  <c r="CR56" i="19"/>
  <c r="CR5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S28" i="19"/>
  <c r="CT81" i="6"/>
  <c r="CU78" i="6" s="1"/>
  <c r="CS20" i="19"/>
  <c r="CS14" i="19"/>
  <c r="CS19" i="19"/>
  <c r="CT70" i="6"/>
  <c r="CT71" i="6" s="1"/>
  <c r="CU68" i="6" s="1"/>
  <c r="CS95" i="5"/>
  <c r="CS124" i="5" l="1"/>
  <c r="CS123" i="5"/>
  <c r="CS25" i="19"/>
  <c r="CS30" i="19"/>
  <c r="CS31" i="19"/>
  <c r="CT89" i="6"/>
  <c r="CS100" i="5"/>
  <c r="CS126" i="5" l="1"/>
  <c r="CS125" i="5"/>
  <c r="CT94" i="6"/>
  <c r="CT95" i="6" s="1"/>
  <c r="CT96" i="6" s="1"/>
  <c r="CU93" i="6" s="1"/>
  <c r="CT90" i="6"/>
  <c r="CT91" i="6" s="1"/>
  <c r="CU88" i="6" s="1"/>
  <c r="CT99" i="6" l="1"/>
  <c r="CT100" i="6" s="1"/>
  <c r="CS113" i="5"/>
  <c r="CS54" i="19" l="1"/>
  <c r="CS56" i="19" s="1"/>
  <c r="CS110" i="5"/>
  <c r="CS39" i="19"/>
  <c r="CS286" i="11"/>
  <c r="CS287" i="11" s="1"/>
  <c r="CT101" i="6"/>
  <c r="CU98" i="6" s="1"/>
  <c r="CS57" i="19" l="1"/>
  <c r="CS42" i="19"/>
  <c r="CS41" i="19"/>
  <c r="CS36" i="19"/>
  <c r="CS49" i="19"/>
  <c r="CS48" i="19"/>
  <c r="CT284" i="11"/>
  <c r="CR39" i="15"/>
  <c r="CR38" i="15" s="1"/>
  <c r="CR34" i="15" s="1"/>
  <c r="CR40" i="15" s="1"/>
  <c r="CS129" i="5"/>
  <c r="CS131" i="5" s="1"/>
  <c r="CS133" i="5"/>
  <c r="CS130" i="5"/>
  <c r="CS132" i="5" s="1"/>
  <c r="CS67" i="5"/>
  <c r="CS120" i="5" s="1"/>
  <c r="CS122"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T28" i="19"/>
  <c r="CU81" i="6"/>
  <c r="CV78" i="6" s="1"/>
  <c r="CT14" i="19"/>
  <c r="CT20" i="19"/>
  <c r="CT19" i="19"/>
  <c r="CT95" i="5"/>
  <c r="CU70" i="6"/>
  <c r="CT124" i="5" l="1"/>
  <c r="CT123" i="5"/>
  <c r="CT31" i="19"/>
  <c r="CT25" i="19"/>
  <c r="CT30" i="19"/>
  <c r="CU71" i="6"/>
  <c r="CV68" i="6" s="1"/>
  <c r="CU89" i="6"/>
  <c r="CT100" i="5"/>
  <c r="CU94" i="6" l="1"/>
  <c r="CU90" i="6"/>
  <c r="CT126" i="5"/>
  <c r="CT125" i="5"/>
  <c r="CU91" i="6" l="1"/>
  <c r="CV88" i="6" s="1"/>
  <c r="CT113" i="5"/>
  <c r="CU99" i="6"/>
  <c r="CU95" i="6"/>
  <c r="CU96" i="6" s="1"/>
  <c r="CV93" i="6" s="1"/>
  <c r="CU100" i="6" l="1"/>
  <c r="CT54" i="19"/>
  <c r="CT110" i="5"/>
  <c r="CT39" i="19"/>
  <c r="CT286" i="11"/>
  <c r="CT287" i="11" s="1"/>
  <c r="CS39" i="15" l="1"/>
  <c r="CS38" i="15" s="1"/>
  <c r="CS34" i="15" s="1"/>
  <c r="CS40" i="15" s="1"/>
  <c r="CU284" i="11"/>
  <c r="CT42" i="19"/>
  <c r="CT41" i="19"/>
  <c r="CT36" i="19"/>
  <c r="CT49" i="19"/>
  <c r="CT48" i="19"/>
  <c r="CT129" i="5"/>
  <c r="CT131" i="5" s="1"/>
  <c r="CT67" i="5"/>
  <c r="CT120" i="5" s="1"/>
  <c r="CT122" i="5" s="1"/>
  <c r="CT133" i="5"/>
  <c r="CT130" i="5"/>
  <c r="CT132" i="5" s="1"/>
  <c r="CT56" i="19"/>
  <c r="CT5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U28" i="19"/>
  <c r="CV81" i="6"/>
  <c r="CW78" i="6" s="1"/>
  <c r="CV71" i="6" l="1"/>
  <c r="CW68" i="6" s="1"/>
  <c r="CV89" i="6"/>
  <c r="CU30" i="19"/>
  <c r="CU31" i="19"/>
  <c r="CU25" i="19"/>
  <c r="CU100" i="5"/>
  <c r="CU123" i="5"/>
  <c r="CU124" i="5"/>
  <c r="CU126" i="5" l="1"/>
  <c r="CU125" i="5"/>
  <c r="CV94" i="6"/>
  <c r="CV90" i="6"/>
  <c r="CV99" i="6" l="1"/>
  <c r="CV95" i="6"/>
  <c r="CV96" i="6" s="1"/>
  <c r="CW93" i="6" s="1"/>
  <c r="CV91" i="6"/>
  <c r="CW88" i="6" s="1"/>
  <c r="CU113" i="5"/>
  <c r="CU110" i="5" l="1"/>
  <c r="CU39" i="19"/>
  <c r="CU286" i="11"/>
  <c r="CU287" i="11" s="1"/>
  <c r="CV100" i="6"/>
  <c r="CU54" i="19"/>
  <c r="CU57" i="19" l="1"/>
  <c r="CU56" i="19"/>
  <c r="CV101" i="6"/>
  <c r="CW98" i="6" s="1"/>
  <c r="CT39" i="15"/>
  <c r="CT38" i="15" s="1"/>
  <c r="CT34" i="15" s="1"/>
  <c r="CT40" i="15" s="1"/>
  <c r="CV284" i="11"/>
  <c r="CU36" i="19"/>
  <c r="CU41" i="19"/>
  <c r="CU42" i="19"/>
  <c r="CU48" i="19"/>
  <c r="CU49" i="19"/>
  <c r="CU129" i="5"/>
  <c r="CU131" i="5" s="1"/>
  <c r="CU133" i="5"/>
  <c r="CU130" i="5"/>
  <c r="CU132" i="5" s="1"/>
  <c r="CU67" i="5"/>
  <c r="CU120" i="5" s="1"/>
  <c r="CU122"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V28" i="19"/>
  <c r="CW81" i="6"/>
  <c r="CX78" i="6" s="1"/>
  <c r="CV98" i="5"/>
  <c r="CV17" i="19"/>
  <c r="CW76" i="6"/>
  <c r="CX73" i="6" s="1"/>
  <c r="CV19" i="19" l="1"/>
  <c r="CV14" i="19"/>
  <c r="CV20" i="19"/>
  <c r="CV100" i="5"/>
  <c r="CV95" i="5"/>
  <c r="CW89" i="6"/>
  <c r="CV30" i="19"/>
  <c r="CV31" i="19"/>
  <c r="CV25" i="19"/>
  <c r="CW94" i="6" l="1"/>
  <c r="CW90" i="6"/>
  <c r="CW91" i="6" s="1"/>
  <c r="CX88" i="6" s="1"/>
  <c r="CV123" i="5"/>
  <c r="CV124" i="5"/>
  <c r="CV126" i="5"/>
  <c r="CV125" i="5"/>
  <c r="CV113" i="5" l="1"/>
  <c r="CW99" i="6"/>
  <c r="CW95" i="6"/>
  <c r="CW96" i="6" s="1"/>
  <c r="CX93" i="6" s="1"/>
  <c r="CV110" i="5" l="1"/>
  <c r="CV39" i="19"/>
  <c r="CV286" i="11"/>
  <c r="CV287" i="11" s="1"/>
  <c r="CW100" i="6"/>
  <c r="CV54" i="19"/>
  <c r="CW101" i="6" l="1"/>
  <c r="CX98" i="6" s="1"/>
  <c r="CU39" i="15"/>
  <c r="CU38" i="15" s="1"/>
  <c r="CU34" i="15" s="1"/>
  <c r="CU40" i="15" s="1"/>
  <c r="CW284" i="11"/>
  <c r="CV36" i="19"/>
  <c r="CV42" i="19"/>
  <c r="CV41" i="19"/>
  <c r="CV48" i="19"/>
  <c r="CV49" i="19"/>
  <c r="CV56" i="19"/>
  <c r="CV57" i="19"/>
  <c r="CV133" i="5"/>
  <c r="CV67" i="5"/>
  <c r="CV120" i="5" s="1"/>
  <c r="CV122" i="5" s="1"/>
  <c r="CV130" i="5"/>
  <c r="CV132" i="5" s="1"/>
  <c r="CV129" i="5"/>
  <c r="CV131"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W28" i="19"/>
  <c r="CX81" i="6"/>
  <c r="CY78" i="6" s="1"/>
  <c r="CW100" i="5" l="1"/>
  <c r="CX71" i="6"/>
  <c r="CY68" i="6" s="1"/>
  <c r="CX89" i="6"/>
  <c r="CW25" i="19"/>
  <c r="CW31" i="19"/>
  <c r="CW30" i="19"/>
  <c r="CW123" i="5"/>
  <c r="CW124" i="5"/>
  <c r="CX94" i="6" l="1"/>
  <c r="CX90" i="6"/>
  <c r="CX91" i="6" s="1"/>
  <c r="CY88" i="6" s="1"/>
  <c r="CW125" i="5"/>
  <c r="CW126" i="5"/>
  <c r="CW113" i="5" l="1"/>
  <c r="CX99" i="6"/>
  <c r="CX95" i="6"/>
  <c r="CX96" i="6" s="1"/>
  <c r="CY93" i="6" s="1"/>
  <c r="CW110" i="5" l="1"/>
  <c r="CW39" i="19"/>
  <c r="CW286" i="11"/>
  <c r="CW287" i="11" s="1"/>
  <c r="CX100" i="6"/>
  <c r="CW54" i="19"/>
  <c r="CX101" i="6" l="1"/>
  <c r="CY98" i="6" s="1"/>
  <c r="CV39" i="15"/>
  <c r="CV38" i="15" s="1"/>
  <c r="CV34" i="15" s="1"/>
  <c r="CV40" i="15" s="1"/>
  <c r="CX284" i="11"/>
  <c r="CW36" i="19"/>
  <c r="CW42" i="19"/>
  <c r="CW41" i="19"/>
  <c r="CW48" i="19"/>
  <c r="CW49" i="19"/>
  <c r="CW56" i="19"/>
  <c r="CW57" i="19"/>
  <c r="CW133" i="5"/>
  <c r="CW67" i="5"/>
  <c r="CW120" i="5" s="1"/>
  <c r="CW122" i="5" s="1"/>
  <c r="CW129" i="5"/>
  <c r="CW131" i="5" s="1"/>
  <c r="CW130" i="5"/>
  <c r="CW132"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X28" i="19"/>
  <c r="CY81" i="6"/>
  <c r="CZ78" i="6" s="1"/>
  <c r="CX125" i="5" l="1"/>
  <c r="CX126" i="5"/>
  <c r="CX123" i="5"/>
  <c r="CX124" i="5"/>
  <c r="CY70" i="6"/>
  <c r="CY71" i="6" s="1"/>
  <c r="CZ68" i="6" s="1"/>
  <c r="CX30" i="19"/>
  <c r="CX25" i="19"/>
  <c r="CX31" i="19"/>
  <c r="CY89" i="6" l="1"/>
  <c r="AB73" i="16"/>
  <c r="AB76" i="16" s="1"/>
  <c r="AB77" i="16" s="1"/>
  <c r="AB80" i="16"/>
  <c r="CY94" i="6" l="1"/>
  <c r="CY90" i="6"/>
  <c r="CX113" i="5" s="1"/>
  <c r="CY91" i="6" l="1"/>
  <c r="CZ88" i="6" s="1"/>
  <c r="CX110" i="5"/>
  <c r="CX39" i="19"/>
  <c r="CX286" i="11"/>
  <c r="CX287" i="11" s="1"/>
  <c r="CY99" i="6"/>
  <c r="CY95" i="6"/>
  <c r="CY96" i="6" s="1"/>
  <c r="CZ93" i="6" s="1"/>
  <c r="CW39" i="15" l="1"/>
  <c r="CY284" i="11"/>
  <c r="CX41" i="19"/>
  <c r="CX42" i="19"/>
  <c r="CX36" i="19"/>
  <c r="CX48" i="19"/>
  <c r="Q390" i="32" s="1"/>
  <c r="CX49" i="19"/>
  <c r="S390" i="32" s="1"/>
  <c r="CX133" i="5"/>
  <c r="CX67" i="5"/>
  <c r="CX120" i="5" s="1"/>
  <c r="CX122" i="5" s="1"/>
  <c r="CX130" i="5"/>
  <c r="CX132" i="5" s="1"/>
  <c r="CX129" i="5"/>
  <c r="CX131" i="5" s="1"/>
  <c r="CY100" i="6"/>
  <c r="CY101" i="6" s="1"/>
  <c r="CZ98" i="6" s="1"/>
  <c r="CX54" i="19"/>
  <c r="CZ44" i="6" l="1"/>
  <c r="CW16" i="15"/>
  <c r="CY121" i="5"/>
  <c r="CX56" i="19"/>
  <c r="CX5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28" i="19" l="1"/>
  <c r="CY103" i="5"/>
  <c r="CZ81" i="6"/>
  <c r="DA78" i="6" s="1"/>
  <c r="CY19" i="19"/>
  <c r="CY20" i="19"/>
  <c r="CY14" i="19"/>
  <c r="CZ70" i="6"/>
  <c r="CZ71" i="6" s="1"/>
  <c r="DA68" i="6" s="1"/>
  <c r="CY95" i="5"/>
  <c r="CY100" i="5" l="1"/>
  <c r="CY25" i="19"/>
  <c r="CY30" i="19"/>
  <c r="CY31" i="19"/>
  <c r="CY124" i="5"/>
  <c r="CY123" i="5"/>
  <c r="CZ89" i="6"/>
  <c r="CZ94" i="6" l="1"/>
  <c r="CZ90" i="6"/>
  <c r="CY125" i="5"/>
  <c r="CY126" i="5"/>
  <c r="CZ91" i="6" l="1"/>
  <c r="DA88" i="6" s="1"/>
  <c r="CY113" i="5"/>
  <c r="CZ99" i="6"/>
  <c r="CZ95" i="6"/>
  <c r="CZ96" i="6" s="1"/>
  <c r="DA93" i="6" s="1"/>
  <c r="CZ100" i="6" l="1"/>
  <c r="CY54" i="19"/>
  <c r="CY110" i="5"/>
  <c r="CY39" i="19"/>
  <c r="CY286" i="11"/>
  <c r="CY287" i="11" s="1"/>
  <c r="CY57" i="19" l="1"/>
  <c r="CY56" i="19"/>
  <c r="CY42" i="19"/>
  <c r="CY41" i="19"/>
  <c r="CY36" i="19"/>
  <c r="CY49" i="19"/>
  <c r="CY48" i="19"/>
  <c r="CX39" i="15"/>
  <c r="CX38" i="15" s="1"/>
  <c r="CX34" i="15" s="1"/>
  <c r="CX40" i="15" s="1"/>
  <c r="CZ284" i="11"/>
  <c r="CY130" i="5"/>
  <c r="CY132" i="5" s="1"/>
  <c r="CY67" i="5"/>
  <c r="CY120" i="5" s="1"/>
  <c r="CY122" i="5" s="1"/>
  <c r="CY133" i="5"/>
  <c r="CY129" i="5"/>
  <c r="CY131"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CZ28" i="19"/>
  <c r="DA81" i="6"/>
  <c r="DB78" i="6" s="1"/>
  <c r="CZ31" i="19" l="1"/>
  <c r="CZ25" i="19"/>
  <c r="CZ30" i="19"/>
  <c r="CZ100" i="5"/>
  <c r="DA71" i="6"/>
  <c r="DB68" i="6" s="1"/>
  <c r="DA89" i="6"/>
  <c r="CZ123" i="5"/>
  <c r="CZ124" i="5"/>
  <c r="DA94" i="6" l="1"/>
  <c r="DA95" i="6" s="1"/>
  <c r="DA96" i="6" s="1"/>
  <c r="DB93" i="6" s="1"/>
  <c r="DA90" i="6"/>
  <c r="CZ126" i="5"/>
  <c r="CZ125" i="5"/>
  <c r="DA99" i="6" l="1"/>
  <c r="CZ54" i="19" s="1"/>
  <c r="DA91" i="6"/>
  <c r="DB88" i="6" s="1"/>
  <c r="CZ113" i="5"/>
  <c r="DA100" i="6" l="1"/>
  <c r="DA101" i="6" s="1"/>
  <c r="DB98" i="6" s="1"/>
  <c r="CZ110" i="5"/>
  <c r="CZ39" i="19"/>
  <c r="CZ286" i="11"/>
  <c r="CZ287" i="11" s="1"/>
  <c r="CZ56" i="19"/>
  <c r="CZ57" i="19"/>
  <c r="CY39" i="15" l="1"/>
  <c r="CY38" i="15" s="1"/>
  <c r="CY34" i="15" s="1"/>
  <c r="CY40" i="15" s="1"/>
  <c r="DA284" i="11"/>
  <c r="CZ129" i="5"/>
  <c r="CZ131" i="5" s="1"/>
  <c r="CZ133" i="5"/>
  <c r="CZ130" i="5"/>
  <c r="CZ132" i="5" s="1"/>
  <c r="CZ67" i="5"/>
  <c r="CZ120" i="5" s="1"/>
  <c r="CZ122" i="5" s="1"/>
  <c r="CZ41" i="19"/>
  <c r="CZ36" i="19"/>
  <c r="CZ42" i="19"/>
  <c r="CZ48" i="19"/>
  <c r="CZ49"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A28" i="19"/>
  <c r="DB81" i="6"/>
  <c r="DC78" i="6" s="1"/>
  <c r="DB70" i="6"/>
  <c r="DA98" i="5"/>
  <c r="DA17" i="19"/>
  <c r="DB76" i="6"/>
  <c r="DC73" i="6" s="1"/>
  <c r="DA19" i="19" l="1"/>
  <c r="DA20" i="19"/>
  <c r="DA14" i="19"/>
  <c r="DA95" i="5"/>
  <c r="DA30" i="19"/>
  <c r="DA25" i="19"/>
  <c r="DA31" i="19"/>
  <c r="DB71" i="6"/>
  <c r="DC68" i="6" s="1"/>
  <c r="DB89" i="6"/>
  <c r="DA100" i="5"/>
  <c r="DA126" i="5" l="1"/>
  <c r="DA125" i="5"/>
  <c r="DB94" i="6"/>
  <c r="DB90" i="6"/>
  <c r="DB91" i="6" s="1"/>
  <c r="DC88" i="6" s="1"/>
  <c r="DA123" i="5"/>
  <c r="DA124" i="5"/>
  <c r="DB99" i="6" l="1"/>
  <c r="DB95" i="6"/>
  <c r="DB96" i="6" s="1"/>
  <c r="DC93" i="6" s="1"/>
  <c r="DA113" i="5"/>
  <c r="DA110" i="5" l="1"/>
  <c r="DA39" i="19"/>
  <c r="DA286" i="11"/>
  <c r="DA287" i="11" s="1"/>
  <c r="DB100" i="6"/>
  <c r="DA54" i="19"/>
  <c r="DA56" i="19" l="1"/>
  <c r="DA57" i="19"/>
  <c r="DB101" i="6"/>
  <c r="DC98" i="6" s="1"/>
  <c r="DA36" i="19"/>
  <c r="DA42" i="19"/>
  <c r="DA41" i="19"/>
  <c r="DA48" i="19"/>
  <c r="DA49" i="19"/>
  <c r="CZ39" i="15"/>
  <c r="CZ38" i="15" s="1"/>
  <c r="CZ34" i="15" s="1"/>
  <c r="CZ40" i="15" s="1"/>
  <c r="DB284" i="11"/>
  <c r="DA130" i="5"/>
  <c r="DA132" i="5" s="1"/>
  <c r="DA67" i="5"/>
  <c r="DA120" i="5" s="1"/>
  <c r="DA122" i="5" s="1"/>
  <c r="DA129" i="5"/>
  <c r="DA131" i="5" s="1"/>
  <c r="DA133"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B28" i="19"/>
  <c r="DC81" i="6"/>
  <c r="DD78" i="6" s="1"/>
  <c r="DB98" i="5"/>
  <c r="DB17" i="19"/>
  <c r="DC76" i="6"/>
  <c r="DD73" i="6" s="1"/>
  <c r="DC94" i="6" l="1"/>
  <c r="DC90" i="6"/>
  <c r="DB100" i="5"/>
  <c r="DB14" i="19"/>
  <c r="DB19" i="19"/>
  <c r="DB20" i="19"/>
  <c r="DB95" i="5"/>
  <c r="DC71" i="6"/>
  <c r="DD68" i="6" s="1"/>
  <c r="DB31" i="19"/>
  <c r="DB25" i="19"/>
  <c r="DB30" i="19"/>
  <c r="DB126" i="5" l="1"/>
  <c r="DB125" i="5"/>
  <c r="DC91" i="6"/>
  <c r="DD88" i="6" s="1"/>
  <c r="DB113" i="5"/>
  <c r="DB123" i="5"/>
  <c r="DB124" i="5"/>
  <c r="DC99" i="6"/>
  <c r="DC95" i="6"/>
  <c r="DC96" i="6" s="1"/>
  <c r="DD93" i="6" s="1"/>
  <c r="DB110" i="5" l="1"/>
  <c r="DB39" i="19"/>
  <c r="DB286" i="11"/>
  <c r="DB287" i="11" s="1"/>
  <c r="DB54" i="19"/>
  <c r="DC100" i="6"/>
  <c r="DB57" i="19" l="1"/>
  <c r="DB56" i="19"/>
  <c r="DB36" i="19"/>
  <c r="DB42" i="19"/>
  <c r="DB41" i="19"/>
  <c r="DB49" i="19"/>
  <c r="DB48" i="19"/>
  <c r="DC101" i="6"/>
  <c r="DD98" i="6" s="1"/>
  <c r="DA39" i="15"/>
  <c r="DA38" i="15" s="1"/>
  <c r="DA34" i="15" s="1"/>
  <c r="DA40" i="15" s="1"/>
  <c r="DC284" i="11"/>
  <c r="DB130" i="5"/>
  <c r="DB132" i="5" s="1"/>
  <c r="DB67" i="5"/>
  <c r="DB120" i="5" s="1"/>
  <c r="DB122" i="5" s="1"/>
  <c r="DB129" i="5"/>
  <c r="DB131" i="5" s="1"/>
  <c r="DB133"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C28" i="19"/>
  <c r="DD81" i="6"/>
  <c r="DE78" i="6" s="1"/>
  <c r="DC30" i="19" l="1"/>
  <c r="DC31" i="19"/>
  <c r="DC25" i="19"/>
  <c r="DC100" i="5"/>
  <c r="DC124" i="5"/>
  <c r="DC123" i="5"/>
  <c r="DD71" i="6"/>
  <c r="DE68" i="6" s="1"/>
  <c r="DD89" i="6"/>
  <c r="DC125" i="5" l="1"/>
  <c r="DC126" i="5"/>
  <c r="DD94" i="6"/>
  <c r="DD90" i="6"/>
  <c r="DD91" i="6" l="1"/>
  <c r="DE88" i="6" s="1"/>
  <c r="DC113" i="5"/>
  <c r="DD99" i="6"/>
  <c r="DD95" i="6"/>
  <c r="DD96" i="6" s="1"/>
  <c r="DE93" i="6" s="1"/>
  <c r="DD100" i="6" l="1"/>
  <c r="DC54" i="19"/>
  <c r="DC110" i="5"/>
  <c r="DC39" i="19"/>
  <c r="DC286" i="11"/>
  <c r="DC287" i="11" s="1"/>
  <c r="DC42" i="19" l="1"/>
  <c r="DC41" i="19"/>
  <c r="DC36" i="19"/>
  <c r="DC49" i="19"/>
  <c r="DC48" i="19"/>
  <c r="DB39" i="15"/>
  <c r="DB38" i="15" s="1"/>
  <c r="DB34" i="15" s="1"/>
  <c r="DB40" i="15" s="1"/>
  <c r="DD284" i="11"/>
  <c r="DC130" i="5"/>
  <c r="DC132" i="5" s="1"/>
  <c r="DC133" i="5"/>
  <c r="DC67" i="5"/>
  <c r="DC120" i="5" s="1"/>
  <c r="DC122" i="5" s="1"/>
  <c r="DC129" i="5"/>
  <c r="DC131" i="5" s="1"/>
  <c r="DC57" i="19"/>
  <c r="DC5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D28" i="19"/>
  <c r="DE81" i="6"/>
  <c r="DF78" i="6" s="1"/>
  <c r="DE64" i="6"/>
  <c r="DE69" i="6"/>
  <c r="DD98" i="5"/>
  <c r="DD17" i="19"/>
  <c r="DE76" i="6"/>
  <c r="DF73" i="6" s="1"/>
  <c r="DD14" i="19" l="1"/>
  <c r="DD19" i="19"/>
  <c r="DD20" i="19"/>
  <c r="DD95" i="5"/>
  <c r="DD30" i="19"/>
  <c r="DD31" i="19"/>
  <c r="DD25" i="19"/>
  <c r="DE70" i="6"/>
  <c r="DE71" i="6" s="1"/>
  <c r="DF68" i="6" s="1"/>
  <c r="DD125" i="5"/>
  <c r="DD126" i="5"/>
  <c r="DE89" i="6" l="1"/>
  <c r="AC73" i="16"/>
  <c r="AC76" i="16" s="1"/>
  <c r="AC77" i="16" s="1"/>
  <c r="AC80" i="16"/>
  <c r="DD123" i="5"/>
  <c r="DD124" i="5"/>
  <c r="DE94" i="6" l="1"/>
  <c r="DE90" i="6"/>
  <c r="DD113" i="5" s="1"/>
  <c r="DE91" i="6" l="1"/>
  <c r="DF88" i="6" s="1"/>
  <c r="DD110" i="5"/>
  <c r="DD39" i="19"/>
  <c r="DD286" i="11"/>
  <c r="DD287" i="11" s="1"/>
  <c r="DE99" i="6"/>
  <c r="DE95" i="6"/>
  <c r="DE96" i="6" s="1"/>
  <c r="DF93" i="6" s="1"/>
  <c r="DC39" i="15" l="1"/>
  <c r="DE284" i="11"/>
  <c r="DD41" i="19"/>
  <c r="DD36" i="19"/>
  <c r="DD42" i="19"/>
  <c r="DD48" i="19"/>
  <c r="Q391" i="32" s="1"/>
  <c r="DD49" i="19"/>
  <c r="S391" i="32" s="1"/>
  <c r="DD130" i="5"/>
  <c r="DD132" i="5" s="1"/>
  <c r="DD67" i="5"/>
  <c r="DD120" i="5" s="1"/>
  <c r="DD122" i="5" s="1"/>
  <c r="DD129" i="5"/>
  <c r="DD131" i="5" s="1"/>
  <c r="DD133" i="5"/>
  <c r="DE100" i="6"/>
  <c r="DE101" i="6" s="1"/>
  <c r="DF98" i="6" s="1"/>
  <c r="DD54" i="19"/>
  <c r="DD57" i="19" l="1"/>
  <c r="DD5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E28" i="19"/>
  <c r="DF81" i="6"/>
  <c r="DG78" i="6" s="1"/>
  <c r="DF70" i="6"/>
  <c r="DF71" i="6" s="1"/>
  <c r="DG68" i="6" s="1"/>
  <c r="DE98" i="5"/>
  <c r="DE17" i="19"/>
  <c r="DF76" i="6"/>
  <c r="DG73" i="6" s="1"/>
  <c r="DE31" i="19" l="1"/>
  <c r="DE30" i="19"/>
  <c r="DE25" i="19"/>
  <c r="DE95" i="5"/>
  <c r="DE100" i="5"/>
  <c r="DE20" i="19"/>
  <c r="DE14" i="19"/>
  <c r="DE19" i="19"/>
  <c r="DF89" i="6"/>
  <c r="DE126" i="5" l="1"/>
  <c r="DE125" i="5"/>
  <c r="DF94" i="6"/>
  <c r="DF95" i="6" s="1"/>
  <c r="DF96" i="6" s="1"/>
  <c r="DG93" i="6" s="1"/>
  <c r="DF90" i="6"/>
  <c r="DF91" i="6" s="1"/>
  <c r="DG88" i="6" s="1"/>
  <c r="DE124" i="5"/>
  <c r="DE123" i="5"/>
  <c r="DF99" i="6" l="1"/>
  <c r="DF100" i="6" s="1"/>
  <c r="DE113" i="5"/>
  <c r="DE54" i="19" l="1"/>
  <c r="DE57" i="19" s="1"/>
  <c r="DE110" i="5"/>
  <c r="DE39" i="19"/>
  <c r="DE286" i="11"/>
  <c r="DE287" i="11" s="1"/>
  <c r="DF101" i="6"/>
  <c r="DG98" i="6" s="1"/>
  <c r="DE56" i="19" l="1"/>
  <c r="DF284" i="11"/>
  <c r="DD39" i="15"/>
  <c r="DD38" i="15" s="1"/>
  <c r="DD34" i="15" s="1"/>
  <c r="DD40" i="15" s="1"/>
  <c r="DE36" i="19"/>
  <c r="DE42" i="19"/>
  <c r="DE41" i="19"/>
  <c r="DE48" i="19"/>
  <c r="DE49" i="19"/>
  <c r="DE133" i="5"/>
  <c r="DE130" i="5"/>
  <c r="DE132" i="5" s="1"/>
  <c r="DE67" i="5"/>
  <c r="DE120" i="5" s="1"/>
  <c r="DE122" i="5" s="1"/>
  <c r="DE129" i="5"/>
  <c r="DE131"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F28" i="19"/>
  <c r="DG81" i="6"/>
  <c r="DH78" i="6" s="1"/>
  <c r="DG71" i="6" l="1"/>
  <c r="DH68" i="6" s="1"/>
  <c r="DG89" i="6"/>
  <c r="DF31" i="19"/>
  <c r="DF25" i="19"/>
  <c r="DF30" i="19"/>
  <c r="DF100" i="5"/>
  <c r="DF124" i="5"/>
  <c r="DF123" i="5"/>
  <c r="DG94" i="6" l="1"/>
  <c r="DG95" i="6" s="1"/>
  <c r="DG96" i="6" s="1"/>
  <c r="DH93" i="6" s="1"/>
  <c r="DG90" i="6"/>
  <c r="DF125" i="5"/>
  <c r="DF126" i="5"/>
  <c r="DG99" i="6" l="1"/>
  <c r="DG100" i="6" s="1"/>
  <c r="DF113" i="5"/>
  <c r="DG91" i="6"/>
  <c r="DH88" i="6" s="1"/>
  <c r="DF54" i="19" l="1"/>
  <c r="DF56" i="19" s="1"/>
  <c r="DG101" i="6"/>
  <c r="DH98" i="6" s="1"/>
  <c r="DF110" i="5"/>
  <c r="DF39" i="19"/>
  <c r="DF286" i="11"/>
  <c r="DF287" i="11" s="1"/>
  <c r="DF57" i="19" l="1"/>
  <c r="DG284" i="11"/>
  <c r="DE39" i="15"/>
  <c r="DE38" i="15" s="1"/>
  <c r="DE34" i="15" s="1"/>
  <c r="DE40" i="15" s="1"/>
  <c r="DF36" i="19"/>
  <c r="DF42" i="19"/>
  <c r="DF41" i="19"/>
  <c r="DF48" i="19"/>
  <c r="DF49" i="19"/>
  <c r="DF67" i="5"/>
  <c r="DF120" i="5" s="1"/>
  <c r="DF122" i="5" s="1"/>
  <c r="DF133" i="5"/>
  <c r="DF129" i="5"/>
  <c r="DF131" i="5" s="1"/>
  <c r="DF130" i="5"/>
  <c r="DF132"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G28" i="19"/>
  <c r="DH81" i="6"/>
  <c r="DI78" i="6" s="1"/>
  <c r="DH89" i="6" l="1"/>
  <c r="DG30" i="19"/>
  <c r="DG31" i="19"/>
  <c r="DG25" i="19"/>
  <c r="DG100" i="5"/>
  <c r="DH71" i="6"/>
  <c r="DI68" i="6" s="1"/>
  <c r="DG124" i="5"/>
  <c r="DG123" i="5"/>
  <c r="DH94" i="6" l="1"/>
  <c r="DH95" i="6" s="1"/>
  <c r="DH96" i="6" s="1"/>
  <c r="DI93" i="6" s="1"/>
  <c r="DH90" i="6"/>
  <c r="DG125" i="5"/>
  <c r="DG126" i="5"/>
  <c r="DH99" i="6" l="1"/>
  <c r="DH100" i="6" s="1"/>
  <c r="DH91" i="6"/>
  <c r="DI88" i="6" s="1"/>
  <c r="DG113" i="5"/>
  <c r="DG54" i="19" l="1"/>
  <c r="DG56" i="19" s="1"/>
  <c r="DH101" i="6"/>
  <c r="DI98" i="6" s="1"/>
  <c r="DG110" i="5"/>
  <c r="DG39" i="19"/>
  <c r="DG286" i="11"/>
  <c r="DG287" i="11" s="1"/>
  <c r="DG57" i="19" l="1"/>
  <c r="DH284" i="11"/>
  <c r="DF39" i="15"/>
  <c r="DF38" i="15" s="1"/>
  <c r="DF34" i="15" s="1"/>
  <c r="DF40" i="15" s="1"/>
  <c r="DG41" i="19"/>
  <c r="DG36" i="19"/>
  <c r="DG42" i="19"/>
  <c r="DG48" i="19"/>
  <c r="DG49" i="19"/>
  <c r="DG67" i="5"/>
  <c r="DG120" i="5" s="1"/>
  <c r="DG122" i="5" s="1"/>
  <c r="DG129" i="5"/>
  <c r="DG131" i="5" s="1"/>
  <c r="DG133" i="5"/>
  <c r="DG130" i="5"/>
  <c r="DG132"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H28" i="19"/>
  <c r="DI81" i="6"/>
  <c r="DJ78" i="6" s="1"/>
  <c r="DH98" i="5"/>
  <c r="DH17" i="19"/>
  <c r="DI76" i="6"/>
  <c r="DJ73" i="6" s="1"/>
  <c r="DI70" i="6"/>
  <c r="DH25" i="19" l="1"/>
  <c r="DH30" i="19"/>
  <c r="DH31" i="19"/>
  <c r="DI71" i="6"/>
  <c r="DJ68" i="6" s="1"/>
  <c r="DH19" i="19"/>
  <c r="DH20" i="19"/>
  <c r="DH14" i="19"/>
  <c r="DH100" i="5"/>
  <c r="DH95" i="5"/>
  <c r="DI89" i="6"/>
  <c r="DI94" i="6" l="1"/>
  <c r="DI90" i="6"/>
  <c r="DI91" i="6" s="1"/>
  <c r="DJ88" i="6" s="1"/>
  <c r="DH123" i="5"/>
  <c r="DH124" i="5"/>
  <c r="DH126" i="5"/>
  <c r="DH125" i="5"/>
  <c r="DH113" i="5" l="1"/>
  <c r="DI99" i="6"/>
  <c r="DI95" i="6"/>
  <c r="DI96" i="6" s="1"/>
  <c r="DJ93" i="6" s="1"/>
  <c r="DH286" i="11" l="1"/>
  <c r="DH287" i="11" s="1"/>
  <c r="DH110" i="5"/>
  <c r="DH39" i="19"/>
  <c r="DI100" i="6"/>
  <c r="DH54" i="19"/>
  <c r="DI101" i="6" l="1"/>
  <c r="DJ98" i="6" s="1"/>
  <c r="DH36" i="19"/>
  <c r="DH41" i="19"/>
  <c r="DH42" i="19"/>
  <c r="DH49" i="19"/>
  <c r="DH48" i="19"/>
  <c r="DH130" i="5"/>
  <c r="DH132" i="5" s="1"/>
  <c r="DH67" i="5"/>
  <c r="DH120" i="5" s="1"/>
  <c r="DH122" i="5" s="1"/>
  <c r="DH129" i="5"/>
  <c r="DH131" i="5" s="1"/>
  <c r="DH133" i="5"/>
  <c r="DH56" i="19"/>
  <c r="DH5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I28" i="19"/>
  <c r="DJ81" i="6"/>
  <c r="DK78" i="6" s="1"/>
  <c r="DI123" i="5" l="1"/>
  <c r="DI124" i="5"/>
  <c r="DJ94" i="6"/>
  <c r="DJ90" i="6"/>
  <c r="DJ91" i="6" s="1"/>
  <c r="DK88" i="6" s="1"/>
  <c r="DI25" i="19"/>
  <c r="DI31" i="19"/>
  <c r="DI30" i="19"/>
  <c r="DJ71" i="6"/>
  <c r="DK68" i="6" s="1"/>
  <c r="DI100" i="5"/>
  <c r="DJ99" i="6" l="1"/>
  <c r="DJ95" i="6"/>
  <c r="DJ96" i="6" s="1"/>
  <c r="DK93" i="6" s="1"/>
  <c r="DI126" i="5"/>
  <c r="DI125" i="5"/>
  <c r="DI113" i="5"/>
  <c r="DI110" i="5" l="1"/>
  <c r="DI39" i="19"/>
  <c r="DI286" i="11"/>
  <c r="DI287" i="11" s="1"/>
  <c r="DJ100" i="6"/>
  <c r="DJ101" i="6" s="1"/>
  <c r="DK98" i="6" s="1"/>
  <c r="DI54" i="19"/>
  <c r="DI56" i="19" l="1"/>
  <c r="DI57" i="19"/>
  <c r="DH39" i="15"/>
  <c r="DH38" i="15" s="1"/>
  <c r="DH34" i="15" s="1"/>
  <c r="DH40" i="15" s="1"/>
  <c r="DJ284" i="11"/>
  <c r="DI36" i="19"/>
  <c r="DI42" i="19"/>
  <c r="DI41" i="19"/>
  <c r="DI48" i="19"/>
  <c r="DI49" i="19"/>
  <c r="DI133" i="5"/>
  <c r="DI67" i="5"/>
  <c r="DI120" i="5" s="1"/>
  <c r="DI122" i="5" s="1"/>
  <c r="DI130" i="5"/>
  <c r="DI132" i="5" s="1"/>
  <c r="DI129" i="5"/>
  <c r="DI131"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J28" i="19"/>
  <c r="DK81" i="6"/>
  <c r="DL78" i="6" s="1"/>
  <c r="DJ98" i="5"/>
  <c r="DJ17" i="19"/>
  <c r="DK76" i="6"/>
  <c r="DL73" i="6" s="1"/>
  <c r="DK64" i="6"/>
  <c r="DK69" i="6"/>
  <c r="DK70" i="6" s="1"/>
  <c r="DK71" i="6" l="1"/>
  <c r="DL68" i="6" s="1"/>
  <c r="DK89" i="6"/>
  <c r="AD73" i="16"/>
  <c r="AD76" i="16" s="1"/>
  <c r="AD77" i="16" s="1"/>
  <c r="AD80" i="16"/>
  <c r="DJ95" i="5"/>
  <c r="DJ30" i="19"/>
  <c r="DJ25" i="19"/>
  <c r="DJ31" i="19"/>
  <c r="DJ19" i="19"/>
  <c r="DJ20" i="19"/>
  <c r="DJ14" i="19"/>
  <c r="DJ126" i="5"/>
  <c r="DJ125" i="5"/>
  <c r="DK94" i="6" l="1"/>
  <c r="DK90" i="6"/>
  <c r="DJ113" i="5" s="1"/>
  <c r="DJ123" i="5"/>
  <c r="DJ124" i="5"/>
  <c r="DK91" i="6" l="1"/>
  <c r="DL88" i="6" s="1"/>
  <c r="DJ110" i="5"/>
  <c r="DJ39" i="19"/>
  <c r="DJ286" i="11"/>
  <c r="DJ287" i="11" s="1"/>
  <c r="DK99" i="6"/>
  <c r="DK95" i="6"/>
  <c r="DK96" i="6" s="1"/>
  <c r="DL93" i="6" s="1"/>
  <c r="DI39" i="15" l="1"/>
  <c r="DK284" i="11"/>
  <c r="DK100" i="6"/>
  <c r="DK101" i="6" s="1"/>
  <c r="DL98" i="6" s="1"/>
  <c r="DJ54" i="19"/>
  <c r="DJ36" i="19"/>
  <c r="DJ41" i="19"/>
  <c r="DJ42" i="19"/>
  <c r="DJ48" i="19"/>
  <c r="Q392" i="32" s="1"/>
  <c r="DJ49" i="19"/>
  <c r="S392" i="32" s="1"/>
  <c r="DJ133" i="5"/>
  <c r="DJ67" i="5"/>
  <c r="DJ120" i="5" s="1"/>
  <c r="DJ122" i="5" s="1"/>
  <c r="DJ130" i="5"/>
  <c r="DJ132" i="5" s="1"/>
  <c r="DJ129" i="5"/>
  <c r="DJ131" i="5" s="1"/>
  <c r="DK121" i="5" l="1"/>
  <c r="DI16" i="15"/>
  <c r="DL44" i="6"/>
  <c r="DJ56" i="19"/>
  <c r="DJ5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K28" i="19"/>
  <c r="DL81" i="6"/>
  <c r="DM78" i="6" s="1"/>
  <c r="DK100" i="5" l="1"/>
  <c r="DK123" i="5"/>
  <c r="DK124" i="5"/>
  <c r="DL89" i="6"/>
  <c r="DK25" i="19"/>
  <c r="DK30" i="19"/>
  <c r="DK31" i="19"/>
  <c r="DK125" i="5" l="1"/>
  <c r="DK126" i="5"/>
  <c r="DL94" i="6"/>
  <c r="DL90" i="6"/>
  <c r="DL99" i="6" l="1"/>
  <c r="DL95" i="6"/>
  <c r="DL96" i="6" s="1"/>
  <c r="DM93" i="6" s="1"/>
  <c r="DK113" i="5"/>
  <c r="DL91" i="6"/>
  <c r="DM88" i="6" s="1"/>
  <c r="DK110" i="5" l="1"/>
  <c r="DK39" i="19"/>
  <c r="DK286" i="11"/>
  <c r="DK287" i="11" s="1"/>
  <c r="DL100" i="6"/>
  <c r="DK54" i="19"/>
  <c r="DK56" i="19" l="1"/>
  <c r="DK57" i="19"/>
  <c r="DK41" i="19"/>
  <c r="DK36" i="19"/>
  <c r="DK42" i="19"/>
  <c r="DK48" i="19"/>
  <c r="DK49" i="19"/>
  <c r="DL101" i="6"/>
  <c r="DM98" i="6" s="1"/>
  <c r="DL284" i="11"/>
  <c r="DJ39" i="15"/>
  <c r="DJ38" i="15" s="1"/>
  <c r="DJ34" i="15" s="1"/>
  <c r="DJ40" i="15" s="1"/>
  <c r="DK130" i="5"/>
  <c r="DK132" i="5" s="1"/>
  <c r="DK129" i="5"/>
  <c r="DK131" i="5" s="1"/>
  <c r="DK133" i="5"/>
  <c r="DK67" i="5"/>
  <c r="DK120" i="5" s="1"/>
  <c r="DK122"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L28" i="19"/>
  <c r="DM81" i="6"/>
  <c r="DN78" i="6" s="1"/>
  <c r="DL123" i="5" l="1"/>
  <c r="DL124" i="5"/>
  <c r="DL25" i="19"/>
  <c r="DL30" i="19"/>
  <c r="DL31" i="19"/>
  <c r="DL100" i="5"/>
  <c r="DM89" i="6"/>
  <c r="DM94" i="6" l="1"/>
  <c r="DM95" i="6" s="1"/>
  <c r="DM96" i="6" s="1"/>
  <c r="DN93" i="6" s="1"/>
  <c r="DM90" i="6"/>
  <c r="DM91" i="6" s="1"/>
  <c r="DN88" i="6" s="1"/>
  <c r="DL125" i="5"/>
  <c r="DL126" i="5"/>
  <c r="DM99" i="6" l="1"/>
  <c r="DM100" i="6" s="1"/>
  <c r="DL113" i="5"/>
  <c r="DL54" i="19" l="1"/>
  <c r="DL56" i="19" s="1"/>
  <c r="DM101" i="6"/>
  <c r="DN98" i="6" s="1"/>
  <c r="DL110" i="5"/>
  <c r="DL39" i="19"/>
  <c r="DL286" i="11"/>
  <c r="DL287" i="11" s="1"/>
  <c r="DL57" i="19" l="1"/>
  <c r="DL36" i="19"/>
  <c r="DL42" i="19"/>
  <c r="DL41" i="19"/>
  <c r="DL48" i="19"/>
  <c r="DL49" i="19"/>
  <c r="DK39" i="15"/>
  <c r="DK38" i="15" s="1"/>
  <c r="DK34" i="15" s="1"/>
  <c r="DK40" i="15" s="1"/>
  <c r="DM284" i="11"/>
  <c r="DL130" i="5"/>
  <c r="DL132" i="5" s="1"/>
  <c r="DL129" i="5"/>
  <c r="DL131" i="5" s="1"/>
  <c r="DL133" i="5"/>
  <c r="DL67" i="5"/>
  <c r="DL120" i="5" s="1"/>
  <c r="DL122"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M28" i="19"/>
  <c r="DN81" i="6"/>
  <c r="DO78" i="6" s="1"/>
  <c r="DN70" i="6"/>
  <c r="DN71" i="6" s="1"/>
  <c r="DO68" i="6" s="1"/>
  <c r="DM98" i="5"/>
  <c r="DM17" i="19"/>
  <c r="DN76" i="6"/>
  <c r="DO73" i="6" s="1"/>
  <c r="DM14" i="19" l="1"/>
  <c r="DM19" i="19"/>
  <c r="DM20" i="19"/>
  <c r="DM95" i="5"/>
  <c r="DM25" i="19"/>
  <c r="DM30" i="19"/>
  <c r="DM31" i="19"/>
  <c r="DN89" i="6"/>
  <c r="DM100" i="5"/>
  <c r="DN94" i="6" l="1"/>
  <c r="DN90" i="6"/>
  <c r="DM125" i="5"/>
  <c r="DM126" i="5"/>
  <c r="DM123" i="5"/>
  <c r="DM124" i="5"/>
  <c r="DN91" i="6" l="1"/>
  <c r="DO88" i="6" s="1"/>
  <c r="DM113" i="5"/>
  <c r="DN99" i="6"/>
  <c r="DN95" i="6"/>
  <c r="DN96" i="6" s="1"/>
  <c r="DO93" i="6" s="1"/>
  <c r="DM110" i="5" l="1"/>
  <c r="DM39" i="19"/>
  <c r="DM286" i="11"/>
  <c r="DM287" i="11" s="1"/>
  <c r="DN100" i="6"/>
  <c r="DM54" i="19"/>
  <c r="DN101" i="6" l="1"/>
  <c r="DO98" i="6" s="1"/>
  <c r="DM41" i="19"/>
  <c r="DM36" i="19"/>
  <c r="DM42" i="19"/>
  <c r="DM49" i="19"/>
  <c r="DM48" i="19"/>
  <c r="DM57" i="19"/>
  <c r="DM56" i="19"/>
  <c r="DL39" i="15"/>
  <c r="DL38" i="15" s="1"/>
  <c r="DL34" i="15" s="1"/>
  <c r="DL40" i="15" s="1"/>
  <c r="DN284" i="11"/>
  <c r="DM133" i="5"/>
  <c r="DM130" i="5"/>
  <c r="DM132" i="5" s="1"/>
  <c r="DM129" i="5"/>
  <c r="DM131" i="5" s="1"/>
  <c r="DM67" i="5"/>
  <c r="DM120" i="5" s="1"/>
  <c r="DM122"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N28" i="19"/>
  <c r="DO81" i="6"/>
  <c r="DP78" i="6" s="1"/>
  <c r="DN95" i="5"/>
  <c r="DO70" i="6"/>
  <c r="DO71" i="6" s="1"/>
  <c r="DP68" i="6" s="1"/>
  <c r="DN20" i="19"/>
  <c r="DN14" i="19"/>
  <c r="DN19" i="19"/>
  <c r="DN124" i="5" l="1"/>
  <c r="DN123" i="5"/>
  <c r="DN30" i="19"/>
  <c r="DN25" i="19"/>
  <c r="DN31" i="19"/>
  <c r="DO89" i="6"/>
  <c r="DN100" i="5"/>
  <c r="DN126" i="5" l="1"/>
  <c r="DN125" i="5"/>
  <c r="DO94" i="6"/>
  <c r="DO95" i="6" s="1"/>
  <c r="DO96" i="6" s="1"/>
  <c r="DP93" i="6" s="1"/>
  <c r="DO90" i="6"/>
  <c r="DO99" i="6" l="1"/>
  <c r="DO100" i="6" s="1"/>
  <c r="DO91" i="6"/>
  <c r="DP88" i="6" s="1"/>
  <c r="DN113" i="5"/>
  <c r="DN54" i="19" l="1"/>
  <c r="DN57" i="19" s="1"/>
  <c r="DN110" i="5"/>
  <c r="DN39" i="19"/>
  <c r="DN286" i="11"/>
  <c r="DN287" i="11" s="1"/>
  <c r="DO101" i="6"/>
  <c r="DP98" i="6" s="1"/>
  <c r="DN56" i="19" l="1"/>
  <c r="DN36" i="19"/>
  <c r="DN42" i="19"/>
  <c r="DN41" i="19"/>
  <c r="DN49" i="19"/>
  <c r="DN48" i="19"/>
  <c r="DM39" i="15"/>
  <c r="DM38" i="15" s="1"/>
  <c r="DM34" i="15" s="1"/>
  <c r="DM40" i="15" s="1"/>
  <c r="DO284" i="11"/>
  <c r="DN129" i="5"/>
  <c r="DN131" i="5" s="1"/>
  <c r="DN133" i="5"/>
  <c r="DN130" i="5"/>
  <c r="DN132" i="5" s="1"/>
  <c r="DN67" i="5"/>
  <c r="DN120" i="5" s="1"/>
  <c r="DN122"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O28" i="19"/>
  <c r="DP81" i="6"/>
  <c r="DQ78" i="6" s="1"/>
  <c r="DO19" i="19"/>
  <c r="DO20" i="19"/>
  <c r="DO14" i="19"/>
  <c r="DO25" i="19" l="1"/>
  <c r="DO30" i="19"/>
  <c r="DO31" i="19"/>
  <c r="DO124" i="5"/>
  <c r="DO123" i="5"/>
  <c r="DP89" i="6"/>
  <c r="DO100" i="5"/>
  <c r="DO125" i="5" l="1"/>
  <c r="DO126" i="5"/>
  <c r="DP94" i="6"/>
  <c r="DP90" i="6"/>
  <c r="DP99" i="6" l="1"/>
  <c r="DP95" i="6"/>
  <c r="DP96" i="6" s="1"/>
  <c r="DQ93" i="6" s="1"/>
  <c r="DP91" i="6"/>
  <c r="DQ88" i="6" s="1"/>
  <c r="DO113" i="5"/>
  <c r="DO110" i="5" l="1"/>
  <c r="DO39" i="19"/>
  <c r="DO286" i="11"/>
  <c r="DO287" i="11" s="1"/>
  <c r="DP100" i="6"/>
  <c r="DO54" i="19"/>
  <c r="DP101" i="6" l="1"/>
  <c r="DQ98" i="6" s="1"/>
  <c r="DO57" i="19"/>
  <c r="DO56" i="19"/>
  <c r="DO41" i="19"/>
  <c r="DO36" i="19"/>
  <c r="DO42" i="19"/>
  <c r="DO49" i="19"/>
  <c r="DO48" i="19"/>
  <c r="DN39" i="15"/>
  <c r="DN38" i="15" s="1"/>
  <c r="DN34" i="15" s="1"/>
  <c r="DN40" i="15" s="1"/>
  <c r="DP284" i="11"/>
  <c r="DO129" i="5"/>
  <c r="DO131" i="5" s="1"/>
  <c r="DO133" i="5"/>
  <c r="DO130" i="5"/>
  <c r="DO132" i="5" s="1"/>
  <c r="DO67" i="5"/>
  <c r="DO120" i="5" s="1"/>
  <c r="DO122"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P28" i="19"/>
  <c r="DQ81" i="6"/>
  <c r="DR78" i="6" s="1"/>
  <c r="DP126" i="5" l="1"/>
  <c r="DP125" i="5"/>
  <c r="DQ70" i="6"/>
  <c r="DQ71" i="6" s="1"/>
  <c r="DR68" i="6" s="1"/>
  <c r="DP31" i="19"/>
  <c r="DP25" i="19"/>
  <c r="DP30" i="19"/>
  <c r="DP123" i="5"/>
  <c r="DP124" i="5"/>
  <c r="AE73" i="16" l="1"/>
  <c r="AE76" i="16" s="1"/>
  <c r="AE77" i="16" s="1"/>
  <c r="AE80" i="16"/>
  <c r="DQ89" i="6"/>
  <c r="DQ94" i="6" l="1"/>
  <c r="DQ90" i="6"/>
  <c r="DP113" i="5" s="1"/>
  <c r="DQ91" i="6" l="1"/>
  <c r="DR88" i="6" s="1"/>
  <c r="DP110" i="5"/>
  <c r="DP39" i="19"/>
  <c r="DP286" i="11"/>
  <c r="DP287" i="11" s="1"/>
  <c r="DQ99" i="6"/>
  <c r="DQ95" i="6"/>
  <c r="DQ96" i="6" s="1"/>
  <c r="DR93" i="6" s="1"/>
  <c r="DO39" i="15" l="1"/>
  <c r="DQ284" i="11"/>
  <c r="DP42" i="19"/>
  <c r="DP36" i="19"/>
  <c r="DP41" i="19"/>
  <c r="DP49" i="19"/>
  <c r="S393" i="32" s="1"/>
  <c r="DP48" i="19"/>
  <c r="Q393" i="32" s="1"/>
  <c r="DQ100" i="6"/>
  <c r="DQ101" i="6" s="1"/>
  <c r="DR98" i="6" s="1"/>
  <c r="DP54" i="19"/>
  <c r="DP133" i="5"/>
  <c r="DP129" i="5"/>
  <c r="DP131" i="5" s="1"/>
  <c r="DP130" i="5"/>
  <c r="DP132" i="5" s="1"/>
  <c r="DP67" i="5"/>
  <c r="DP120" i="5" s="1"/>
  <c r="DP122" i="5" s="1"/>
  <c r="DR44" i="6" l="1"/>
  <c r="DO16" i="15"/>
  <c r="DQ121" i="5"/>
  <c r="DP56" i="19"/>
  <c r="DP5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Q28" i="19"/>
  <c r="DR81" i="6"/>
  <c r="DS78" i="6" s="1"/>
  <c r="DR70" i="6"/>
  <c r="DQ98" i="5"/>
  <c r="DQ17" i="19"/>
  <c r="DR76" i="6"/>
  <c r="DS73" i="6" s="1"/>
  <c r="DQ14" i="19" l="1"/>
  <c r="DQ19" i="19"/>
  <c r="DQ20" i="19"/>
  <c r="DQ95" i="5"/>
  <c r="DQ25" i="19"/>
  <c r="DQ30" i="19"/>
  <c r="DQ31" i="19"/>
  <c r="DR71" i="6"/>
  <c r="DS68" i="6" s="1"/>
  <c r="DQ100" i="5"/>
  <c r="DR89" i="6"/>
  <c r="DR94" i="6" l="1"/>
  <c r="DR90" i="6"/>
  <c r="DQ125" i="5"/>
  <c r="DQ126" i="5"/>
  <c r="DQ124" i="5"/>
  <c r="DQ123" i="5"/>
  <c r="DR91" i="6" l="1"/>
  <c r="DS88" i="6" s="1"/>
  <c r="DQ113" i="5"/>
  <c r="DR99" i="6"/>
  <c r="DR95" i="6"/>
  <c r="DR96" i="6" s="1"/>
  <c r="DS93" i="6" s="1"/>
  <c r="DR100" i="6" l="1"/>
  <c r="DQ54" i="19"/>
  <c r="DQ110" i="5"/>
  <c r="DQ39" i="19"/>
  <c r="DQ286" i="11"/>
  <c r="DQ287" i="11" s="1"/>
  <c r="DP39" i="15" l="1"/>
  <c r="DP38" i="15" s="1"/>
  <c r="DP34" i="15" s="1"/>
  <c r="DP40" i="15" s="1"/>
  <c r="DR284" i="11"/>
  <c r="DQ36" i="19"/>
  <c r="DQ42" i="19"/>
  <c r="DQ41" i="19"/>
  <c r="DQ49" i="19"/>
  <c r="DQ48" i="19"/>
  <c r="DQ130" i="5"/>
  <c r="DQ132" i="5" s="1"/>
  <c r="DQ129" i="5"/>
  <c r="DQ131" i="5" s="1"/>
  <c r="DQ67" i="5"/>
  <c r="DQ120" i="5" s="1"/>
  <c r="DQ122" i="5" s="1"/>
  <c r="DQ133" i="5"/>
  <c r="DQ57" i="19"/>
  <c r="DQ5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R28" i="19"/>
  <c r="DS81" i="6"/>
  <c r="DT78" i="6" s="1"/>
  <c r="DR98" i="5"/>
  <c r="DR17" i="19"/>
  <c r="DS76" i="6"/>
  <c r="DT73" i="6" s="1"/>
  <c r="DS94" i="6" l="1"/>
  <c r="DS90" i="6"/>
  <c r="DR31" i="19"/>
  <c r="DR30" i="19"/>
  <c r="DR25" i="19"/>
  <c r="DR100" i="5"/>
  <c r="DR14" i="19"/>
  <c r="DR20" i="19"/>
  <c r="DR19" i="19"/>
  <c r="DR95" i="5"/>
  <c r="DS71" i="6"/>
  <c r="DT68" i="6" s="1"/>
  <c r="DR125" i="5" l="1"/>
  <c r="DR126" i="5"/>
  <c r="DS91" i="6"/>
  <c r="DT88" i="6" s="1"/>
  <c r="DR113" i="5"/>
  <c r="DR124" i="5"/>
  <c r="DR123" i="5"/>
  <c r="DS99" i="6"/>
  <c r="DS95" i="6"/>
  <c r="DS96" i="6" s="1"/>
  <c r="DT93" i="6" s="1"/>
  <c r="DS100" i="6" l="1"/>
  <c r="DR54" i="19"/>
  <c r="DR110" i="5"/>
  <c r="DR39" i="19"/>
  <c r="DR286" i="11"/>
  <c r="DR287" i="11" s="1"/>
  <c r="DR129" i="5" l="1"/>
  <c r="DR131" i="5" s="1"/>
  <c r="DR67" i="5"/>
  <c r="DR120" i="5" s="1"/>
  <c r="DR122" i="5" s="1"/>
  <c r="DR133" i="5"/>
  <c r="DR130" i="5"/>
  <c r="DR132" i="5" s="1"/>
  <c r="DR57" i="19"/>
  <c r="DR56" i="19"/>
  <c r="DS101" i="6"/>
  <c r="DT98" i="6" s="1"/>
  <c r="DQ39" i="15"/>
  <c r="DQ38" i="15" s="1"/>
  <c r="DQ34" i="15" s="1"/>
  <c r="DQ40" i="15" s="1"/>
  <c r="DS284" i="11"/>
  <c r="DR42" i="19"/>
  <c r="DR41" i="19"/>
  <c r="DR36" i="19"/>
  <c r="DR48" i="19"/>
  <c r="DR49"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S28" i="19"/>
  <c r="DT81" i="6"/>
  <c r="DU78" i="6" s="1"/>
  <c r="DS20" i="19"/>
  <c r="DS14" i="19"/>
  <c r="DS19" i="19"/>
  <c r="DT71" i="6"/>
  <c r="DU68" i="6" s="1"/>
  <c r="DS95" i="5"/>
  <c r="DS100" i="5" l="1"/>
  <c r="DS124" i="5"/>
  <c r="DS123" i="5"/>
  <c r="DT94" i="6"/>
  <c r="DT95" i="6" s="1"/>
  <c r="DT96" i="6" s="1"/>
  <c r="DU93" i="6" s="1"/>
  <c r="DT90" i="6"/>
  <c r="DS30" i="19"/>
  <c r="DS25" i="19"/>
  <c r="DS31" i="19"/>
  <c r="DT99" i="6" l="1"/>
  <c r="DS54" i="19" s="1"/>
  <c r="DT91" i="6"/>
  <c r="DU88" i="6" s="1"/>
  <c r="DS113" i="5"/>
  <c r="DS125" i="5"/>
  <c r="DS126" i="5"/>
  <c r="DT100" i="6" l="1"/>
  <c r="DT101" i="6" s="1"/>
  <c r="DU98" i="6" s="1"/>
  <c r="DS57" i="19"/>
  <c r="DS56" i="19"/>
  <c r="DS110" i="5"/>
  <c r="DS39" i="19"/>
  <c r="DS286" i="11"/>
  <c r="DS287" i="11" s="1"/>
  <c r="DS130" i="5" l="1"/>
  <c r="DS132" i="5" s="1"/>
  <c r="DS67" i="5"/>
  <c r="DS120" i="5" s="1"/>
  <c r="DS122" i="5" s="1"/>
  <c r="DS133" i="5"/>
  <c r="DS129" i="5"/>
  <c r="DS131" i="5" s="1"/>
  <c r="DR39" i="15"/>
  <c r="DR38" i="15" s="1"/>
  <c r="DR34" i="15" s="1"/>
  <c r="DR40" i="15" s="1"/>
  <c r="DT284" i="11"/>
  <c r="DS41" i="19"/>
  <c r="DS36" i="19"/>
  <c r="DS42" i="19"/>
  <c r="DS49" i="19"/>
  <c r="DS48"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T28" i="19"/>
  <c r="DU81" i="6"/>
  <c r="DV78" i="6" s="1"/>
  <c r="DU70" i="6"/>
  <c r="DT95" i="5"/>
  <c r="DT14" i="19"/>
  <c r="DT19" i="19"/>
  <c r="DT20" i="19"/>
  <c r="DT123" i="5" l="1"/>
  <c r="DT124" i="5"/>
  <c r="DU71" i="6"/>
  <c r="DV68" i="6" s="1"/>
  <c r="DU89" i="6"/>
  <c r="DT25" i="19"/>
  <c r="DT30" i="19"/>
  <c r="DT31" i="19"/>
  <c r="DT100" i="5"/>
  <c r="DU94" i="6" l="1"/>
  <c r="DU95" i="6" s="1"/>
  <c r="DU96" i="6" s="1"/>
  <c r="DV93" i="6" s="1"/>
  <c r="DU90" i="6"/>
  <c r="DT125" i="5"/>
  <c r="DT126" i="5"/>
  <c r="DU99" i="6" l="1"/>
  <c r="DT54" i="19" s="1"/>
  <c r="DU91" i="6"/>
  <c r="DV88" i="6" s="1"/>
  <c r="DT113" i="5"/>
  <c r="DU100" i="6" l="1"/>
  <c r="DU101" i="6" s="1"/>
  <c r="DV98" i="6" s="1"/>
  <c r="DT110" i="5"/>
  <c r="DT39" i="19"/>
  <c r="DT286" i="11"/>
  <c r="DT287" i="11" s="1"/>
  <c r="DT56" i="19"/>
  <c r="DT57" i="19"/>
  <c r="DU284" i="11" l="1"/>
  <c r="DS39" i="15"/>
  <c r="DS38" i="15" s="1"/>
  <c r="DS34" i="15" s="1"/>
  <c r="DS40" i="15" s="1"/>
  <c r="DT36" i="19"/>
  <c r="DT41" i="19"/>
  <c r="DT42" i="19"/>
  <c r="DT48" i="19"/>
  <c r="DT49" i="19"/>
  <c r="DT130" i="5"/>
  <c r="DT132" i="5" s="1"/>
  <c r="DT67" i="5"/>
  <c r="DT120" i="5" s="1"/>
  <c r="DT122" i="5" s="1"/>
  <c r="DT129" i="5"/>
  <c r="DT131" i="5" s="1"/>
  <c r="DT133"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U28" i="19"/>
  <c r="DV81" i="6"/>
  <c r="DW78" i="6" s="1"/>
  <c r="DU124" i="5" l="1"/>
  <c r="DU123" i="5"/>
  <c r="DV89" i="6"/>
  <c r="DU31" i="19"/>
  <c r="DU25" i="19"/>
  <c r="DU30" i="19"/>
  <c r="DU100" i="5"/>
  <c r="DU126" i="5" l="1"/>
  <c r="DU125" i="5"/>
  <c r="DV94" i="6"/>
  <c r="DV90" i="6"/>
  <c r="DV99" i="6" l="1"/>
  <c r="DV95" i="6"/>
  <c r="DV96" i="6" s="1"/>
  <c r="DW93" i="6" s="1"/>
  <c r="DV91" i="6"/>
  <c r="DW88" i="6" s="1"/>
  <c r="DU113" i="5"/>
  <c r="DU39" i="19" l="1"/>
  <c r="DU110" i="5"/>
  <c r="DU286" i="11"/>
  <c r="DU287" i="11" s="1"/>
  <c r="DV100" i="6"/>
  <c r="DV101" i="6" s="1"/>
  <c r="DW98" i="6" s="1"/>
  <c r="DU54" i="19"/>
  <c r="DU56" i="19" l="1"/>
  <c r="DU57" i="19"/>
  <c r="DT39" i="15"/>
  <c r="DT38" i="15" s="1"/>
  <c r="DT34" i="15" s="1"/>
  <c r="DT40" i="15" s="1"/>
  <c r="DV284" i="11"/>
  <c r="DU133" i="5"/>
  <c r="DU130" i="5"/>
  <c r="DU132" i="5" s="1"/>
  <c r="DU67" i="5"/>
  <c r="DU120" i="5" s="1"/>
  <c r="DU122" i="5" s="1"/>
  <c r="DU129" i="5"/>
  <c r="DU131" i="5" s="1"/>
  <c r="DU42" i="19"/>
  <c r="DU36" i="19"/>
  <c r="DU41" i="19"/>
  <c r="DU49" i="19"/>
  <c r="DU48"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3" i="16"/>
  <c r="AF76" i="16" s="1"/>
  <c r="AF77" i="16" s="1"/>
  <c r="AF80" i="16"/>
  <c r="DW89" i="6"/>
  <c r="DV103" i="5"/>
  <c r="DV100" i="5" s="1"/>
  <c r="DV28" i="19"/>
  <c r="DW81" i="6"/>
  <c r="DX78" i="6" s="1"/>
  <c r="DV14" i="19"/>
  <c r="DV19" i="19"/>
  <c r="DV20" i="19"/>
  <c r="DV95" i="5"/>
  <c r="DW94" i="6" l="1"/>
  <c r="DW90" i="6"/>
  <c r="DV113" i="5" s="1"/>
  <c r="DV124" i="5"/>
  <c r="DV123" i="5"/>
  <c r="DV25" i="19"/>
  <c r="DV30" i="19"/>
  <c r="DV31" i="19"/>
  <c r="DV125" i="5"/>
  <c r="DV126" i="5"/>
  <c r="DW91" i="6" l="1"/>
  <c r="DX88" i="6" s="1"/>
  <c r="DV110" i="5"/>
  <c r="DV39" i="19"/>
  <c r="DV286" i="11"/>
  <c r="DV287" i="11" s="1"/>
  <c r="DW99" i="6"/>
  <c r="DW95" i="6"/>
  <c r="DW96" i="6" s="1"/>
  <c r="DX93" i="6" s="1"/>
  <c r="DW284" i="11" l="1"/>
  <c r="DU39" i="15"/>
  <c r="DV41" i="19"/>
  <c r="DV36" i="19"/>
  <c r="DV42" i="19"/>
  <c r="DV48" i="19"/>
  <c r="Q394" i="32" s="1"/>
  <c r="DV49" i="19"/>
  <c r="S394" i="32" s="1"/>
  <c r="DV130" i="5"/>
  <c r="DV132" i="5" s="1"/>
  <c r="DV67" i="5"/>
  <c r="DV120" i="5" s="1"/>
  <c r="DV122" i="5" s="1"/>
  <c r="DV129" i="5"/>
  <c r="DV131" i="5" s="1"/>
  <c r="DV133" i="5"/>
  <c r="DW100" i="6"/>
  <c r="DW101" i="6" s="1"/>
  <c r="DX98" i="6" s="1"/>
  <c r="DV54" i="19"/>
  <c r="DU38" i="15" l="1"/>
  <c r="DU34" i="15" s="1"/>
  <c r="DU40" i="15" s="1"/>
  <c r="AD34" i="18"/>
  <c r="AD33" i="18" s="1"/>
  <c r="AD29" i="18" s="1"/>
  <c r="AD35" i="18" s="1"/>
  <c r="DV56" i="19"/>
  <c r="DV5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W28" i="19"/>
  <c r="DX81" i="6"/>
  <c r="DY78" i="6" s="1"/>
  <c r="DW95" i="5"/>
  <c r="DX71" i="6"/>
  <c r="DY68" i="6" s="1"/>
  <c r="DW100" i="5" l="1"/>
  <c r="DW124" i="5"/>
  <c r="DW123" i="5"/>
  <c r="DX94" i="6"/>
  <c r="DX90" i="6"/>
  <c r="DX91" i="6" s="1"/>
  <c r="DY88" i="6" s="1"/>
  <c r="DW31" i="19"/>
  <c r="DW25" i="19"/>
  <c r="DW30" i="19"/>
  <c r="DX99" i="6" l="1"/>
  <c r="DX95" i="6"/>
  <c r="DX96" i="6" s="1"/>
  <c r="DY93" i="6" s="1"/>
  <c r="DW113" i="5"/>
  <c r="DW126" i="5"/>
  <c r="DW125" i="5"/>
  <c r="DW110" i="5" l="1"/>
  <c r="DW39" i="19"/>
  <c r="DW286" i="11"/>
  <c r="DW287" i="11" s="1"/>
  <c r="DX100" i="6"/>
  <c r="DW54" i="19"/>
  <c r="DW36" i="19" l="1"/>
  <c r="DW41" i="19"/>
  <c r="DW42" i="19"/>
  <c r="DW49" i="19"/>
  <c r="DW48" i="19"/>
  <c r="DW56" i="19"/>
  <c r="DW57" i="19"/>
  <c r="DX101" i="6"/>
  <c r="DY98" i="6" s="1"/>
  <c r="DV39" i="15"/>
  <c r="DV38" i="15" s="1"/>
  <c r="DV34" i="15" s="1"/>
  <c r="DV40" i="15" s="1"/>
  <c r="DX284" i="11"/>
  <c r="DW130" i="5"/>
  <c r="DW132" i="5" s="1"/>
  <c r="DW129" i="5"/>
  <c r="DW131" i="5" s="1"/>
  <c r="DW133" i="5"/>
  <c r="DW67" i="5"/>
  <c r="DW120" i="5" s="1"/>
  <c r="DW122"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X28" i="19"/>
  <c r="DY81" i="6"/>
  <c r="DZ78" i="6" s="1"/>
  <c r="DX95" i="5"/>
  <c r="DX100" i="5" l="1"/>
  <c r="DX124" i="5"/>
  <c r="DX123" i="5"/>
  <c r="DY94" i="6"/>
  <c r="DY90" i="6"/>
  <c r="DX31" i="19"/>
  <c r="DX25" i="19"/>
  <c r="DX30" i="19"/>
  <c r="DX113" i="5" l="1"/>
  <c r="DY99" i="6"/>
  <c r="DY95" i="6"/>
  <c r="DY96" i="6" s="1"/>
  <c r="DZ93" i="6" s="1"/>
  <c r="DY91" i="6"/>
  <c r="DZ88" i="6" s="1"/>
  <c r="DX125" i="5"/>
  <c r="DX126" i="5"/>
  <c r="DY100" i="6" l="1"/>
  <c r="DX54" i="19"/>
  <c r="DX110" i="5"/>
  <c r="DX39" i="19"/>
  <c r="DX286" i="11"/>
  <c r="DX287" i="11" s="1"/>
  <c r="DX129" i="5" l="1"/>
  <c r="DX131" i="5" s="1"/>
  <c r="DX133" i="5"/>
  <c r="DX130" i="5"/>
  <c r="DX132" i="5" s="1"/>
  <c r="DX67" i="5"/>
  <c r="DX120" i="5" s="1"/>
  <c r="DX122" i="5" s="1"/>
  <c r="DX56" i="19"/>
  <c r="DX57" i="19"/>
  <c r="DX36" i="19"/>
  <c r="DX42" i="19"/>
  <c r="DX41" i="19"/>
  <c r="DX49" i="19"/>
  <c r="DX48"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Y28" i="19"/>
  <c r="DZ81" i="6"/>
  <c r="EA78" i="6" s="1"/>
  <c r="DZ70" i="6"/>
  <c r="DY98" i="5"/>
  <c r="DY17" i="19"/>
  <c r="DZ76" i="6"/>
  <c r="EA73" i="6" s="1"/>
  <c r="DY14" i="19" l="1"/>
  <c r="DY19" i="19"/>
  <c r="DY20" i="19"/>
  <c r="DY31" i="19"/>
  <c r="DY25" i="19"/>
  <c r="DY30" i="19"/>
  <c r="DY95" i="5"/>
  <c r="DZ71" i="6"/>
  <c r="EA68" i="6" s="1"/>
  <c r="DY100" i="5"/>
  <c r="DZ89" i="6"/>
  <c r="DZ94" i="6" l="1"/>
  <c r="DZ95" i="6" s="1"/>
  <c r="DZ96" i="6" s="1"/>
  <c r="EA93" i="6" s="1"/>
  <c r="DZ90" i="6"/>
  <c r="DY125" i="5"/>
  <c r="DY126" i="5"/>
  <c r="DY123" i="5"/>
  <c r="DY124" i="5"/>
  <c r="DZ99" i="6" l="1"/>
  <c r="DZ91" i="6"/>
  <c r="EA88" i="6" s="1"/>
  <c r="DY113" i="5"/>
  <c r="DY110" i="5" l="1"/>
  <c r="DY39" i="19"/>
  <c r="DY286" i="11"/>
  <c r="DY287" i="11" s="1"/>
  <c r="DZ100" i="6"/>
  <c r="DY54" i="19"/>
  <c r="DY56" i="19" l="1"/>
  <c r="DY57" i="19"/>
  <c r="DY36" i="19"/>
  <c r="DY42" i="19"/>
  <c r="DY41" i="19"/>
  <c r="DY49" i="19"/>
  <c r="DY48" i="19"/>
  <c r="DZ101" i="6"/>
  <c r="EA98" i="6" s="1"/>
  <c r="DX39" i="15"/>
  <c r="DX38" i="15" s="1"/>
  <c r="DX34" i="15" s="1"/>
  <c r="DX40" i="15" s="1"/>
  <c r="DZ284" i="11"/>
  <c r="DY133" i="5"/>
  <c r="DY67" i="5"/>
  <c r="DY120" i="5" s="1"/>
  <c r="DY122" i="5" s="1"/>
  <c r="DY130" i="5"/>
  <c r="DY132" i="5" s="1"/>
  <c r="DY129" i="5"/>
  <c r="DY131"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DZ28" i="19"/>
  <c r="EA81" i="6"/>
  <c r="EB78" i="6" s="1"/>
  <c r="DZ98" i="5"/>
  <c r="DZ17" i="19"/>
  <c r="EA76" i="6"/>
  <c r="EB73" i="6" s="1"/>
  <c r="DZ14" i="19" l="1"/>
  <c r="DZ19" i="19"/>
  <c r="DZ20" i="19"/>
  <c r="EA94" i="6"/>
  <c r="EA95" i="6" s="1"/>
  <c r="EA96" i="6" s="1"/>
  <c r="EB93" i="6" s="1"/>
  <c r="EA90" i="6"/>
  <c r="DZ100" i="5"/>
  <c r="DZ95" i="5"/>
  <c r="DZ30" i="19"/>
  <c r="DZ31" i="19"/>
  <c r="DZ25" i="19"/>
  <c r="EA71" i="6"/>
  <c r="EB68" i="6" s="1"/>
  <c r="EA99" i="6" l="1"/>
  <c r="DZ54" i="19" s="1"/>
  <c r="DZ125" i="5"/>
  <c r="DZ126" i="5"/>
  <c r="EA91" i="6"/>
  <c r="EB88" i="6" s="1"/>
  <c r="DZ113" i="5"/>
  <c r="DZ123" i="5"/>
  <c r="DZ124" i="5"/>
  <c r="EA100" i="6" l="1"/>
  <c r="EA101" i="6" s="1"/>
  <c r="EB98" i="6" s="1"/>
  <c r="DZ110" i="5"/>
  <c r="DZ39" i="19"/>
  <c r="DZ286" i="11"/>
  <c r="DZ287" i="11" s="1"/>
  <c r="DZ56" i="19"/>
  <c r="DZ57" i="19"/>
  <c r="EA284" i="11" l="1"/>
  <c r="DY39" i="15"/>
  <c r="DY38" i="15" s="1"/>
  <c r="DY34" i="15" s="1"/>
  <c r="DY40" i="15" s="1"/>
  <c r="DZ41" i="19"/>
  <c r="DZ42" i="19"/>
  <c r="DZ36" i="19"/>
  <c r="DZ49" i="19"/>
  <c r="DZ48" i="19"/>
  <c r="DZ67" i="5"/>
  <c r="DZ120" i="5" s="1"/>
  <c r="DZ122" i="5" s="1"/>
  <c r="DZ130" i="5"/>
  <c r="DZ132" i="5" s="1"/>
  <c r="DZ129" i="5"/>
  <c r="DZ131" i="5" s="1"/>
  <c r="DZ133"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A28" i="19"/>
  <c r="EB81" i="6"/>
  <c r="EC78" i="6" s="1"/>
  <c r="EA98" i="5"/>
  <c r="EA17" i="19"/>
  <c r="EB76" i="6"/>
  <c r="EC73" i="6" s="1"/>
  <c r="EA20" i="19" l="1"/>
  <c r="EA14" i="19"/>
  <c r="EA19" i="19"/>
  <c r="EA100" i="5"/>
  <c r="EA95" i="5"/>
  <c r="EB89" i="6"/>
  <c r="EA31" i="19"/>
  <c r="EA25" i="19"/>
  <c r="EA30" i="19"/>
  <c r="EB94" i="6" l="1"/>
  <c r="EB95" i="6" s="1"/>
  <c r="EB96" i="6" s="1"/>
  <c r="EC93" i="6" s="1"/>
  <c r="EB90" i="6"/>
  <c r="EA125" i="5"/>
  <c r="EA126" i="5"/>
  <c r="EA124" i="5"/>
  <c r="EA123" i="5"/>
  <c r="EB99" i="6" l="1"/>
  <c r="EB100" i="6" s="1"/>
  <c r="EA113" i="5"/>
  <c r="EB91" i="6"/>
  <c r="EC88" i="6" s="1"/>
  <c r="EA54" i="19" l="1"/>
  <c r="EA57" i="19" s="1"/>
  <c r="EB101" i="6"/>
  <c r="EC98" i="6" s="1"/>
  <c r="EA286" i="11"/>
  <c r="EA287" i="11" s="1"/>
  <c r="EA110" i="5"/>
  <c r="EA39" i="19"/>
  <c r="EA56" i="19" l="1"/>
  <c r="EA129" i="5"/>
  <c r="EA131" i="5" s="1"/>
  <c r="EA133" i="5"/>
  <c r="EA130" i="5"/>
  <c r="EA132" i="5" s="1"/>
  <c r="EA67" i="5"/>
  <c r="EA120" i="5" s="1"/>
  <c r="EA122" i="5" s="1"/>
  <c r="DZ39" i="15"/>
  <c r="DZ38" i="15" s="1"/>
  <c r="DZ34" i="15" s="1"/>
  <c r="DZ40" i="15" s="1"/>
  <c r="EB284" i="11"/>
  <c r="EA41" i="19"/>
  <c r="EA42" i="19"/>
  <c r="EA36" i="19"/>
  <c r="EA49" i="19"/>
  <c r="EA48"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B28" i="19"/>
  <c r="EC81" i="6"/>
  <c r="ED78" i="6" s="1"/>
  <c r="EC69" i="6"/>
  <c r="EC70" i="6" s="1"/>
  <c r="EC64" i="6"/>
  <c r="EB14" i="19"/>
  <c r="EB20" i="19"/>
  <c r="EB19" i="19"/>
  <c r="EC71" i="6" l="1"/>
  <c r="ED68" i="6" s="1"/>
  <c r="AG73" i="16"/>
  <c r="AG76" i="16" s="1"/>
  <c r="AG80" i="16"/>
  <c r="EC89" i="6"/>
  <c r="EB25" i="19"/>
  <c r="EB30" i="19"/>
  <c r="EB31" i="19"/>
  <c r="EB125" i="5"/>
  <c r="EB126" i="5"/>
  <c r="EB123" i="5"/>
  <c r="EB124" i="5"/>
  <c r="EC94" i="6" l="1"/>
  <c r="EC90" i="6"/>
  <c r="EB113" i="5" s="1"/>
  <c r="AG77" i="16"/>
  <c r="K77" i="16" s="1"/>
  <c r="J77" i="16" s="1"/>
  <c r="K76" i="16"/>
  <c r="EC91" i="6" l="1"/>
  <c r="ED88" i="6" s="1"/>
  <c r="EB39" i="19"/>
  <c r="EB110" i="5"/>
  <c r="EB286" i="11"/>
  <c r="EB287" i="11" s="1"/>
  <c r="EC99" i="6"/>
  <c r="EC95" i="6"/>
  <c r="EC96" i="6" s="1"/>
  <c r="ED93" i="6" s="1"/>
  <c r="EA39" i="15" l="1"/>
  <c r="EC284" i="11"/>
  <c r="EB133" i="5"/>
  <c r="EB130" i="5"/>
  <c r="EB132" i="5" s="1"/>
  <c r="EB129" i="5"/>
  <c r="EB131" i="5" s="1"/>
  <c r="EB67" i="5"/>
  <c r="EB120" i="5" s="1"/>
  <c r="EB122" i="5" s="1"/>
  <c r="EC100" i="6"/>
  <c r="EC101" i="6" s="1"/>
  <c r="ED98" i="6" s="1"/>
  <c r="EB54" i="19"/>
  <c r="EB41" i="19"/>
  <c r="EB42" i="19"/>
  <c r="EB36" i="19"/>
  <c r="EB48" i="19"/>
  <c r="Q395" i="32" s="1"/>
  <c r="EB49" i="19"/>
  <c r="S395" i="32" s="1"/>
  <c r="EB56" i="19" l="1"/>
  <c r="EB5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C28" i="19"/>
  <c r="ED81" i="6"/>
  <c r="EE78" i="6" s="1"/>
  <c r="EC95" i="5"/>
  <c r="ED70" i="6"/>
  <c r="EC100" i="5" l="1"/>
  <c r="ED71" i="6"/>
  <c r="EE68" i="6" s="1"/>
  <c r="ED89" i="6"/>
  <c r="EC124" i="5"/>
  <c r="EC123" i="5"/>
  <c r="EC30" i="19"/>
  <c r="EC25" i="19"/>
  <c r="EC31" i="19"/>
  <c r="ED94" i="6" l="1"/>
  <c r="ED90" i="6"/>
  <c r="EC126" i="5"/>
  <c r="EC125" i="5"/>
  <c r="ED91" i="6" l="1"/>
  <c r="EE88" i="6" s="1"/>
  <c r="EC113" i="5"/>
  <c r="ED99" i="6"/>
  <c r="ED95" i="6"/>
  <c r="ED96" i="6" s="1"/>
  <c r="EE93" i="6" s="1"/>
  <c r="ED100" i="6" l="1"/>
  <c r="ED101" i="6" s="1"/>
  <c r="EE98" i="6" s="1"/>
  <c r="EC54" i="19"/>
  <c r="EC110" i="5"/>
  <c r="EC39" i="19"/>
  <c r="EC286" i="11"/>
  <c r="EC287" i="11" s="1"/>
  <c r="EC41" i="19" l="1"/>
  <c r="EC42" i="19"/>
  <c r="EC36" i="19"/>
  <c r="EC48" i="19"/>
  <c r="EC49" i="19"/>
  <c r="EC130" i="5"/>
  <c r="EC132" i="5" s="1"/>
  <c r="EC133" i="5"/>
  <c r="EC129" i="5"/>
  <c r="EC131" i="5" s="1"/>
  <c r="EC67" i="5"/>
  <c r="EC120" i="5" s="1"/>
  <c r="EC122" i="5" s="1"/>
  <c r="EB39" i="15"/>
  <c r="EB38" i="15" s="1"/>
  <c r="EB34" i="15" s="1"/>
  <c r="EB40" i="15" s="1"/>
  <c r="ED284" i="11"/>
  <c r="EC56" i="19"/>
  <c r="EC5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D28" i="19"/>
  <c r="EE81" i="6"/>
  <c r="EF78" i="6" s="1"/>
  <c r="ED25" i="19" l="1"/>
  <c r="ED31" i="19"/>
  <c r="ED30" i="19"/>
  <c r="ED100" i="5"/>
  <c r="EE71" i="6"/>
  <c r="EF68" i="6" s="1"/>
  <c r="EE89" i="6"/>
  <c r="ED124" i="5"/>
  <c r="ED123" i="5"/>
  <c r="EE94" i="6" l="1"/>
  <c r="EE95" i="6" s="1"/>
  <c r="EE96" i="6" s="1"/>
  <c r="EF93" i="6" s="1"/>
  <c r="EE90" i="6"/>
  <c r="ED126" i="5"/>
  <c r="ED125" i="5"/>
  <c r="EE99" i="6" l="1"/>
  <c r="EE100" i="6" s="1"/>
  <c r="EE101" i="6" s="1"/>
  <c r="EF98" i="6" s="1"/>
  <c r="EE91" i="6"/>
  <c r="EF88" i="6" s="1"/>
  <c r="ED113" i="5"/>
  <c r="ED54" i="19" l="1"/>
  <c r="ED57" i="19" s="1"/>
  <c r="ED39" i="19"/>
  <c r="ED110" i="5"/>
  <c r="ED133" i="5"/>
  <c r="ED286" i="11"/>
  <c r="ED287" i="11" s="1"/>
  <c r="ED56" i="19" l="1"/>
  <c r="EC39" i="15"/>
  <c r="EC38" i="15" s="1"/>
  <c r="EC34" i="15" s="1"/>
  <c r="EC40" i="15" s="1"/>
  <c r="EE284" i="11"/>
  <c r="ED130" i="5"/>
  <c r="ED132" i="5" s="1"/>
  <c r="ED67" i="5"/>
  <c r="ED120" i="5" s="1"/>
  <c r="ED122" i="5" s="1"/>
  <c r="ED129" i="5"/>
  <c r="ED131" i="5" s="1"/>
  <c r="ED42" i="19"/>
  <c r="ED41" i="19"/>
  <c r="ED36" i="19"/>
  <c r="ED48" i="19"/>
  <c r="ED49"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E28" i="19"/>
  <c r="EF81" i="6"/>
  <c r="EG78" i="6" s="1"/>
  <c r="EF89" i="6" l="1"/>
  <c r="EE25" i="19"/>
  <c r="EE31" i="19"/>
  <c r="EE30" i="19"/>
  <c r="EE100" i="5"/>
  <c r="EE123" i="5"/>
  <c r="EE124" i="5"/>
  <c r="EE126" i="5" l="1"/>
  <c r="EE125" i="5"/>
  <c r="EF94" i="6"/>
  <c r="EF95" i="6" s="1"/>
  <c r="EF96" i="6" s="1"/>
  <c r="EG93" i="6" s="1"/>
  <c r="EF90" i="6"/>
  <c r="EF91" i="6" l="1"/>
  <c r="EG88" i="6" s="1"/>
  <c r="EE113" i="5"/>
  <c r="EF99" i="6"/>
  <c r="EE110" i="5" l="1"/>
  <c r="EE39" i="19"/>
  <c r="EE286" i="11"/>
  <c r="EE287" i="11" s="1"/>
  <c r="EF100" i="6"/>
  <c r="EF101" i="6" s="1"/>
  <c r="EG98" i="6" s="1"/>
  <c r="EE54" i="19"/>
  <c r="EE42" i="19" l="1"/>
  <c r="EE36" i="19"/>
  <c r="EE41" i="19"/>
  <c r="EE48" i="19"/>
  <c r="EE49" i="19"/>
  <c r="EE57" i="19"/>
  <c r="EE56" i="19"/>
  <c r="ED39" i="15"/>
  <c r="ED38" i="15" s="1"/>
  <c r="ED34" i="15" s="1"/>
  <c r="ED40" i="15" s="1"/>
  <c r="EF284" i="11"/>
  <c r="EE130" i="5"/>
  <c r="EE129" i="5"/>
  <c r="EE131" i="5" s="1"/>
  <c r="EE67" i="5"/>
  <c r="EE120" i="5" s="1"/>
  <c r="EE122" i="5" s="1"/>
  <c r="EG44" i="6" l="1"/>
  <c r="ED16" i="15"/>
  <c r="ED15" i="15" s="1"/>
  <c r="ED14" i="15" s="1"/>
  <c r="ED41" i="15" s="1"/>
  <c r="EF121" i="5"/>
  <c r="EE133" i="5"/>
  <c r="EE132"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F28" i="19"/>
  <c r="EG81" i="6"/>
  <c r="EH78" i="6" s="1"/>
  <c r="EF100" i="5" l="1"/>
  <c r="EF31" i="19"/>
  <c r="EF25" i="19"/>
  <c r="EF30" i="19"/>
  <c r="EF123" i="5"/>
  <c r="EF124" i="5"/>
  <c r="EG71" i="6"/>
  <c r="EH68" i="6" s="1"/>
  <c r="EG89" i="6"/>
  <c r="EG94" i="6" l="1"/>
  <c r="EG95" i="6" s="1"/>
  <c r="EG96" i="6" s="1"/>
  <c r="EH93" i="6" s="1"/>
  <c r="EG90" i="6"/>
  <c r="EG91" i="6" s="1"/>
  <c r="EH88" i="6" s="1"/>
  <c r="EF125" i="5"/>
  <c r="EF126" i="5"/>
  <c r="EG99" i="6" l="1"/>
  <c r="EG100" i="6" s="1"/>
  <c r="EG101" i="6" s="1"/>
  <c r="EH98" i="6" s="1"/>
  <c r="EF113" i="5"/>
  <c r="EF54" i="19" l="1"/>
  <c r="EF57" i="19" s="1"/>
  <c r="EF110" i="5"/>
  <c r="EF39" i="19"/>
  <c r="EF286" i="11"/>
  <c r="EF287" i="11" s="1"/>
  <c r="EF56" i="19" l="1"/>
  <c r="EF36" i="19"/>
  <c r="EF41" i="19"/>
  <c r="EF42" i="19"/>
  <c r="EF48" i="19"/>
  <c r="EF49" i="19"/>
  <c r="EE39" i="15"/>
  <c r="EE38" i="15" s="1"/>
  <c r="EE34" i="15" s="1"/>
  <c r="EE40" i="15" s="1"/>
  <c r="EG284" i="11"/>
  <c r="EF67" i="5"/>
  <c r="EF120" i="5" s="1"/>
  <c r="EF122" i="5" s="1"/>
  <c r="EF130" i="5"/>
  <c r="EF129" i="5"/>
  <c r="EF131" i="5" s="1"/>
  <c r="EE16" i="15" l="1"/>
  <c r="EE15" i="15" s="1"/>
  <c r="EE14" i="15" s="1"/>
  <c r="EE41" i="15" s="1"/>
  <c r="EG121" i="5"/>
  <c r="EH44" i="6"/>
  <c r="EF133" i="5"/>
  <c r="EF132" i="5"/>
  <c r="EE42" i="15" l="1"/>
  <c r="EG20" i="5"/>
  <c r="EH43" i="6"/>
  <c r="EH42" i="6" s="1"/>
  <c r="EH55" i="6" s="1"/>
  <c r="EH57" i="6" s="1"/>
  <c r="EG285" i="11" l="1"/>
  <c r="EH62" i="6"/>
  <c r="EG15" i="5"/>
  <c r="EG14" i="5" s="1"/>
  <c r="EH66" i="6" s="1"/>
  <c r="EH75" i="6" l="1"/>
  <c r="EH80" i="6" s="1"/>
  <c r="EH64" i="6"/>
  <c r="EH69" i="6"/>
  <c r="EH70" i="6" l="1"/>
  <c r="EH89" i="6" s="1"/>
  <c r="EG103" i="5"/>
  <c r="EG28" i="19"/>
  <c r="EH81" i="6"/>
  <c r="EI78" i="6" s="1"/>
  <c r="EG98" i="5"/>
  <c r="EG17" i="19"/>
  <c r="EH76" i="6"/>
  <c r="EI73" i="6" s="1"/>
  <c r="EH94" i="6" l="1"/>
  <c r="EH90" i="6"/>
  <c r="EH91" i="6" s="1"/>
  <c r="EI88" i="6" s="1"/>
  <c r="EG14" i="19"/>
  <c r="EG20" i="19"/>
  <c r="EG19" i="19"/>
  <c r="EG100" i="5"/>
  <c r="EG95" i="5"/>
  <c r="EH71" i="6"/>
  <c r="EI68" i="6" s="1"/>
  <c r="EG25" i="19"/>
  <c r="EG31" i="19"/>
  <c r="EG30" i="19"/>
  <c r="EG113" i="5" l="1"/>
  <c r="EG125" i="5"/>
  <c r="EG126" i="5"/>
  <c r="EG123" i="5"/>
  <c r="EG124" i="5"/>
  <c r="EH99" i="6"/>
  <c r="EH95" i="6"/>
  <c r="EH96" i="6" s="1"/>
  <c r="EI93" i="6" s="1"/>
  <c r="EH100" i="6" l="1"/>
  <c r="EH101" i="6" s="1"/>
  <c r="EI98" i="6" s="1"/>
  <c r="EG54" i="19"/>
  <c r="EG110" i="5"/>
  <c r="EG39" i="19"/>
  <c r="EG286" i="11"/>
  <c r="EG287" i="11" s="1"/>
  <c r="EG42" i="19" l="1"/>
  <c r="EG36" i="19"/>
  <c r="EG41" i="19"/>
  <c r="EG49" i="19"/>
  <c r="EG48" i="19"/>
  <c r="EG56" i="19"/>
  <c r="EG57" i="19"/>
  <c r="EF39" i="15"/>
  <c r="EF38" i="15" s="1"/>
  <c r="EF34" i="15" s="1"/>
  <c r="EF40" i="15" s="1"/>
  <c r="EH284" i="11"/>
  <c r="EG130" i="5"/>
  <c r="EG129" i="5"/>
  <c r="EG131" i="5" s="1"/>
  <c r="EG67" i="5"/>
  <c r="EG120" i="5" s="1"/>
  <c r="EG122" i="5" s="1"/>
  <c r="EI44" i="6" l="1"/>
  <c r="EF16" i="15"/>
  <c r="EF15" i="15" s="1"/>
  <c r="EF14" i="15" s="1"/>
  <c r="EF41" i="15" s="1"/>
  <c r="EH121" i="5"/>
  <c r="EG133" i="5"/>
  <c r="EG132" i="5"/>
  <c r="EH20" i="5" l="1"/>
  <c r="EH15" i="5" s="1"/>
  <c r="EH14" i="5" s="1"/>
  <c r="EI66" i="6" s="1"/>
  <c r="EI75" i="6" s="1"/>
  <c r="EI43" i="6"/>
  <c r="EI42" i="6" s="1"/>
  <c r="EI55" i="6" s="1"/>
  <c r="EI57" i="6" s="1"/>
  <c r="EF42" i="15"/>
  <c r="EH285" i="11" l="1"/>
  <c r="EI62" i="6"/>
  <c r="EI80" i="6"/>
  <c r="EH98" i="5"/>
  <c r="EH17" i="19"/>
  <c r="EI76" i="6"/>
  <c r="EJ73" i="6" s="1"/>
  <c r="EH103" i="5" l="1"/>
  <c r="EH100" i="5" s="1"/>
  <c r="EH28" i="19"/>
  <c r="EI81" i="6"/>
  <c r="EJ78" i="6" s="1"/>
  <c r="EH95" i="5"/>
  <c r="EI64" i="6"/>
  <c r="EI69" i="6"/>
  <c r="EH20" i="19"/>
  <c r="EH14" i="19"/>
  <c r="EH19" i="19"/>
  <c r="EH25" i="19" l="1"/>
  <c r="EH30" i="19"/>
  <c r="EH31" i="19"/>
  <c r="EH123" i="5"/>
  <c r="EH124" i="5"/>
  <c r="EI70" i="6"/>
  <c r="EH125" i="5"/>
  <c r="EH126" i="5"/>
  <c r="AH80" i="16" l="1"/>
  <c r="EI89" i="6"/>
  <c r="EI71" i="6"/>
  <c r="EJ68" i="6" s="1"/>
  <c r="EI94" i="6" l="1"/>
  <c r="EI95" i="6" s="1"/>
  <c r="EI96" i="6" s="1"/>
  <c r="EJ93" i="6" s="1"/>
  <c r="EI90" i="6"/>
  <c r="EH113" i="5" s="1"/>
  <c r="EI99" i="6" l="1"/>
  <c r="EI100" i="6" s="1"/>
  <c r="EI101" i="6" s="1"/>
  <c r="EJ98" i="6" s="1"/>
  <c r="EI91" i="6"/>
  <c r="EJ88" i="6" s="1"/>
  <c r="EH110" i="5"/>
  <c r="EH39" i="19"/>
  <c r="EH286" i="11"/>
  <c r="EH287" i="11" s="1"/>
  <c r="EH54" i="19" l="1"/>
  <c r="EH57" i="19" s="1"/>
  <c r="EG39" i="15"/>
  <c r="EI284" i="11"/>
  <c r="EH41" i="19"/>
  <c r="EH36" i="19"/>
  <c r="EH42" i="19"/>
  <c r="EH49" i="19"/>
  <c r="EH48" i="19"/>
  <c r="EH67" i="5"/>
  <c r="EH120" i="5" s="1"/>
  <c r="EH122" i="5" s="1"/>
  <c r="EH129" i="5"/>
  <c r="EH131" i="5" s="1"/>
  <c r="EH130" i="5"/>
  <c r="EH56" i="19" l="1"/>
  <c r="EG16" i="15"/>
  <c r="EI121" i="5"/>
  <c r="EJ44" i="6"/>
  <c r="EH133" i="5"/>
  <c r="EH132"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I28" i="19"/>
  <c r="EJ81" i="6"/>
  <c r="EK78" i="6" s="1"/>
  <c r="EJ70" i="6"/>
  <c r="EJ71" i="6" s="1"/>
  <c r="EK68" i="6" s="1"/>
  <c r="EI98" i="5"/>
  <c r="EI17" i="19"/>
  <c r="EJ76" i="6"/>
  <c r="EK73" i="6" s="1"/>
  <c r="EI25" i="19" l="1"/>
  <c r="EI30" i="19"/>
  <c r="EI31" i="19"/>
  <c r="EI14" i="19"/>
  <c r="EI19" i="19"/>
  <c r="EI20" i="19"/>
  <c r="EI95" i="5"/>
  <c r="EJ89" i="6"/>
  <c r="EI100" i="5"/>
  <c r="EI126" i="5" l="1"/>
  <c r="EI125" i="5"/>
  <c r="EJ94" i="6"/>
  <c r="EJ90" i="6"/>
  <c r="EI124" i="5"/>
  <c r="EI123" i="5"/>
  <c r="EJ99" i="6" l="1"/>
  <c r="EJ95" i="6"/>
  <c r="EJ96" i="6" s="1"/>
  <c r="EK93" i="6" s="1"/>
  <c r="EI113" i="5"/>
  <c r="EJ91" i="6"/>
  <c r="EK88" i="6" s="1"/>
  <c r="EI110" i="5" l="1"/>
  <c r="EI39" i="19"/>
  <c r="EI286" i="11"/>
  <c r="EI287" i="11" s="1"/>
  <c r="EJ100" i="6"/>
  <c r="EJ101" i="6" s="1"/>
  <c r="EK98" i="6" s="1"/>
  <c r="EI54" i="19"/>
  <c r="EH39" i="15" l="1"/>
  <c r="EH38" i="15" s="1"/>
  <c r="EH34" i="15" s="1"/>
  <c r="EH40" i="15" s="1"/>
  <c r="EJ284" i="11"/>
  <c r="EI41" i="19"/>
  <c r="EI36" i="19"/>
  <c r="EI42" i="19"/>
  <c r="EI48" i="19"/>
  <c r="EI49" i="19"/>
  <c r="EI56" i="19"/>
  <c r="EI57" i="19"/>
  <c r="EI130" i="5"/>
  <c r="EI129" i="5"/>
  <c r="EI131" i="5" s="1"/>
  <c r="EI67" i="5"/>
  <c r="EI120" i="5" s="1"/>
  <c r="EI122" i="5" s="1"/>
  <c r="EK44" i="6" l="1"/>
  <c r="EH16" i="15"/>
  <c r="EH15" i="15" s="1"/>
  <c r="EH14" i="15" s="1"/>
  <c r="EH41" i="15" s="1"/>
  <c r="EJ121" i="5"/>
  <c r="EI133" i="5"/>
  <c r="EI132" i="5"/>
  <c r="EH42" i="15" l="1"/>
  <c r="EJ20" i="5"/>
  <c r="EK43" i="6"/>
  <c r="EK42" i="6" s="1"/>
  <c r="EK55" i="6" s="1"/>
  <c r="EK57" i="6" s="1"/>
  <c r="EJ285" i="11" l="1"/>
  <c r="EK62" i="6"/>
  <c r="EJ15" i="5"/>
  <c r="EJ14" i="5" s="1"/>
  <c r="EK66" i="6" s="1"/>
  <c r="EK75" i="6" l="1"/>
  <c r="EK80" i="6" s="1"/>
  <c r="EK64" i="6"/>
  <c r="EK69" i="6"/>
  <c r="EK70" i="6" l="1"/>
  <c r="EK71" i="6" s="1"/>
  <c r="EL68" i="6" s="1"/>
  <c r="EJ103" i="5"/>
  <c r="EJ28" i="19"/>
  <c r="EK81" i="6"/>
  <c r="EL78" i="6" s="1"/>
  <c r="EJ98" i="5"/>
  <c r="EJ17" i="19"/>
  <c r="EK76" i="6"/>
  <c r="EL73" i="6" s="1"/>
  <c r="EJ25" i="19" l="1"/>
  <c r="EJ30" i="19"/>
  <c r="EJ31" i="19"/>
  <c r="EJ19" i="19"/>
  <c r="EJ20" i="19"/>
  <c r="EJ14" i="19"/>
  <c r="EJ100" i="5"/>
  <c r="EJ95" i="5"/>
  <c r="EK89" i="6"/>
  <c r="EJ125" i="5" l="1"/>
  <c r="EJ126" i="5"/>
  <c r="EK94" i="6"/>
  <c r="EK90" i="6"/>
  <c r="EK91" i="6" s="1"/>
  <c r="EL88" i="6" s="1"/>
  <c r="EJ124" i="5"/>
  <c r="EJ123" i="5"/>
  <c r="EK99" i="6" l="1"/>
  <c r="EK95" i="6"/>
  <c r="EK96" i="6" s="1"/>
  <c r="EL93" i="6" s="1"/>
  <c r="EJ113" i="5"/>
  <c r="EK100" i="6" l="1"/>
  <c r="EK101" i="6" s="1"/>
  <c r="EL98" i="6" s="1"/>
  <c r="EJ54" i="19"/>
  <c r="EJ110" i="5"/>
  <c r="EJ39" i="19"/>
  <c r="EJ286" i="11"/>
  <c r="EJ287" i="11" s="1"/>
  <c r="EJ67" i="5" l="1"/>
  <c r="EJ120" i="5" s="1"/>
  <c r="EJ122" i="5" s="1"/>
  <c r="EJ129" i="5"/>
  <c r="EJ131" i="5" s="1"/>
  <c r="EJ130" i="5"/>
  <c r="EI39" i="15"/>
  <c r="EI38" i="15" s="1"/>
  <c r="EI34" i="15" s="1"/>
  <c r="EI40" i="15" s="1"/>
  <c r="EK284" i="11"/>
  <c r="EJ57" i="19"/>
  <c r="EJ56" i="19"/>
  <c r="EJ41" i="19"/>
  <c r="EJ42" i="19"/>
  <c r="EJ36" i="19"/>
  <c r="EJ49" i="19"/>
  <c r="EJ48" i="19"/>
  <c r="EJ133" i="5" l="1"/>
  <c r="EJ132"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K28" i="19"/>
  <c r="EL81" i="6"/>
  <c r="EM78" i="6" s="1"/>
  <c r="EK19" i="19"/>
  <c r="EK20" i="19"/>
  <c r="EK14" i="19"/>
  <c r="EL70" i="6"/>
  <c r="EK95" i="5"/>
  <c r="EL89" i="6" l="1"/>
  <c r="EK31" i="19"/>
  <c r="EK25" i="19"/>
  <c r="EK30" i="19"/>
  <c r="EK100" i="5"/>
  <c r="EK123" i="5"/>
  <c r="EK124" i="5"/>
  <c r="EL71" i="6"/>
  <c r="EM68" i="6" s="1"/>
  <c r="EK125" i="5" l="1"/>
  <c r="EK126" i="5"/>
  <c r="EL94" i="6"/>
  <c r="EL90" i="6"/>
  <c r="EL91" i="6" l="1"/>
  <c r="EM88" i="6" s="1"/>
  <c r="EK113" i="5"/>
  <c r="EL99" i="6"/>
  <c r="EL95" i="6"/>
  <c r="EL96" i="6" s="1"/>
  <c r="EM93" i="6" s="1"/>
  <c r="EK54" i="19" l="1"/>
  <c r="EL100" i="6"/>
  <c r="EL101" i="6" s="1"/>
  <c r="EM98" i="6" s="1"/>
  <c r="EK39" i="19"/>
  <c r="EK110" i="5"/>
  <c r="EK286" i="11"/>
  <c r="EK287" i="11" s="1"/>
  <c r="EK67" i="5" l="1"/>
  <c r="EK120" i="5" s="1"/>
  <c r="EK122" i="5" s="1"/>
  <c r="EK129" i="5"/>
  <c r="EK131" i="5" s="1"/>
  <c r="EK130" i="5"/>
  <c r="EK42" i="19"/>
  <c r="EK36" i="19"/>
  <c r="EK41" i="19"/>
  <c r="EK48" i="19"/>
  <c r="EK49" i="19"/>
  <c r="EJ39" i="15"/>
  <c r="EJ38" i="15" s="1"/>
  <c r="EJ34" i="15" s="1"/>
  <c r="EJ40" i="15" s="1"/>
  <c r="EL284" i="11"/>
  <c r="EK56" i="19"/>
  <c r="EK57" i="19"/>
  <c r="EK133" i="5" l="1"/>
  <c r="EK132"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L28" i="19"/>
  <c r="EM81" i="6"/>
  <c r="EN78" i="6" s="1"/>
  <c r="EL30" i="19" l="1"/>
  <c r="EL25" i="19"/>
  <c r="EL31" i="19"/>
  <c r="EM71" i="6"/>
  <c r="EN68" i="6" s="1"/>
  <c r="EM89" i="6"/>
  <c r="EL124" i="5"/>
  <c r="EL123" i="5"/>
  <c r="EL100" i="5"/>
  <c r="EL125" i="5" l="1"/>
  <c r="EL126" i="5"/>
  <c r="EM94" i="6"/>
  <c r="EM90" i="6"/>
  <c r="EM99" i="6" l="1"/>
  <c r="EM95" i="6"/>
  <c r="EM96" i="6" s="1"/>
  <c r="EN93" i="6" s="1"/>
  <c r="EM91" i="6"/>
  <c r="EN88" i="6" s="1"/>
  <c r="EL113" i="5"/>
  <c r="EL110" i="5" l="1"/>
  <c r="EL39" i="19"/>
  <c r="EL286" i="11"/>
  <c r="EL287" i="11" s="1"/>
  <c r="EM100" i="6"/>
  <c r="EM101" i="6" s="1"/>
  <c r="EN98" i="6" s="1"/>
  <c r="EL54" i="19"/>
  <c r="EM284" i="11" l="1"/>
  <c r="EK39" i="15"/>
  <c r="EK38" i="15" s="1"/>
  <c r="EK34" i="15" s="1"/>
  <c r="EK40" i="15" s="1"/>
  <c r="EL42" i="19"/>
  <c r="EL41" i="19"/>
  <c r="EL36" i="19"/>
  <c r="EL49" i="19"/>
  <c r="EL48" i="19"/>
  <c r="EL56" i="19"/>
  <c r="EL57" i="19"/>
  <c r="EL67" i="5"/>
  <c r="EL120" i="5" s="1"/>
  <c r="EL122" i="5" s="1"/>
  <c r="EL130" i="5"/>
  <c r="EL129" i="5"/>
  <c r="EL131" i="5" s="1"/>
  <c r="EL133" i="5" l="1"/>
  <c r="EL132"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M28" i="19"/>
  <c r="EN81" i="6"/>
  <c r="EO78" i="6" s="1"/>
  <c r="EM123" i="5" l="1"/>
  <c r="EM124" i="5"/>
  <c r="EM25" i="19"/>
  <c r="EM30" i="19"/>
  <c r="EM31" i="19"/>
  <c r="EN71" i="6"/>
  <c r="EO68" i="6" s="1"/>
  <c r="EN89" i="6"/>
  <c r="EM100" i="5"/>
  <c r="EM126" i="5" l="1"/>
  <c r="EM125" i="5"/>
  <c r="EN94" i="6"/>
  <c r="EN90" i="6"/>
  <c r="EN91" i="6" s="1"/>
  <c r="EO88" i="6" s="1"/>
  <c r="EM113" i="5" l="1"/>
  <c r="EN99" i="6"/>
  <c r="EN95" i="6"/>
  <c r="EN96" i="6" s="1"/>
  <c r="EO93" i="6" s="1"/>
  <c r="EM110" i="5" l="1"/>
  <c r="EM39" i="19"/>
  <c r="EM286" i="11"/>
  <c r="EM287" i="11" s="1"/>
  <c r="EN100" i="6"/>
  <c r="EN101" i="6" s="1"/>
  <c r="EO98" i="6" s="1"/>
  <c r="EM54" i="19"/>
  <c r="EL39" i="15" l="1"/>
  <c r="EL38" i="15" s="1"/>
  <c r="EL34" i="15" s="1"/>
  <c r="EL40" i="15" s="1"/>
  <c r="EN284" i="11"/>
  <c r="EM56" i="19"/>
  <c r="EM57" i="19"/>
  <c r="EM41" i="19"/>
  <c r="EM42" i="19"/>
  <c r="EM36" i="19"/>
  <c r="EM48" i="19"/>
  <c r="EM49" i="19"/>
  <c r="EM129" i="5"/>
  <c r="EM131" i="5" s="1"/>
  <c r="EM130" i="5"/>
  <c r="EM67" i="5"/>
  <c r="EM120" i="5" s="1"/>
  <c r="EM122" i="5" s="1"/>
  <c r="EO44" i="6" l="1"/>
  <c r="EN121" i="5"/>
  <c r="EL16" i="15"/>
  <c r="EL15" i="15" s="1"/>
  <c r="EL14" i="15" s="1"/>
  <c r="EL41" i="15" s="1"/>
  <c r="EM133" i="5"/>
  <c r="EM132"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N28" i="19"/>
  <c r="EO81" i="6"/>
  <c r="EP78" i="6" s="1"/>
  <c r="EO64" i="6"/>
  <c r="EO69" i="6"/>
  <c r="EO70" i="6" s="1"/>
  <c r="EN95" i="5"/>
  <c r="EO71" i="6" l="1"/>
  <c r="EP68" i="6" s="1"/>
  <c r="AI80" i="16"/>
  <c r="EO89" i="6"/>
  <c r="EN25" i="19"/>
  <c r="EN30" i="19"/>
  <c r="EN31" i="19"/>
  <c r="EN126" i="5"/>
  <c r="EN125" i="5"/>
  <c r="EN124" i="5"/>
  <c r="EN123" i="5"/>
  <c r="EO94" i="6" l="1"/>
  <c r="EO95" i="6" s="1"/>
  <c r="EO96" i="6" s="1"/>
  <c r="EP93" i="6" s="1"/>
  <c r="EO90" i="6"/>
  <c r="EN113" i="5" s="1"/>
  <c r="EO99" i="6" l="1"/>
  <c r="EN54" i="19" s="1"/>
  <c r="EN110" i="5"/>
  <c r="EN39" i="19"/>
  <c r="EN286" i="11"/>
  <c r="EN287" i="11" s="1"/>
  <c r="EO91" i="6"/>
  <c r="EP88" i="6" s="1"/>
  <c r="EO100" i="6" l="1"/>
  <c r="EO101" i="6" s="1"/>
  <c r="EP98" i="6" s="1"/>
  <c r="EM39" i="15"/>
  <c r="EO284" i="11"/>
  <c r="EN42" i="19"/>
  <c r="EN36" i="19"/>
  <c r="EN41" i="19"/>
  <c r="EN48" i="19"/>
  <c r="EN49" i="19"/>
  <c r="EN57" i="19"/>
  <c r="EN56" i="19"/>
  <c r="EN67" i="5"/>
  <c r="EN120" i="5" s="1"/>
  <c r="EN122" i="5" s="1"/>
  <c r="EN129" i="5"/>
  <c r="EN131" i="5" s="1"/>
  <c r="EN130" i="5"/>
  <c r="EP44" i="6" l="1"/>
  <c r="EM16" i="15"/>
  <c r="EO121" i="5"/>
  <c r="AG34" i="18"/>
  <c r="AG33" i="18" s="1"/>
  <c r="AG29" i="18" s="1"/>
  <c r="AG35" i="18" s="1"/>
  <c r="EM38" i="15"/>
  <c r="EM34" i="15" s="1"/>
  <c r="EM40" i="15" s="1"/>
  <c r="EN133" i="5"/>
  <c r="EN132"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O28" i="19"/>
  <c r="EP81" i="6"/>
  <c r="EQ78" i="6" s="1"/>
  <c r="EP71" i="6"/>
  <c r="EQ68" i="6" s="1"/>
  <c r="EO20" i="19"/>
  <c r="EO14" i="19"/>
  <c r="EO19" i="19"/>
  <c r="EO95" i="5"/>
  <c r="EO30" i="19" l="1"/>
  <c r="EO31" i="19"/>
  <c r="EO25" i="19"/>
  <c r="EO123" i="5"/>
  <c r="EO124" i="5"/>
  <c r="EO100" i="5"/>
  <c r="EP94" i="6"/>
  <c r="EP90" i="6"/>
  <c r="EP99" i="6" l="1"/>
  <c r="EP95" i="6"/>
  <c r="EP96" i="6" s="1"/>
  <c r="EQ93" i="6" s="1"/>
  <c r="EP91" i="6"/>
  <c r="EQ88" i="6" s="1"/>
  <c r="EO113" i="5"/>
  <c r="EO125" i="5"/>
  <c r="EO126" i="5"/>
  <c r="EO110" i="5" l="1"/>
  <c r="EO39" i="19"/>
  <c r="EO286" i="11"/>
  <c r="EO287" i="11" s="1"/>
  <c r="EP100" i="6"/>
  <c r="EP101" i="6" s="1"/>
  <c r="EQ98" i="6" s="1"/>
  <c r="EO54" i="19"/>
  <c r="EO42" i="19" l="1"/>
  <c r="EO36" i="19"/>
  <c r="EO41" i="19"/>
  <c r="EO48" i="19"/>
  <c r="EO49" i="19"/>
  <c r="EO56" i="19"/>
  <c r="EO57" i="19"/>
  <c r="EP284" i="11"/>
  <c r="EN39" i="15"/>
  <c r="EN38" i="15" s="1"/>
  <c r="EN34" i="15" s="1"/>
  <c r="EN40" i="15" s="1"/>
  <c r="EO67" i="5"/>
  <c r="EO120" i="5" s="1"/>
  <c r="EO122" i="5" s="1"/>
  <c r="EO130" i="5"/>
  <c r="EO129" i="5"/>
  <c r="EO131" i="5" s="1"/>
  <c r="EO133" i="5" l="1"/>
  <c r="EO132"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P28" i="19"/>
  <c r="EQ81" i="6"/>
  <c r="ER78" i="6" s="1"/>
  <c r="EP25" i="19" l="1"/>
  <c r="EP31" i="19"/>
  <c r="EP30" i="19"/>
  <c r="EQ89" i="6"/>
  <c r="EP100" i="5"/>
  <c r="EP123" i="5"/>
  <c r="EP124" i="5"/>
  <c r="EQ94" i="6" l="1"/>
  <c r="EQ90" i="6"/>
  <c r="EP125" i="5"/>
  <c r="EP126" i="5"/>
  <c r="EQ91" i="6" l="1"/>
  <c r="ER88" i="6" s="1"/>
  <c r="EP113" i="5"/>
  <c r="EQ99" i="6"/>
  <c r="EQ95" i="6"/>
  <c r="EQ96" i="6" s="1"/>
  <c r="ER93" i="6" s="1"/>
  <c r="EP110" i="5" l="1"/>
  <c r="EP39" i="19"/>
  <c r="EP286" i="11"/>
  <c r="EP287" i="11" s="1"/>
  <c r="EP54" i="19"/>
  <c r="EQ100" i="6"/>
  <c r="EQ101" i="6" s="1"/>
  <c r="ER98" i="6" s="1"/>
  <c r="EP41" i="19" l="1"/>
  <c r="EP42" i="19"/>
  <c r="EP36" i="19"/>
  <c r="EP48" i="19"/>
  <c r="EP49" i="19"/>
  <c r="EP57" i="19"/>
  <c r="EP56" i="19"/>
  <c r="EO39" i="15"/>
  <c r="EO38" i="15" s="1"/>
  <c r="EO34" i="15" s="1"/>
  <c r="EO40" i="15" s="1"/>
  <c r="EQ284" i="11"/>
  <c r="EP130" i="5"/>
  <c r="EP129" i="5"/>
  <c r="EP131" i="5" s="1"/>
  <c r="EP67" i="5"/>
  <c r="EP120" i="5" s="1"/>
  <c r="EP122" i="5" s="1"/>
  <c r="EO16" i="15" l="1"/>
  <c r="EO15" i="15" s="1"/>
  <c r="EO14" i="15" s="1"/>
  <c r="EO41" i="15" s="1"/>
  <c r="EQ121" i="5"/>
  <c r="ER44" i="6"/>
  <c r="EP133" i="5"/>
  <c r="EP132"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5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G813" i="32" l="1"/>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K56" i="16"/>
  <c r="G807" i="32"/>
  <c r="Z72" i="1"/>
  <c r="Z75" i="1"/>
  <c r="Z78" i="1"/>
  <c r="Z81" i="1"/>
  <c r="L922" i="32"/>
  <c r="L923" i="32" s="1"/>
  <c r="L907" i="32"/>
  <c r="C922" i="32"/>
  <c r="M906" i="32"/>
  <c r="C907" i="32"/>
  <c r="D806" i="32"/>
  <c r="G806" i="32" s="1"/>
  <c r="D914" i="32"/>
  <c r="G815" i="32"/>
  <c r="EQ20" i="19"/>
  <c r="EQ14" i="19"/>
  <c r="EQ19" i="19"/>
  <c r="J17" i="19"/>
  <c r="O68" i="19"/>
  <c r="O69" i="19"/>
  <c r="O70" i="19"/>
  <c r="O71" i="19"/>
  <c r="O72" i="19"/>
  <c r="O73" i="19"/>
  <c r="O74" i="19"/>
  <c r="O75" i="19"/>
  <c r="O76" i="19"/>
  <c r="O77" i="19"/>
  <c r="O78" i="19"/>
  <c r="O79" i="19"/>
  <c r="O80" i="19"/>
  <c r="O81" i="19"/>
  <c r="O82" i="19"/>
  <c r="O83" i="19"/>
  <c r="O84" i="19"/>
  <c r="O85" i="19"/>
  <c r="O86" i="19"/>
  <c r="O8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EQ28" i="19"/>
  <c r="K80" i="6"/>
  <c r="ER81" i="6"/>
  <c r="D818" i="32"/>
  <c r="G818" i="32" s="1"/>
  <c r="J914" i="32"/>
  <c r="G805" i="32"/>
  <c r="G819" i="32"/>
  <c r="G809" i="32"/>
  <c r="G823" i="32"/>
  <c r="D907" i="32"/>
  <c r="D922" i="32"/>
  <c r="D923" i="32" s="1"/>
  <c r="F922" i="32"/>
  <c r="F923" i="32" s="1"/>
  <c r="F907" i="32"/>
  <c r="K60" i="16" l="1"/>
  <c r="D140" i="21"/>
  <c r="F140" i="21" s="1"/>
  <c r="Q80" i="19"/>
  <c r="G140" i="21" s="1"/>
  <c r="Q85" i="19"/>
  <c r="G145" i="21" s="1"/>
  <c r="D145" i="21"/>
  <c r="F145" i="21" s="1"/>
  <c r="D141" i="21"/>
  <c r="F141" i="21" s="1"/>
  <c r="Q81" i="19"/>
  <c r="G141" i="21" s="1"/>
  <c r="Q77" i="19"/>
  <c r="G137" i="21" s="1"/>
  <c r="D137" i="21"/>
  <c r="F137" i="21" s="1"/>
  <c r="D133" i="21"/>
  <c r="F133" i="21" s="1"/>
  <c r="Q73" i="19"/>
  <c r="G133" i="21" s="1"/>
  <c r="D129" i="21"/>
  <c r="F129" i="21" s="1"/>
  <c r="Q6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Y76" i="1"/>
  <c r="G195" i="32"/>
  <c r="O90" i="26"/>
  <c r="O90" i="17"/>
  <c r="G756" i="32"/>
  <c r="D28" i="21"/>
  <c r="F28" i="21" s="1"/>
  <c r="F249" i="32"/>
  <c r="G44" i="1"/>
  <c r="G28" i="21" s="1"/>
  <c r="M90" i="17"/>
  <c r="E756" i="32"/>
  <c r="J93" i="17"/>
  <c r="J90" i="17" s="1"/>
  <c r="EQ123" i="5"/>
  <c r="EQ124"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7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9" i="1" s="1"/>
  <c r="C51" i="21" s="1"/>
  <c r="G66" i="1"/>
  <c r="E236" i="32" s="1"/>
  <c r="C952" i="32" s="1"/>
  <c r="I952" i="32" s="1"/>
  <c r="J95" i="5"/>
  <c r="G65" i="1"/>
  <c r="Q76" i="19"/>
  <c r="G136" i="21" s="1"/>
  <c r="D136" i="21"/>
  <c r="F136" i="21" s="1"/>
  <c r="I19" i="19"/>
  <c r="Q91" i="19" s="1"/>
  <c r="J19" i="19"/>
  <c r="M922" i="32"/>
  <c r="C923" i="32"/>
  <c r="M923" i="32" s="1"/>
  <c r="C939" i="32" s="1"/>
  <c r="C940" i="32" s="1"/>
  <c r="AI119" i="17"/>
  <c r="AI118" i="17"/>
  <c r="AD119" i="17"/>
  <c r="AD118" i="17"/>
  <c r="AF79" i="1"/>
  <c r="AF80" i="1" s="1"/>
  <c r="AF77" i="1"/>
  <c r="EQ30" i="19"/>
  <c r="EQ31" i="19"/>
  <c r="EQ25" i="19"/>
  <c r="J28" i="19"/>
  <c r="S68" i="19"/>
  <c r="S69" i="19"/>
  <c r="U69" i="19" s="1"/>
  <c r="S70" i="19"/>
  <c r="U70" i="19" s="1"/>
  <c r="S71" i="19"/>
  <c r="U71" i="19" s="1"/>
  <c r="S72" i="19"/>
  <c r="U72" i="19" s="1"/>
  <c r="S73" i="19"/>
  <c r="U73" i="19" s="1"/>
  <c r="S74" i="19"/>
  <c r="U74" i="19" s="1"/>
  <c r="S75" i="19"/>
  <c r="U75" i="19" s="1"/>
  <c r="S76" i="19"/>
  <c r="U76" i="19" s="1"/>
  <c r="S77" i="19"/>
  <c r="U77" i="19" s="1"/>
  <c r="S78" i="19"/>
  <c r="U78" i="19" s="1"/>
  <c r="S79" i="19"/>
  <c r="U79" i="19" s="1"/>
  <c r="S80" i="19"/>
  <c r="U80" i="19" s="1"/>
  <c r="S81" i="19"/>
  <c r="U81" i="19" s="1"/>
  <c r="S82" i="19"/>
  <c r="U82" i="19" s="1"/>
  <c r="S83" i="19"/>
  <c r="U83" i="19" s="1"/>
  <c r="S84" i="19"/>
  <c r="U84" i="19" s="1"/>
  <c r="S85" i="19"/>
  <c r="U85" i="19" s="1"/>
  <c r="S86" i="19"/>
  <c r="U86" i="19" s="1"/>
  <c r="S87" i="19"/>
  <c r="U87" i="19" s="1"/>
  <c r="C170" i="32"/>
  <c r="N600" i="32"/>
  <c r="O600" i="32" s="1"/>
  <c r="E155" i="32"/>
  <c r="D143" i="21"/>
  <c r="F143" i="21" s="1"/>
  <c r="Q83" i="19"/>
  <c r="G143" i="21" s="1"/>
  <c r="D135" i="21"/>
  <c r="F135" i="21" s="1"/>
  <c r="Q75" i="19"/>
  <c r="G135" i="21" s="1"/>
  <c r="D131" i="21"/>
  <c r="F131" i="21" s="1"/>
  <c r="Q7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84" i="19"/>
  <c r="G144" i="21" s="1"/>
  <c r="Q68" i="19"/>
  <c r="G128" i="21" s="1"/>
  <c r="D128" i="21"/>
  <c r="O88" i="19"/>
  <c r="AG118" i="17"/>
  <c r="AG119" i="17"/>
  <c r="AH79" i="1"/>
  <c r="AH80" i="1" s="1"/>
  <c r="AH77" i="1"/>
  <c r="D40" i="21"/>
  <c r="F40" i="21" s="1"/>
  <c r="F261" i="32"/>
  <c r="G56" i="1"/>
  <c r="G40" i="21" s="1"/>
  <c r="R403" i="32"/>
  <c r="F403" i="32" s="1"/>
  <c r="X403" i="32"/>
  <c r="D147" i="21"/>
  <c r="F147" i="21" s="1"/>
  <c r="Q87" i="19"/>
  <c r="G147" i="21" s="1"/>
  <c r="D139" i="21"/>
  <c r="F139" i="21" s="1"/>
  <c r="Q7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86" i="19"/>
  <c r="G146" i="21" s="1"/>
  <c r="D142" i="21"/>
  <c r="F142" i="21" s="1"/>
  <c r="Q82" i="19"/>
  <c r="G142" i="21" s="1"/>
  <c r="D138" i="21"/>
  <c r="F138" i="21" s="1"/>
  <c r="Q78" i="19"/>
  <c r="G138" i="21" s="1"/>
  <c r="Q74" i="19"/>
  <c r="G134" i="21" s="1"/>
  <c r="D134" i="21"/>
  <c r="F134" i="21" s="1"/>
  <c r="D130" i="21"/>
  <c r="F130" i="21" s="1"/>
  <c r="Q7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N62" i="16" l="1"/>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3" i="5"/>
  <c r="I123"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T95" i="26"/>
  <c r="L196" i="32"/>
  <c r="W121" i="17"/>
  <c r="W120" i="17"/>
  <c r="K36" i="21"/>
  <c r="M36" i="21" s="1"/>
  <c r="F283" i="32"/>
  <c r="K52" i="1"/>
  <c r="N36" i="21" s="1"/>
  <c r="T121" i="17"/>
  <c r="T120" i="17"/>
  <c r="P95" i="26"/>
  <c r="H196" i="32"/>
  <c r="Q121" i="17"/>
  <c r="Q120" i="17"/>
  <c r="N95" i="26"/>
  <c r="F196" i="32"/>
  <c r="F275" i="32"/>
  <c r="K44" i="1"/>
  <c r="N28" i="21" s="1"/>
  <c r="K28" i="21"/>
  <c r="M28" i="21" s="1"/>
  <c r="K43" i="1"/>
  <c r="N27" i="21" s="1"/>
  <c r="K27" i="21"/>
  <c r="F274" i="32"/>
  <c r="I63" i="1"/>
  <c r="AF79" i="21"/>
  <c r="M403" i="32"/>
  <c r="H403" i="32"/>
  <c r="L403" i="32"/>
  <c r="D403" i="32"/>
  <c r="Q93" i="19"/>
  <c r="O89" i="19"/>
  <c r="Q90" i="19"/>
  <c r="C150" i="21"/>
  <c r="I31" i="19"/>
  <c r="U92" i="19" s="1"/>
  <c r="J31" i="19"/>
  <c r="C49" i="21"/>
  <c r="C236" i="32"/>
  <c r="C963" i="32" s="1"/>
  <c r="F27" i="21"/>
  <c r="F47" i="21" s="1"/>
  <c r="D47" i="21"/>
  <c r="N118" i="26"/>
  <c r="N119" i="26"/>
  <c r="L253" i="32"/>
  <c r="D253" i="32"/>
  <c r="M253" i="32"/>
  <c r="H253" i="32"/>
  <c r="P118" i="26"/>
  <c r="P119" i="26"/>
  <c r="H249" i="32"/>
  <c r="L249" i="32"/>
  <c r="D249" i="32"/>
  <c r="M249" i="32"/>
  <c r="O118" i="26"/>
  <c r="O119" i="26"/>
  <c r="AB80" i="1"/>
  <c r="Y79" i="1"/>
  <c r="H265" i="32"/>
  <c r="L265" i="32"/>
  <c r="M265" i="32"/>
  <c r="D265" i="32"/>
  <c r="V118" i="26"/>
  <c r="V119" i="26"/>
  <c r="AH120" i="17"/>
  <c r="AH121" i="17"/>
  <c r="AD120" i="17"/>
  <c r="AD121" i="17"/>
  <c r="AA121" i="17"/>
  <c r="AA120" i="17"/>
  <c r="K38" i="21"/>
  <c r="M38" i="21" s="1"/>
  <c r="F285" i="32"/>
  <c r="K54" i="1"/>
  <c r="N38" i="21" s="1"/>
  <c r="Q95" i="26"/>
  <c r="I196" i="32"/>
  <c r="K47" i="1"/>
  <c r="N31" i="21" s="1"/>
  <c r="K31" i="21"/>
  <c r="M31" i="21" s="1"/>
  <c r="F278" i="32"/>
  <c r="N95" i="17"/>
  <c r="F757" i="32"/>
  <c r="EQ126" i="5"/>
  <c r="EQ125" i="5"/>
  <c r="M254" i="32"/>
  <c r="D254" i="32"/>
  <c r="H254" i="32"/>
  <c r="L254" i="32"/>
  <c r="C716" i="32"/>
  <c r="L256" i="32"/>
  <c r="M256" i="32"/>
  <c r="H256" i="32"/>
  <c r="D256" i="32"/>
  <c r="AE121" i="17"/>
  <c r="AE120" i="17"/>
  <c r="K42" i="21"/>
  <c r="M42" i="21" s="1"/>
  <c r="F289" i="32"/>
  <c r="K58" i="1"/>
  <c r="N42" i="21" s="1"/>
  <c r="K39" i="21"/>
  <c r="M39" i="21" s="1"/>
  <c r="F286" i="32"/>
  <c r="K55" i="1"/>
  <c r="N39" i="21" s="1"/>
  <c r="M119" i="26"/>
  <c r="M118" i="26"/>
  <c r="D251" i="32"/>
  <c r="L251" i="32"/>
  <c r="M251" i="32"/>
  <c r="H251" i="32"/>
  <c r="L255" i="32"/>
  <c r="M255" i="32"/>
  <c r="H255" i="32"/>
  <c r="D255" i="32"/>
  <c r="X121" i="26"/>
  <c r="X120" i="26"/>
  <c r="K61" i="1"/>
  <c r="N45" i="21" s="1"/>
  <c r="K45" i="21"/>
  <c r="M45" i="21" s="1"/>
  <c r="F292" i="32"/>
  <c r="AB120" i="17"/>
  <c r="AB121" i="17"/>
  <c r="S95" i="26"/>
  <c r="K196" i="32"/>
  <c r="R95" i="26"/>
  <c r="J196" i="32"/>
  <c r="F282" i="32"/>
  <c r="K51" i="1"/>
  <c r="N35" i="21" s="1"/>
  <c r="K35" i="21"/>
  <c r="M35" i="21" s="1"/>
  <c r="K34" i="21"/>
  <c r="M34" i="21" s="1"/>
  <c r="F281" i="32"/>
  <c r="K50" i="1"/>
  <c r="N34" i="21" s="1"/>
  <c r="R121" i="17"/>
  <c r="R120" i="17"/>
  <c r="O95" i="26"/>
  <c r="G196" i="32"/>
  <c r="K45" i="1"/>
  <c r="N29" i="21" s="1"/>
  <c r="K29" i="21"/>
  <c r="M29" i="21" s="1"/>
  <c r="F276" i="32"/>
  <c r="G804" i="32"/>
  <c r="D824" i="32"/>
  <c r="L260" i="32"/>
  <c r="M260" i="32"/>
  <c r="D260" i="32"/>
  <c r="H260" i="32"/>
  <c r="T118" i="26"/>
  <c r="T119" i="26"/>
  <c r="M266" i="32"/>
  <c r="D266" i="32"/>
  <c r="H266" i="32"/>
  <c r="L266" i="32"/>
  <c r="U68" i="19"/>
  <c r="S88" i="19"/>
  <c r="I30" i="19"/>
  <c r="U91" i="19" s="1"/>
  <c r="J30" i="19"/>
  <c r="L258" i="32"/>
  <c r="M258" i="32"/>
  <c r="D258" i="32"/>
  <c r="H258" i="32"/>
  <c r="ER94" i="6"/>
  <c r="ER99" i="6" s="1"/>
  <c r="K89" i="6"/>
  <c r="N70" i="16"/>
  <c r="O70" i="16"/>
  <c r="P70" i="16"/>
  <c r="Q70" i="16"/>
  <c r="R70" i="16"/>
  <c r="S70" i="16"/>
  <c r="T70" i="16"/>
  <c r="U70" i="16"/>
  <c r="V70" i="16"/>
  <c r="W70" i="16"/>
  <c r="X70" i="16"/>
  <c r="Y70" i="16"/>
  <c r="Z70" i="16"/>
  <c r="AA70" i="16"/>
  <c r="AB70" i="16"/>
  <c r="AC70" i="16"/>
  <c r="AD70" i="16"/>
  <c r="AE70" i="16"/>
  <c r="AF70" i="16"/>
  <c r="AG70" i="16"/>
  <c r="AH70" i="16"/>
  <c r="AI70" i="16"/>
  <c r="AJ70" i="16"/>
  <c r="ER90" i="6"/>
  <c r="C756" i="32"/>
  <c r="R118" i="26"/>
  <c r="R119" i="26"/>
  <c r="L264" i="32"/>
  <c r="M264" i="32"/>
  <c r="D264" i="32"/>
  <c r="H264" i="32"/>
  <c r="C151" i="21"/>
  <c r="Q92" i="19"/>
  <c r="AG121" i="17"/>
  <c r="AG120" i="17"/>
  <c r="U95" i="26"/>
  <c r="M196" i="32"/>
  <c r="K40" i="21"/>
  <c r="M40" i="21" s="1"/>
  <c r="F287" i="32"/>
  <c r="K56" i="1"/>
  <c r="N40" i="21" s="1"/>
  <c r="C195" i="32"/>
  <c r="N625" i="32"/>
  <c r="O625" i="32" s="1"/>
  <c r="U119" i="26"/>
  <c r="U118" i="26"/>
  <c r="AI120" i="17"/>
  <c r="AI121" i="17"/>
  <c r="F293" i="32"/>
  <c r="K62" i="1"/>
  <c r="N46" i="21" s="1"/>
  <c r="K46" i="21"/>
  <c r="M46" i="21" s="1"/>
  <c r="N196" i="32"/>
  <c r="V95" i="26"/>
  <c r="K59" i="1"/>
  <c r="N43" i="21" s="1"/>
  <c r="K43" i="21"/>
  <c r="M43" i="21" s="1"/>
  <c r="F290" i="32"/>
  <c r="K57" i="1"/>
  <c r="N41" i="21" s="1"/>
  <c r="K41" i="21"/>
  <c r="M41" i="21" s="1"/>
  <c r="F288" i="32"/>
  <c r="Z120" i="17"/>
  <c r="Z121" i="17"/>
  <c r="X120" i="17"/>
  <c r="X121" i="17"/>
  <c r="F284" i="32"/>
  <c r="K53" i="1"/>
  <c r="N37" i="21" s="1"/>
  <c r="K37" i="21"/>
  <c r="M37" i="21" s="1"/>
  <c r="U121" i="17"/>
  <c r="U120" i="17"/>
  <c r="K49" i="1"/>
  <c r="N33" i="21" s="1"/>
  <c r="K33" i="21"/>
  <c r="M33" i="21" s="1"/>
  <c r="F280" i="32"/>
  <c r="K48" i="1"/>
  <c r="N32" i="21" s="1"/>
  <c r="K32" i="21"/>
  <c r="M32" i="21" s="1"/>
  <c r="F279" i="32"/>
  <c r="F277" i="32"/>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J25" i="19"/>
  <c r="H30" i="19"/>
  <c r="U90" i="19" s="1"/>
  <c r="L248" i="32"/>
  <c r="M248" i="32"/>
  <c r="D248" i="32"/>
  <c r="H248" i="32"/>
  <c r="F268" i="32"/>
  <c r="I124" i="5"/>
  <c r="G68" i="1" s="1"/>
  <c r="J124" i="5"/>
  <c r="M119" i="17"/>
  <c r="M118" i="17"/>
  <c r="I963" i="32" l="1"/>
  <c r="C977" i="32"/>
  <c r="I977" i="32" s="1"/>
  <c r="M268" i="32"/>
  <c r="EQ5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1" i="16"/>
  <c r="N72" i="16" s="1"/>
  <c r="O69" i="16" s="1"/>
  <c r="O71" i="16"/>
  <c r="P71" i="16"/>
  <c r="Q71" i="16"/>
  <c r="R71" i="16"/>
  <c r="S71" i="16"/>
  <c r="T71" i="16"/>
  <c r="U71" i="16"/>
  <c r="V71" i="16"/>
  <c r="W71" i="16"/>
  <c r="X71" i="16"/>
  <c r="Y71" i="16"/>
  <c r="Z71" i="16"/>
  <c r="AA71" i="16"/>
  <c r="AB71" i="16"/>
  <c r="AC71" i="16"/>
  <c r="AD71" i="16"/>
  <c r="AE71" i="16"/>
  <c r="AF71" i="16"/>
  <c r="AG71" i="16"/>
  <c r="AH71" i="16"/>
  <c r="AI71" i="16"/>
  <c r="AJ71"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79" i="21"/>
  <c r="AI79" i="21"/>
  <c r="P120" i="17"/>
  <c r="P121" i="17"/>
  <c r="J118" i="26"/>
  <c r="I118" i="26"/>
  <c r="J125" i="5"/>
  <c r="I125"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0" i="16"/>
  <c r="U93" i="19"/>
  <c r="S89" i="19"/>
  <c r="L276" i="32"/>
  <c r="D276" i="32"/>
  <c r="H276" i="32"/>
  <c r="M276" i="32"/>
  <c r="O121" i="26"/>
  <c r="O120" i="26"/>
  <c r="D281" i="32"/>
  <c r="L281" i="32"/>
  <c r="H281" i="32"/>
  <c r="M281" i="32"/>
  <c r="H282" i="32"/>
  <c r="M282" i="32"/>
  <c r="L282" i="32"/>
  <c r="D282" i="32"/>
  <c r="S121" i="26"/>
  <c r="S120" i="26"/>
  <c r="I119" i="26"/>
  <c r="J119" i="26"/>
  <c r="I126" i="5"/>
  <c r="K68" i="1" s="1"/>
  <c r="J126" i="5"/>
  <c r="K65" i="1"/>
  <c r="K66" i="1"/>
  <c r="E237" i="32" s="1"/>
  <c r="C953" i="32" s="1"/>
  <c r="I953" i="32" s="1"/>
  <c r="K69" i="1"/>
  <c r="J51" i="21" s="1"/>
  <c r="W9" i="21" s="1"/>
  <c r="N121" i="26"/>
  <c r="N120" i="26"/>
  <c r="P121" i="26"/>
  <c r="P120" i="26"/>
  <c r="M283" i="32"/>
  <c r="D283" i="32"/>
  <c r="H283" i="32"/>
  <c r="L283" i="32"/>
  <c r="G826" i="32" l="1"/>
  <c r="O72" i="16"/>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3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1" i="16"/>
  <c r="J121" i="26"/>
  <c r="I121" i="26"/>
  <c r="I294" i="32"/>
  <c r="H294" i="32"/>
  <c r="EQ56" i="19"/>
  <c r="EQ57" i="19"/>
  <c r="J54" i="19"/>
  <c r="V60" i="21"/>
  <c r="J50" i="21"/>
  <c r="W8" i="21" s="1"/>
  <c r="F237" i="32"/>
  <c r="BD63" i="1"/>
  <c r="M404" i="32"/>
  <c r="AF80" i="21"/>
  <c r="L404" i="32"/>
  <c r="D404" i="32"/>
  <c r="H404" i="32"/>
  <c r="D294" i="32"/>
  <c r="D295" i="32" s="1"/>
  <c r="I964" i="32" l="1"/>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42" i="19"/>
  <c r="EQ36" i="19"/>
  <c r="EQ41" i="19"/>
  <c r="J39" i="19"/>
  <c r="W68" i="19"/>
  <c r="W69" i="19"/>
  <c r="W70" i="19"/>
  <c r="W71" i="19"/>
  <c r="W72" i="19"/>
  <c r="W73" i="19"/>
  <c r="W74" i="19"/>
  <c r="W75" i="19"/>
  <c r="W76" i="19"/>
  <c r="W77" i="19"/>
  <c r="W78" i="19"/>
  <c r="W79" i="19"/>
  <c r="W80" i="19"/>
  <c r="W81" i="19"/>
  <c r="W82" i="19"/>
  <c r="W83" i="19"/>
  <c r="W84" i="19"/>
  <c r="W85" i="19"/>
  <c r="W86" i="19"/>
  <c r="W87" i="19"/>
  <c r="EQ49" i="19"/>
  <c r="EQ48" i="19"/>
  <c r="F839" i="32"/>
  <c r="P804" i="32"/>
  <c r="S405" i="32"/>
  <c r="P406" i="32" s="1"/>
  <c r="I57" i="19"/>
  <c r="AR119" i="1" s="1"/>
  <c r="J5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30" i="5"/>
  <c r="EQ129" i="5"/>
  <c r="D839" i="32"/>
  <c r="O804" i="32"/>
  <c r="AQ95" i="1"/>
  <c r="AP115" i="1"/>
  <c r="BD72" i="1"/>
  <c r="BD82" i="1"/>
  <c r="AN44" i="1" s="1"/>
  <c r="AC124" i="17"/>
  <c r="AC125" i="17"/>
  <c r="AC62" i="17"/>
  <c r="AC115" i="17" s="1"/>
  <c r="K79" i="1"/>
  <c r="N85" i="21" s="1"/>
  <c r="K85" i="21"/>
  <c r="M85" i="21" s="1"/>
  <c r="F331" i="32"/>
  <c r="I56" i="19"/>
  <c r="AR118" i="1" s="1"/>
  <c r="J5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81"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49" i="5"/>
  <c r="H151" i="5" s="1"/>
  <c r="AH80" i="21"/>
  <c r="AI80"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G839" i="32" l="1"/>
  <c r="E879" i="32"/>
  <c r="Y86" i="19"/>
  <c r="N146" i="21" s="1"/>
  <c r="K146" i="21"/>
  <c r="M146" i="21" s="1"/>
  <c r="AA86" i="19"/>
  <c r="AC86" i="19" s="1"/>
  <c r="K142" i="21"/>
  <c r="M142" i="21" s="1"/>
  <c r="Y82" i="19"/>
  <c r="N142" i="21" s="1"/>
  <c r="AA82" i="19"/>
  <c r="AC82" i="19" s="1"/>
  <c r="K138" i="21"/>
  <c r="M138" i="21" s="1"/>
  <c r="Y78" i="19"/>
  <c r="N138" i="21" s="1"/>
  <c r="AA78" i="19"/>
  <c r="AC78" i="19" s="1"/>
  <c r="K134" i="21"/>
  <c r="M134" i="21" s="1"/>
  <c r="Y74" i="19"/>
  <c r="N134" i="21" s="1"/>
  <c r="AA74" i="19"/>
  <c r="AC74" i="19" s="1"/>
  <c r="K130" i="21"/>
  <c r="M130" i="21" s="1"/>
  <c r="Y70" i="19"/>
  <c r="N130" i="21" s="1"/>
  <c r="AA70" i="19"/>
  <c r="AC70" i="19" s="1"/>
  <c r="J41" i="19"/>
  <c r="I41" i="19"/>
  <c r="Y91"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81" i="21"/>
  <c r="AI81"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85" i="19"/>
  <c r="N145" i="21" s="1"/>
  <c r="AA85" i="19"/>
  <c r="AC85" i="19" s="1"/>
  <c r="K133" i="21"/>
  <c r="M133" i="21" s="1"/>
  <c r="Y73" i="19"/>
  <c r="N133" i="21" s="1"/>
  <c r="AA73" i="19"/>
  <c r="AC73" i="19" s="1"/>
  <c r="K129" i="21"/>
  <c r="M129" i="21" s="1"/>
  <c r="Y69" i="19"/>
  <c r="N129" i="21" s="1"/>
  <c r="AA69" i="19"/>
  <c r="AC69" i="19" s="1"/>
  <c r="N627" i="32"/>
  <c r="O627" i="32" s="1"/>
  <c r="C197" i="32"/>
  <c r="E186" i="32"/>
  <c r="Q124" i="26"/>
  <c r="Q62" i="26"/>
  <c r="Q115" i="26" s="1"/>
  <c r="Q125" i="26"/>
  <c r="D327" i="32"/>
  <c r="H327" i="32"/>
  <c r="L327" i="32"/>
  <c r="M327" i="32"/>
  <c r="F352" i="32"/>
  <c r="F378" i="32"/>
  <c r="L332" i="32"/>
  <c r="M332" i="32"/>
  <c r="H332" i="32"/>
  <c r="D332" i="32"/>
  <c r="F357" i="32"/>
  <c r="F383" i="32"/>
  <c r="EQ133" i="5"/>
  <c r="I130" i="5"/>
  <c r="K98" i="1" s="1"/>
  <c r="J130" i="5"/>
  <c r="EQ132" i="5"/>
  <c r="R406" i="32"/>
  <c r="F406" i="32" s="1"/>
  <c r="J48" i="19"/>
  <c r="I48" i="19"/>
  <c r="AC91" i="19" s="1"/>
  <c r="Y77" i="19"/>
  <c r="N137" i="21" s="1"/>
  <c r="K137" i="21"/>
  <c r="M137" i="21" s="1"/>
  <c r="AA77" i="19"/>
  <c r="AC77" i="19"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I49" i="19"/>
  <c r="AC92" i="19" s="1"/>
  <c r="J49" i="19"/>
  <c r="S396" i="32" s="1"/>
  <c r="K144" i="21"/>
  <c r="M144" i="21" s="1"/>
  <c r="Y84" i="19"/>
  <c r="N144" i="21" s="1"/>
  <c r="AA84" i="19"/>
  <c r="AC84" i="19" s="1"/>
  <c r="Y80" i="19"/>
  <c r="N140" i="21" s="1"/>
  <c r="K140" i="21"/>
  <c r="M140" i="21" s="1"/>
  <c r="AA80" i="19"/>
  <c r="AC80" i="19" s="1"/>
  <c r="K136" i="21"/>
  <c r="M136" i="21" s="1"/>
  <c r="Y76" i="19"/>
  <c r="N136" i="21" s="1"/>
  <c r="AA76" i="19"/>
  <c r="AC76" i="19" s="1"/>
  <c r="Y72" i="19"/>
  <c r="N132" i="21" s="1"/>
  <c r="K132" i="21"/>
  <c r="M132" i="21" s="1"/>
  <c r="AA72" i="19"/>
  <c r="AC72" i="19" s="1"/>
  <c r="Y68" i="19"/>
  <c r="N128" i="21" s="1"/>
  <c r="K128" i="21"/>
  <c r="W88" i="19"/>
  <c r="AA68" i="19"/>
  <c r="J42" i="19"/>
  <c r="I4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29" i="5"/>
  <c r="K97" i="1" s="1"/>
  <c r="D239" i="32" s="1"/>
  <c r="J129" i="5"/>
  <c r="EQ131" i="5"/>
  <c r="H344" i="32"/>
  <c r="L344" i="32"/>
  <c r="M344" i="32"/>
  <c r="D344" i="32"/>
  <c r="F395" i="32"/>
  <c r="F369" i="32"/>
  <c r="Y81" i="19"/>
  <c r="N141" i="21" s="1"/>
  <c r="K141" i="21"/>
  <c r="M141" i="21" s="1"/>
  <c r="AA81" i="19"/>
  <c r="AC81" i="19"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87" i="19"/>
  <c r="N147" i="21" s="1"/>
  <c r="AA87" i="19"/>
  <c r="AC87" i="19" s="1"/>
  <c r="Y83" i="19"/>
  <c r="N143" i="21" s="1"/>
  <c r="K143" i="21"/>
  <c r="M143" i="21" s="1"/>
  <c r="AA83" i="19"/>
  <c r="AC83" i="19" s="1"/>
  <c r="Y79" i="19"/>
  <c r="N139" i="21" s="1"/>
  <c r="K139" i="21"/>
  <c r="M139" i="21" s="1"/>
  <c r="AA79" i="19"/>
  <c r="AC79" i="19" s="1"/>
  <c r="K135" i="21"/>
  <c r="M135" i="21" s="1"/>
  <c r="Y75" i="19"/>
  <c r="N135" i="21" s="1"/>
  <c r="AA75" i="19"/>
  <c r="AC75" i="19" s="1"/>
  <c r="K131" i="21"/>
  <c r="M131" i="21" s="1"/>
  <c r="Y71" i="19"/>
  <c r="N131" i="21" s="1"/>
  <c r="AA71" i="19"/>
  <c r="AC71" i="19" s="1"/>
  <c r="H41" i="19"/>
  <c r="J36" i="19"/>
  <c r="H326" i="32"/>
  <c r="L326" i="32"/>
  <c r="F377" i="32"/>
  <c r="M326" i="32"/>
  <c r="D326" i="32"/>
  <c r="F351" i="32"/>
  <c r="T124" i="26"/>
  <c r="T62" i="26"/>
  <c r="T115" i="26" s="1"/>
  <c r="T125" i="26"/>
  <c r="S406" i="32" l="1"/>
  <c r="P407" i="32" s="1"/>
  <c r="R407" i="32" s="1"/>
  <c r="F407" i="32" s="1"/>
  <c r="L384" i="32"/>
  <c r="R384" i="32" s="1"/>
  <c r="Y87" i="21"/>
  <c r="M384" i="32"/>
  <c r="T384" i="32" s="1"/>
  <c r="D384" i="32"/>
  <c r="H384" i="32"/>
  <c r="H345" i="32"/>
  <c r="I345" i="32"/>
  <c r="R83" i="21"/>
  <c r="L354" i="32"/>
  <c r="H354" i="32"/>
  <c r="M354" i="32"/>
  <c r="D354" i="32"/>
  <c r="M839" i="32"/>
  <c r="E882" i="32"/>
  <c r="I124" i="17"/>
  <c r="J124" i="17"/>
  <c r="C239" i="32"/>
  <c r="C966" i="32" s="1"/>
  <c r="J101" i="21"/>
  <c r="I131" i="5"/>
  <c r="D240" i="32" s="1"/>
  <c r="J131" i="5"/>
  <c r="L363" i="32"/>
  <c r="R92" i="21"/>
  <c r="M363" i="32"/>
  <c r="D363" i="32"/>
  <c r="H363" i="32"/>
  <c r="L381" i="32"/>
  <c r="R381" i="32" s="1"/>
  <c r="M381" i="32"/>
  <c r="T381" i="32" s="1"/>
  <c r="D381" i="32"/>
  <c r="Y84" i="21"/>
  <c r="H381" i="32"/>
  <c r="M353" i="32"/>
  <c r="D353" i="32"/>
  <c r="L353" i="32"/>
  <c r="R82" i="21"/>
  <c r="H353" i="32"/>
  <c r="Y79" i="21"/>
  <c r="L376" i="32"/>
  <c r="F396" i="32"/>
  <c r="M376" i="32"/>
  <c r="D376" i="32"/>
  <c r="H376" i="32"/>
  <c r="D345" i="32"/>
  <c r="D346" i="32" s="1"/>
  <c r="W89" i="19"/>
  <c r="Y93" i="19"/>
  <c r="H377" i="32"/>
  <c r="Y80" i="21"/>
  <c r="L377" i="32"/>
  <c r="R377" i="32" s="1"/>
  <c r="D377" i="32"/>
  <c r="M377" i="32"/>
  <c r="T377" i="32" s="1"/>
  <c r="C747" i="32"/>
  <c r="E762" i="32"/>
  <c r="E764" i="32" s="1"/>
  <c r="J125" i="17"/>
  <c r="I125" i="17"/>
  <c r="M369" i="32"/>
  <c r="H369" i="32"/>
  <c r="R98" i="21"/>
  <c r="D369" i="32"/>
  <c r="L369" i="32"/>
  <c r="R87" i="21"/>
  <c r="M358" i="32"/>
  <c r="H358" i="32"/>
  <c r="D358" i="32"/>
  <c r="L358" i="32"/>
  <c r="Y82" i="21"/>
  <c r="M379" i="32"/>
  <c r="T379" i="32" s="1"/>
  <c r="H379" i="32"/>
  <c r="D379" i="32"/>
  <c r="L379" i="32"/>
  <c r="R379" i="32" s="1"/>
  <c r="J151" i="21"/>
  <c r="Y92" i="19"/>
  <c r="M128" i="21"/>
  <c r="M148" i="21" s="1"/>
  <c r="J152" i="21" s="1"/>
  <c r="K148" i="21"/>
  <c r="Y96" i="21"/>
  <c r="H393" i="32"/>
  <c r="M393" i="32"/>
  <c r="T393" i="32" s="1"/>
  <c r="L393" i="32"/>
  <c r="R393" i="32" s="1"/>
  <c r="D393" i="32"/>
  <c r="D840" i="32"/>
  <c r="D406" i="32"/>
  <c r="H406" i="32"/>
  <c r="AF82" i="21"/>
  <c r="L406" i="32"/>
  <c r="M406" i="32"/>
  <c r="I133" i="5"/>
  <c r="J133" i="5"/>
  <c r="L352" i="32"/>
  <c r="M352" i="32"/>
  <c r="D352" i="32"/>
  <c r="R81" i="21"/>
  <c r="H352" i="32"/>
  <c r="K805" i="32"/>
  <c r="M805" i="32" s="1"/>
  <c r="D362" i="32"/>
  <c r="L362" i="32"/>
  <c r="R91" i="21"/>
  <c r="M362" i="32"/>
  <c r="H362" i="32"/>
  <c r="Y93" i="21"/>
  <c r="H390" i="32"/>
  <c r="D390" i="32"/>
  <c r="L390" i="32"/>
  <c r="R390" i="32" s="1"/>
  <c r="M390" i="32"/>
  <c r="T390" i="32" s="1"/>
  <c r="D385" i="32"/>
  <c r="Y88" i="21"/>
  <c r="H385" i="32"/>
  <c r="L385" i="32"/>
  <c r="R385" i="32" s="1"/>
  <c r="M385" i="32"/>
  <c r="T385" i="32" s="1"/>
  <c r="J124" i="26"/>
  <c r="I124" i="26"/>
  <c r="L351" i="32"/>
  <c r="D351" i="32"/>
  <c r="H351" i="32"/>
  <c r="R80" i="21"/>
  <c r="M351" i="32"/>
  <c r="Y90" i="19"/>
  <c r="J150" i="21"/>
  <c r="C893" i="32"/>
  <c r="C894" i="32"/>
  <c r="D392" i="32"/>
  <c r="M392" i="32"/>
  <c r="T392" i="32" s="1"/>
  <c r="L392" i="32"/>
  <c r="R392" i="32" s="1"/>
  <c r="Y95" i="21"/>
  <c r="H392" i="32"/>
  <c r="R94" i="21"/>
  <c r="M365" i="32"/>
  <c r="D365" i="32"/>
  <c r="H365" i="32"/>
  <c r="L365" i="32"/>
  <c r="R89" i="21"/>
  <c r="M360" i="32"/>
  <c r="H360" i="32"/>
  <c r="D360" i="32"/>
  <c r="L360" i="32"/>
  <c r="R90" i="21"/>
  <c r="M361" i="32"/>
  <c r="H361" i="32"/>
  <c r="D361" i="32"/>
  <c r="L361" i="32"/>
  <c r="L395" i="32"/>
  <c r="R395" i="32" s="1"/>
  <c r="H395" i="32"/>
  <c r="Y98" i="21"/>
  <c r="M395" i="32"/>
  <c r="T395" i="32" s="1"/>
  <c r="D395" i="32"/>
  <c r="H350" i="32"/>
  <c r="R79" i="21"/>
  <c r="L350" i="32"/>
  <c r="M350" i="32"/>
  <c r="F370" i="32"/>
  <c r="D350" i="32"/>
  <c r="D367" i="32"/>
  <c r="H367" i="32"/>
  <c r="R96" i="21"/>
  <c r="L367" i="32"/>
  <c r="M367" i="32"/>
  <c r="M382" i="32"/>
  <c r="T382" i="32" s="1"/>
  <c r="Y85" i="21"/>
  <c r="H382" i="32"/>
  <c r="D382" i="32"/>
  <c r="L382" i="32"/>
  <c r="R382" i="32" s="1"/>
  <c r="K839" i="32"/>
  <c r="E881" i="32"/>
  <c r="J132" i="5"/>
  <c r="I132" i="5"/>
  <c r="H383" i="32"/>
  <c r="L383" i="32"/>
  <c r="R383" i="32" s="1"/>
  <c r="Y86" i="21"/>
  <c r="M383" i="32"/>
  <c r="T383" i="32" s="1"/>
  <c r="D383" i="32"/>
  <c r="N616" i="32"/>
  <c r="O616" i="32" s="1"/>
  <c r="C186" i="32"/>
  <c r="E201" i="32"/>
  <c r="H388" i="32"/>
  <c r="L388" i="32"/>
  <c r="R388" i="32" s="1"/>
  <c r="Y91" i="21"/>
  <c r="M388" i="32"/>
  <c r="T388" i="32" s="1"/>
  <c r="D388" i="32"/>
  <c r="D359" i="32"/>
  <c r="R88" i="21"/>
  <c r="H359" i="32"/>
  <c r="L359" i="32"/>
  <c r="M359" i="32"/>
  <c r="L380" i="32"/>
  <c r="R380" i="32" s="1"/>
  <c r="D380" i="32"/>
  <c r="Y83" i="21"/>
  <c r="M380" i="32"/>
  <c r="T380" i="32" s="1"/>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T391" i="32" s="1"/>
  <c r="Y94" i="21"/>
  <c r="H391" i="32"/>
  <c r="D391" i="32"/>
  <c r="L391" i="32"/>
  <c r="R391" i="32" s="1"/>
  <c r="M386" i="32"/>
  <c r="T386" i="32" s="1"/>
  <c r="Y89" i="21"/>
  <c r="H386" i="32"/>
  <c r="D386" i="32"/>
  <c r="L386" i="32"/>
  <c r="R386" i="32" s="1"/>
  <c r="Y90" i="21"/>
  <c r="H387" i="32"/>
  <c r="L387" i="32"/>
  <c r="R387" i="32" s="1"/>
  <c r="D387" i="32"/>
  <c r="M387" i="32"/>
  <c r="T387" i="32" s="1"/>
  <c r="L389" i="32"/>
  <c r="R389" i="32" s="1"/>
  <c r="M389" i="32"/>
  <c r="T389" i="32" s="1"/>
  <c r="D389" i="32"/>
  <c r="Y92" i="21"/>
  <c r="H389" i="32"/>
  <c r="R84" i="21"/>
  <c r="M355" i="32"/>
  <c r="D355" i="32"/>
  <c r="H355" i="32"/>
  <c r="L355" i="32"/>
  <c r="L345" i="32"/>
  <c r="M345" i="32"/>
  <c r="AC68" i="19"/>
  <c r="AA88" i="19"/>
  <c r="EP42" i="15"/>
  <c r="EP41" i="15"/>
  <c r="K9" i="1"/>
  <c r="L356" i="32"/>
  <c r="R85" i="21"/>
  <c r="M356" i="32"/>
  <c r="H356" i="32"/>
  <c r="D356" i="32"/>
  <c r="H357" i="32"/>
  <c r="L357" i="32"/>
  <c r="M357" i="32"/>
  <c r="R86" i="21"/>
  <c r="D357" i="32"/>
  <c r="D394" i="32"/>
  <c r="L394" i="32"/>
  <c r="R394" i="32" s="1"/>
  <c r="M394" i="32"/>
  <c r="T394" i="32" s="1"/>
  <c r="Y97" i="21"/>
  <c r="H394" i="32"/>
  <c r="J125" i="26"/>
  <c r="I125" i="26"/>
  <c r="F239" i="32"/>
  <c r="J102" i="21"/>
  <c r="BD65" i="1"/>
  <c r="V62" i="21"/>
  <c r="H378" i="32"/>
  <c r="L378" i="32"/>
  <c r="R378" i="32" s="1"/>
  <c r="Y81" i="21"/>
  <c r="M378" i="32"/>
  <c r="T378" i="32" s="1"/>
  <c r="D378" i="32"/>
  <c r="L368" i="32"/>
  <c r="H368" i="32"/>
  <c r="D368" i="32"/>
  <c r="R97" i="21"/>
  <c r="M368" i="32"/>
  <c r="L364" i="32"/>
  <c r="M364" i="32"/>
  <c r="R93" i="21"/>
  <c r="D364" i="32"/>
  <c r="H364" i="32"/>
  <c r="AA69" i="1"/>
  <c r="N117" i="26"/>
  <c r="O116" i="26" s="1"/>
  <c r="I966" i="32" l="1"/>
  <c r="C980" i="32"/>
  <c r="I980" i="32" s="1"/>
  <c r="I961" i="32"/>
  <c r="J961" i="32" s="1"/>
  <c r="J967" i="32" s="1"/>
  <c r="D967" i="32" s="1"/>
  <c r="I975" i="32"/>
  <c r="I117" i="17"/>
  <c r="BD66" i="1"/>
  <c r="F240" i="32"/>
  <c r="AA85" i="21"/>
  <c r="AB85" i="21"/>
  <c r="U96" i="21"/>
  <c r="T96" i="21"/>
  <c r="H370" i="32"/>
  <c r="C240" i="32" s="1"/>
  <c r="C962" i="32" s="1"/>
  <c r="C976" i="32" s="1"/>
  <c r="I370" i="32"/>
  <c r="E240" i="32" s="1"/>
  <c r="C951" i="32" s="1"/>
  <c r="I951" i="32" s="1"/>
  <c r="T94" i="21"/>
  <c r="U94" i="21"/>
  <c r="AB88" i="21"/>
  <c r="AA88" i="21"/>
  <c r="J840" i="32"/>
  <c r="F763" i="32"/>
  <c r="M396" i="32"/>
  <c r="AB103" i="21" s="1"/>
  <c r="T376" i="32"/>
  <c r="U93" i="21"/>
  <c r="T93" i="21"/>
  <c r="AA81" i="1"/>
  <c r="AA75" i="1"/>
  <c r="AA78" i="1"/>
  <c r="AA72" i="1"/>
  <c r="S407" i="32"/>
  <c r="P408" i="32" s="1"/>
  <c r="T86" i="21"/>
  <c r="U86" i="21"/>
  <c r="AC90" i="19"/>
  <c r="AC93" i="19"/>
  <c r="AA89" i="19"/>
  <c r="T84" i="21"/>
  <c r="U84" i="21"/>
  <c r="AA83" i="21"/>
  <c r="AB83" i="21"/>
  <c r="D370" i="32"/>
  <c r="U79" i="21"/>
  <c r="R99" i="21"/>
  <c r="T79" i="21"/>
  <c r="AA98" i="21"/>
  <c r="AB98" i="21"/>
  <c r="U89" i="21"/>
  <c r="T89" i="21"/>
  <c r="T80" i="21"/>
  <c r="U80" i="21"/>
  <c r="U81" i="21"/>
  <c r="T81" i="21"/>
  <c r="AA82" i="21"/>
  <c r="AB82" i="21"/>
  <c r="T98" i="21"/>
  <c r="U98" i="21"/>
  <c r="D396" i="32"/>
  <c r="Y99" i="21"/>
  <c r="AA79" i="21"/>
  <c r="AB79" i="21"/>
  <c r="T83" i="21"/>
  <c r="U83" i="21"/>
  <c r="BD74" i="1"/>
  <c r="BD84" i="1"/>
  <c r="AN46" i="1" s="1"/>
  <c r="E203" i="32"/>
  <c r="N631" i="32"/>
  <c r="O631" i="32" s="1"/>
  <c r="AB92" i="21"/>
  <c r="AA92" i="21"/>
  <c r="AA90" i="21"/>
  <c r="AB90" i="21"/>
  <c r="AB89" i="21"/>
  <c r="AA89" i="21"/>
  <c r="T88" i="21"/>
  <c r="U88" i="21"/>
  <c r="AB91" i="21"/>
  <c r="AA91" i="21"/>
  <c r="AB86" i="21"/>
  <c r="AA86" i="21"/>
  <c r="M370" i="32"/>
  <c r="U103" i="21" s="1"/>
  <c r="T91" i="21"/>
  <c r="U91" i="21"/>
  <c r="F840" i="32"/>
  <c r="P805" i="32"/>
  <c r="F878" i="32"/>
  <c r="E840" i="32"/>
  <c r="AA80" i="21"/>
  <c r="AB80" i="21"/>
  <c r="I396" i="32"/>
  <c r="H396" i="32"/>
  <c r="T82" i="21"/>
  <c r="U82" i="21"/>
  <c r="T92" i="21"/>
  <c r="U92" i="21"/>
  <c r="AA87" i="21"/>
  <c r="AB87" i="21"/>
  <c r="AA81" i="21"/>
  <c r="AB81" i="21"/>
  <c r="AF83" i="21"/>
  <c r="H407" i="32"/>
  <c r="M407" i="32"/>
  <c r="L407" i="32"/>
  <c r="D407" i="32"/>
  <c r="AI82" i="21"/>
  <c r="AH82" i="21"/>
  <c r="N805" i="32"/>
  <c r="T87" i="21"/>
  <c r="U87" i="21"/>
  <c r="AB69" i="1"/>
  <c r="O117" i="26"/>
  <c r="P116" i="26" s="1"/>
  <c r="T97" i="21"/>
  <c r="U97" i="21"/>
  <c r="AB97" i="21"/>
  <c r="AA97" i="21"/>
  <c r="U85" i="21"/>
  <c r="T85" i="21"/>
  <c r="AA94" i="21"/>
  <c r="AB94" i="21"/>
  <c r="T95" i="21"/>
  <c r="U95" i="21"/>
  <c r="L370" i="32"/>
  <c r="U90" i="21"/>
  <c r="T90" i="21"/>
  <c r="AA95" i="21"/>
  <c r="AB95" i="21"/>
  <c r="AA93" i="21"/>
  <c r="AB93" i="21"/>
  <c r="AA96" i="21"/>
  <c r="AB96" i="21"/>
  <c r="L396" i="32"/>
  <c r="R376" i="32"/>
  <c r="AA84" i="21"/>
  <c r="AB84" i="21"/>
  <c r="L961" i="32" l="1"/>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AB104" i="21" s="1"/>
  <c r="D423" i="32"/>
  <c r="D424" i="32" s="1"/>
  <c r="AI104" i="21" s="1"/>
  <c r="T396" i="32"/>
  <c r="X78" i="1"/>
  <c r="Y78" i="1"/>
  <c r="F764" i="32"/>
  <c r="AC69" i="1"/>
  <c r="P117" i="26"/>
  <c r="Q116" i="26" s="1"/>
  <c r="Q805" i="32"/>
  <c r="H806" i="32" s="1"/>
  <c r="I806" i="32" s="1"/>
  <c r="AH83" i="21"/>
  <c r="AI83" i="21"/>
  <c r="T99" i="21"/>
  <c r="X75" i="1"/>
  <c r="Y75" i="1"/>
  <c r="AA99" i="21"/>
  <c r="U101" i="21"/>
  <c r="U102" i="21"/>
  <c r="R408" i="32"/>
  <c r="F408" i="32" s="1"/>
  <c r="X81" i="1"/>
  <c r="Y81" i="1"/>
  <c r="BD75" i="1"/>
  <c r="BD85" i="1"/>
  <c r="AN47" i="1" s="1"/>
  <c r="F881" i="32"/>
  <c r="K840" i="32"/>
  <c r="F879" i="32"/>
  <c r="G840" i="32"/>
  <c r="AB102" i="21"/>
  <c r="AB101" i="21"/>
  <c r="Y72" i="1"/>
  <c r="X72" i="1"/>
  <c r="M960" i="32" l="1"/>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84"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84" i="21"/>
  <c r="AH84" i="21"/>
  <c r="S409" i="32"/>
  <c r="P410" i="32" s="1"/>
  <c r="G202" i="32"/>
  <c r="L634" i="32"/>
  <c r="L635" i="32" s="1"/>
  <c r="N633" i="32"/>
  <c r="O633" i="32" s="1"/>
  <c r="D841" i="32"/>
  <c r="O806" i="32"/>
  <c r="AF85" i="21"/>
  <c r="D409" i="32"/>
  <c r="M409" i="32"/>
  <c r="L409" i="32"/>
  <c r="H409" i="32"/>
  <c r="N806" i="32" l="1"/>
  <c r="Q806" i="32" s="1"/>
  <c r="H807" i="32" s="1"/>
  <c r="I807" i="32" s="1"/>
  <c r="J807" i="32" s="1"/>
  <c r="O807" i="32" s="1"/>
  <c r="R410" i="32"/>
  <c r="F410" i="32" s="1"/>
  <c r="G841" i="32"/>
  <c r="G879" i="32"/>
  <c r="K841" i="32"/>
  <c r="G881" i="32"/>
  <c r="S117" i="26"/>
  <c r="T116" i="26" s="1"/>
  <c r="AF69" i="1"/>
  <c r="AI85" i="21"/>
  <c r="AH85"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86" i="21"/>
  <c r="D410" i="32"/>
  <c r="M410" i="32"/>
  <c r="N807" i="32" l="1"/>
  <c r="Q807" i="32" s="1"/>
  <c r="H808" i="32" s="1"/>
  <c r="I808" i="32" s="1"/>
  <c r="AH86" i="21"/>
  <c r="AI86" i="21"/>
  <c r="H411" i="32"/>
  <c r="M411" i="32"/>
  <c r="D411" i="32"/>
  <c r="L411" i="32"/>
  <c r="AF87"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87" i="21"/>
  <c r="AH87" i="21"/>
  <c r="I202" i="32"/>
  <c r="L842" i="32"/>
  <c r="H881" i="32"/>
  <c r="K842" i="32"/>
  <c r="AH72" i="1"/>
  <c r="AH81" i="1"/>
  <c r="AH75" i="1"/>
  <c r="AH78" i="1"/>
  <c r="R412" i="32"/>
  <c r="F412" i="32" s="1"/>
  <c r="AF88"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88" i="21"/>
  <c r="AI88" i="21"/>
  <c r="S413" i="32" l="1"/>
  <c r="P414" i="32" s="1"/>
  <c r="R414" i="32" s="1"/>
  <c r="D413" i="32"/>
  <c r="H413" i="32"/>
  <c r="M413" i="32"/>
  <c r="AF89" i="21"/>
  <c r="L413" i="32"/>
  <c r="I882" i="32"/>
  <c r="M843" i="32"/>
  <c r="J809" i="32"/>
  <c r="F414" i="32" l="1"/>
  <c r="H414" i="32" s="1"/>
  <c r="S414" i="32"/>
  <c r="P415" i="32" s="1"/>
  <c r="R415" i="32" s="1"/>
  <c r="F415" i="32" s="1"/>
  <c r="D844" i="32"/>
  <c r="O809" i="32"/>
  <c r="AH89" i="21"/>
  <c r="AI89" i="21"/>
  <c r="K809" i="32"/>
  <c r="AF90" i="21" l="1"/>
  <c r="AH90" i="21" s="1"/>
  <c r="D414" i="32"/>
  <c r="L414" i="32"/>
  <c r="M414" i="32"/>
  <c r="S415" i="32"/>
  <c r="P416" i="32" s="1"/>
  <c r="R416" i="32" s="1"/>
  <c r="F416" i="32" s="1"/>
  <c r="M415" i="32"/>
  <c r="AF91" i="21"/>
  <c r="L415" i="32"/>
  <c r="D415" i="32"/>
  <c r="H415" i="32"/>
  <c r="M809" i="32"/>
  <c r="J844" i="32" s="1"/>
  <c r="F844" i="32"/>
  <c r="P809" i="32"/>
  <c r="E844" i="32"/>
  <c r="J878" i="32"/>
  <c r="AI90" i="21" l="1"/>
  <c r="S416" i="32"/>
  <c r="P417" i="32" s="1"/>
  <c r="R417" i="32" s="1"/>
  <c r="F417" i="32" s="1"/>
  <c r="J879" i="32"/>
  <c r="G844" i="32"/>
  <c r="AH91" i="21"/>
  <c r="AI91" i="21"/>
  <c r="K844" i="32"/>
  <c r="J881" i="32"/>
  <c r="N809" i="32"/>
  <c r="Q809" i="32" s="1"/>
  <c r="H810" i="32" s="1"/>
  <c r="I810" i="32" s="1"/>
  <c r="L844" i="32"/>
  <c r="D416" i="32"/>
  <c r="H416" i="32"/>
  <c r="L416" i="32"/>
  <c r="AF92" i="21"/>
  <c r="M416" i="32"/>
  <c r="M417" i="32" l="1"/>
  <c r="D417" i="32"/>
  <c r="H417" i="32"/>
  <c r="AF93" i="21"/>
  <c r="L417" i="32"/>
  <c r="AH92" i="21"/>
  <c r="AI92" i="21"/>
  <c r="J810" i="32"/>
  <c r="M844" i="32"/>
  <c r="J882" i="32"/>
  <c r="S417" i="32"/>
  <c r="P418" i="32" s="1"/>
  <c r="D845" i="32" l="1"/>
  <c r="O810" i="32"/>
  <c r="AH93" i="21"/>
  <c r="AI93" i="21"/>
  <c r="R418" i="32"/>
  <c r="F418" i="32" s="1"/>
  <c r="K810" i="32"/>
  <c r="M810" i="32" s="1"/>
  <c r="J845" i="32" s="1"/>
  <c r="S418" i="32" l="1"/>
  <c r="P419" i="32" s="1"/>
  <c r="R419" i="32" s="1"/>
  <c r="F419" i="32" s="1"/>
  <c r="AF94"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94" i="21"/>
  <c r="AH94" i="21"/>
  <c r="L419" i="32"/>
  <c r="M419" i="32"/>
  <c r="D419" i="32"/>
  <c r="AF95" i="21"/>
  <c r="H419" i="32"/>
  <c r="S420" i="32" l="1"/>
  <c r="P421" i="32" s="1"/>
  <c r="R421" i="32" s="1"/>
  <c r="F421" i="32" s="1"/>
  <c r="AI95" i="21"/>
  <c r="AH95" i="21"/>
  <c r="M811" i="32"/>
  <c r="J846" i="32" s="1"/>
  <c r="F846" i="32"/>
  <c r="D420" i="32"/>
  <c r="H420" i="32"/>
  <c r="AF96" i="21"/>
  <c r="L420" i="32"/>
  <c r="M420" i="32"/>
  <c r="D846" i="32"/>
  <c r="O811" i="32"/>
  <c r="N811" i="32" l="1"/>
  <c r="Q811" i="32" s="1"/>
  <c r="H812" i="32" s="1"/>
  <c r="I812" i="32" s="1"/>
  <c r="J812" i="32" s="1"/>
  <c r="O812" i="32" s="1"/>
  <c r="M421" i="32"/>
  <c r="D421" i="32"/>
  <c r="D422" i="32" s="1"/>
  <c r="L421" i="32"/>
  <c r="AF97" i="21"/>
  <c r="H421" i="32"/>
  <c r="G846" i="32"/>
  <c r="L879" i="32"/>
  <c r="AH96" i="21"/>
  <c r="AI96" i="21"/>
  <c r="L881" i="32"/>
  <c r="K846" i="32"/>
  <c r="E846" i="32"/>
  <c r="L878" i="32"/>
  <c r="L846" i="32"/>
  <c r="S421" i="32"/>
  <c r="P422" i="32" s="1"/>
  <c r="K812" i="32" l="1"/>
  <c r="M812" i="32" s="1"/>
  <c r="J847" i="32" s="1"/>
  <c r="K847" i="32" s="1"/>
  <c r="AH97" i="21"/>
  <c r="AI97" i="21"/>
  <c r="R422" i="32"/>
  <c r="F422" i="32" s="1"/>
  <c r="G422" i="32" s="1"/>
  <c r="L882" i="32"/>
  <c r="M846" i="32"/>
  <c r="D847" i="32"/>
  <c r="N812" i="32" l="1"/>
  <c r="Q812" i="32" s="1"/>
  <c r="H813" i="32" s="1"/>
  <c r="I813" i="32" s="1"/>
  <c r="J813" i="32" s="1"/>
  <c r="F847" i="32"/>
  <c r="G847" i="32" s="1"/>
  <c r="M881" i="32"/>
  <c r="P812" i="32"/>
  <c r="S422" i="32"/>
  <c r="AG98" i="21"/>
  <c r="AG99" i="21" s="1"/>
  <c r="G423" i="32"/>
  <c r="H422" i="32"/>
  <c r="L422" i="32"/>
  <c r="L423" i="32" s="1"/>
  <c r="AF98" i="21"/>
  <c r="M422" i="32"/>
  <c r="M423" i="32" s="1"/>
  <c r="AI103" i="21" s="1"/>
  <c r="F423" i="32"/>
  <c r="H423" i="32" s="1"/>
  <c r="M878" i="32"/>
  <c r="E847" i="32"/>
  <c r="M879" i="32" l="1"/>
  <c r="L847" i="32"/>
  <c r="M882" i="32" s="1"/>
  <c r="D848" i="32"/>
  <c r="O813" i="32"/>
  <c r="I423" i="32"/>
  <c r="K813" i="32"/>
  <c r="AH98" i="21"/>
  <c r="AH99" i="21" s="1"/>
  <c r="AI98" i="21"/>
  <c r="AF99" i="21"/>
  <c r="M847" i="32" l="1"/>
  <c r="F848" i="32"/>
  <c r="P813" i="32"/>
  <c r="AI101" i="21"/>
  <c r="AI102"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<sst xmlns="http://schemas.openxmlformats.org/spreadsheetml/2006/main" count="5206" uniqueCount="2440">
  <si>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</si>
  <si>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</si>
  <si>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</si>
  <si>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</si>
  <si>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</si>
  <si>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</si>
  <si>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</si>
  <si>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</si>
  <si>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</si>
  <si>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</si>
  <si>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</si>
  <si>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</si>
  <si>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</si>
  <si>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</si>
  <si>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</si>
  <si>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</si>
  <si>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</si>
  <si>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</si>
  <si>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</si>
  <si>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</si>
  <si>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</si>
  <si>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</si>
  <si>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</si>
  <si>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</si>
  <si>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</si>
  <si>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</si>
  <si>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</si>
  <si>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</si>
  <si>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</si>
  <si>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</si>
  <si>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</si>
  <si>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</si>
  <si>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</si>
  <si>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</si>
  <si>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</si>
  <si>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</si>
  <si>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</si>
  <si>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</si>
  <si>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</si>
  <si>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</si>
  <si>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</si>
  <si>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</si>
  <si>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</si>
  <si>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</si>
  <si>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</si>
  <si>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</si>
  <si>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</si>
  <si>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</si>
  <si>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</si>
  <si>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</si>
  <si>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</si>
  <si>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</si>
  <si>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</si>
  <si>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</si>
  <si>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</si>
  <si>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</si>
  <si>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</si>
  <si>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</si>
  <si>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</si>
  <si>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</si>
  <si>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</si>
  <si>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</si>
  <si>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</si>
  <si>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</si>
  <si>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</si>
  <si>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</si>
  <si>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</si>
  <si>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</si>
  <si>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</si>
  <si>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</si>
  <si>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</si>
  <si>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</si>
  <si>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</si>
  <si>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</si>
  <si>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</si>
  <si>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</si>
  <si>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</si>
  <si>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</si>
  <si>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</si>
  <si>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</si>
  <si>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</si>
  <si>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</si>
  <si>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</si>
  <si>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</si>
  <si>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</si>
  <si>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</si>
  <si>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</si>
  <si>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</si>
  <si>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</si>
  <si>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</si>
  <si>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</si>
  <si>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</si>
  <si>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</si>
  <si>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</si>
  <si>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</si>
  <si>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</si>
  <si>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</si>
  <si>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</si>
  <si>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</si>
  <si>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</si>
  <si>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</si>
  <si>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</si>
  <si>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</si>
  <si>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</si>
  <si>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</si>
  <si>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</si>
  <si>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</si>
  <si>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</si>
  <si>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</si>
  <si>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</si>
  <si>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</si>
  <si>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</si>
  <si>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</si>
  <si>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</si>
  <si>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</si>
  <si>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</si>
  <si>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</si>
  <si>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</si>
  <si>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</si>
  <si>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</si>
  <si>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</si>
  <si>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</si>
  <si>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</si>
  <si>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</si>
  <si>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</si>
  <si>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</si>
  <si>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</si>
  <si>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</si>
  <si>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</si>
  <si>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</si>
  <si>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</si>
  <si>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</si>
  <si>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</si>
  <si>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</si>
  <si>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</si>
  <si>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</si>
  <si>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</si>
  <si>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</si>
  <si>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</si>
  <si>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</si>
  <si>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</si>
  <si>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</si>
  <si>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</si>
  <si>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</si>
  <si>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</si>
  <si>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</si>
  <si>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</si>
  <si>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</si>
  <si>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</si>
  <si>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</si>
  <si>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</si>
  <si>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</si>
  <si>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</si>
  <si>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</si>
  <si>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</si>
  <si>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</si>
  <si>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</si>
  <si>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</si>
  <si>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</si>
  <si>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</si>
  <si>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</si>
  <si>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</si>
  <si>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</si>
  <si>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</si>
  <si>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</si>
  <si>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</si>
  <si>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</si>
  <si>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</si>
  <si>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</si>
  <si>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</si>
  <si>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</si>
  <si>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</si>
  <si>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</si>
  <si>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</si>
  <si>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</si>
  <si>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</si>
  <si>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</si>
  <si>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</si>
  <si>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</si>
  <si>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</si>
  <si>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</si>
  <si>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</si>
  <si>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</si>
  <si>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</si>
  <si>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</si>
  <si>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</si>
  <si>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</si>
  <si>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</si>
  <si>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</si>
  <si>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</si>
  <si>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</si>
  <si>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</si>
  <si>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</si>
  <si>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</si>
  <si>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</si>
  <si>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</si>
  <si>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</si>
  <si>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</si>
  <si>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</si>
  <si>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</si>
  <si>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</si>
  <si>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</si>
  <si>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</si>
  <si>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</si>
  <si>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</si>
  <si>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</si>
  <si>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</si>
  <si>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</si>
  <si>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</si>
  <si>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</si>
  <si>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</si>
  <si>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</si>
  <si>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</si>
  <si>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</si>
  <si>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</si>
  <si>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</si>
  <si>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</si>
  <si>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</si>
  <si>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</si>
  <si>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</si>
  <si>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</si>
  <si>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</si>
  <si>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</si>
  <si>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</si>
  <si>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</si>
  <si>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</si>
  <si>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</si>
  <si>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</si>
  <si>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</si>
  <si>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</si>
  <si>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</si>
  <si>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</si>
  <si>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</si>
  <si>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</si>
  <si>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</si>
  <si>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</si>
  <si>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</si>
  <si>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</si>
  <si>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</si>
  <si>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</si>
  <si>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</si>
  <si>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</si>
  <si>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</si>
  <si>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</si>
  <si>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</si>
  <si>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</si>
  <si>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</si>
  <si>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</si>
  <si>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</si>
  <si>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</si>
  <si>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</si>
  <si>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</si>
  <si>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</si>
  <si>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</si>
  <si>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</si>
  <si>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</si>
  <si>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</si>
  <si>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</si>
  <si>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</si>
  <si>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</si>
  <si>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</si>
  <si>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</si>
  <si>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</si>
  <si>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</si>
  <si>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</si>
  <si>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</si>
  <si>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</si>
  <si>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</si>
  <si>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</si>
  <si>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</si>
  <si>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</si>
  <si>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</si>
  <si>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</si>
  <si>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</si>
  <si>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</si>
  <si>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</si>
  <si>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</si>
  <si>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</si>
  <si>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</si>
  <si>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</si>
  <si>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</si>
  <si>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</si>
  <si>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</si>
  <si>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</si>
  <si>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</si>
  <si>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</si>
  <si>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</si>
  <si>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</si>
  <si>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</si>
  <si>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</si>
  <si>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</si>
  <si>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</si>
  <si>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</si>
  <si>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</si>
  <si>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</si>
  <si>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</si>
  <si>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</si>
  <si>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</si>
  <si>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</si>
  <si>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</si>
  <si>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</si>
  <si>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</si>
  <si>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</si>
  <si>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</si>
  <si>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</si>
  <si>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</si>
  <si>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</si>
  <si>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</si>
  <si>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</si>
  <si>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</si>
  <si>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</si>
  <si>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</si>
  <si>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</si>
  <si>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</si>
  <si>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</si>
  <si>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</si>
  <si>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</si>
  <si>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</si>
  <si>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</si>
  <si>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</si>
  <si>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</si>
  <si>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</si>
  <si>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</si>
  <si>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</si>
  <si>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</si>
  <si>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</si>
  <si>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</si>
  <si>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</si>
  <si>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</si>
  <si>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</si>
  <si>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</si>
  <si>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</si>
  <si>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</si>
  <si>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</si>
  <si>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</si>
  <si>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</si>
  <si>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</si>
  <si>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</si>
  <si>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</si>
  <si>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</si>
  <si>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</si>
  <si>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</si>
  <si>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</si>
  <si>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</si>
  <si>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</si>
  <si>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</si>
  <si>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</si>
  <si>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</si>
  <si>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</si>
  <si>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</si>
  <si>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</si>
  <si>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</si>
  <si>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</si>
  <si>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</si>
  <si>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</si>
  <si>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</si>
  <si>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</si>
  <si>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</si>
  <si>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</si>
  <si>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</si>
  <si>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</si>
  <si>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</si>
  <si>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</si>
  <si>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</si>
  <si>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</si>
  <si>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</si>
  <si>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</si>
  <si>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</si>
  <si>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</si>
  <si>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</si>
  <si>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</si>
  <si>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</si>
  <si>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</si>
  <si>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</si>
  <si>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</si>
  <si>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</si>
  <si>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</si>
  <si>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</si>
  <si>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</si>
  <si>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</si>
  <si>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</si>
  <si>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</si>
  <si>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</si>
  <si>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</si>
  <si>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</si>
  <si>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</si>
  <si>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</si>
  <si>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</si>
  <si>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</si>
  <si>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</si>
  <si>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</si>
  <si>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</si>
  <si>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</si>
  <si>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</si>
  <si>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</si>
  <si>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</si>
  <si>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</si>
  <si>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</si>
  <si>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</si>
  <si>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</si>
  <si>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</si>
  <si>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</si>
  <si>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</si>
  <si>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</si>
  <si>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</si>
  <si>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</si>
  <si>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</si>
  <si>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</si>
  <si>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</si>
  <si>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</si>
  <si>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</si>
  <si>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</si>
  <si>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</si>
  <si>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</si>
  <si>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</si>
  <si>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</si>
  <si>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</si>
  <si>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</si>
  <si>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</si>
  <si>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</si>
  <si>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</si>
  <si>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</si>
  <si>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</si>
  <si>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</si>
  <si>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</si>
  <si>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</si>
  <si>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</si>
  <si>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</si>
  <si>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</si>
  <si>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</si>
  <si>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</si>
  <si>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</si>
  <si>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</si>
  <si>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</si>
  <si>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</si>
  <si>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</si>
  <si>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</si>
  <si>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</si>
  <si>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</si>
  <si>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</si>
  <si>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</si>
  <si>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</si>
  <si>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</si>
  <si>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</si>
  <si>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</si>
  <si>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</si>
  <si>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</si>
  <si>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</si>
  <si>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</si>
  <si>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</si>
  <si>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</si>
  <si>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</si>
  <si>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</si>
  <si>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</si>
  <si>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</si>
  <si>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</si>
  <si>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</si>
  <si>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</si>
  <si>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</si>
  <si>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</si>
  <si>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</si>
  <si>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</si>
  <si>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</si>
  <si>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</si>
  <si>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</si>
  <si>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</si>
  <si>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</si>
  <si>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</si>
  <si>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</si>
  <si>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</si>
  <si>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</si>
  <si>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</si>
  <si>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</si>
  <si>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</si>
  <si>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</si>
  <si>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</si>
  <si>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</si>
  <si>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</si>
  <si>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</si>
  <si>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</si>
  <si>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</si>
  <si>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</si>
  <si>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</si>
  <si>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</si>
  <si>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</si>
  <si>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</si>
  <si>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</si>
  <si>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</si>
  <si>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</si>
  <si>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</si>
  <si>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</si>
  <si>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</si>
  <si>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</si>
  <si>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</si>
  <si>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</si>
  <si>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</si>
  <si>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</si>
  <si>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</si>
  <si>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</si>
  <si>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</si>
  <si>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</si>
  <si>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</si>
  <si>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</si>
  <si>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</si>
  <si>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</si>
  <si>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</si>
  <si>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</si>
  <si>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</si>
  <si>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</si>
  <si>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</si>
  <si>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</si>
  <si>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</si>
  <si>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</si>
  <si>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</si>
  <si>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</si>
  <si>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</si>
  <si>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</si>
  <si>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</si>
  <si>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</si>
  <si>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</si>
  <si>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</si>
  <si>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</si>
  <si>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</si>
  <si>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</si>
  <si>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</si>
  <si>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</si>
  <si>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</si>
  <si>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</si>
  <si>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</si>
  <si>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</si>
  <si>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</si>
  <si>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</si>
  <si>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</si>
  <si>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</si>
  <si>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</si>
  <si>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</si>
  <si>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</si>
  <si>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</si>
  <si>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</si>
  <si>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</si>
  <si>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</si>
  <si>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</si>
  <si>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</si>
  <si>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</si>
  <si>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</si>
  <si>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</si>
  <si>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</si>
  <si>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</si>
  <si>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</si>
  <si>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</si>
  <si>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미지급배당금_우선주</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</si>
  <si>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</si>
  <si>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</si>
  <si>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</si>
  <si>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</si>
  <si>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</si>
  <si>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</si>
  <si>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</si>
  <si>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</si>
  <si>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</si>
  <si>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</si>
  <si>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</si>
  <si>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</si>
  <si>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</si>
  <si>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</si>
  <si>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</si>
  <si>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</si>
  <si>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</si>
  <si>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</si>
  <si>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</si>
  <si>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</si>
  <si>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</si>
  <si>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</si>
  <si>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</si>
  <si>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</si>
  <si>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</si>
  <si>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</si>
  <si>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</si>
  <si>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</si>
  <si>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</si>
  <si>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</si>
  <si>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</si>
  <si>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</si>
  <si>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</si>
  <si>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</si>
  <si>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</si>
  <si>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</si>
  <si>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</si>
  <si>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</si>
  <si>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</si>
  <si>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</si>
  <si>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</si>
  <si>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</si>
  <si>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</si>
  <si>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</si>
  <si>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</si>
  <si>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</si>
  <si>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</si>
  <si>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</si>
  <si>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</si>
  <si>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</si>
  <si>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</si>
  <si>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</si>
  <si>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</si>
  <si>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</si>
  <si>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</si>
  <si>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</si>
  <si>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</si>
  <si>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</si>
  <si>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</si>
  <si>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</si>
  <si>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</si>
  <si>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</si>
  <si>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</si>
  <si>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</si>
  <si>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</si>
  <si>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</si>
  <si>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</si>
  <si>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</si>
  <si>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</si>
  <si>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</si>
  <si>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</si>
  <si>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</si>
  <si>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</si>
  <si>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</si>
  <si>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</si>
  <si>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</si>
  <si>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</si>
  <si>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</si>
  <si>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</si>
  <si>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</si>
  <si>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</si>
  <si>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</si>
  <si>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</si>
  <si>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</si>
  <si>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</si>
  <si>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</si>
  <si>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</si>
  <si>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</si>
  <si>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</si>
  <si>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</si>
  <si>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</si>
  <si>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</si>
  <si>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</si>
  <si>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</si>
  <si>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</si>
  <si>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</si>
  <si>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</si>
  <si>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</si>
  <si>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</si>
  <si>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</si>
  <si>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</si>
  <si>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</si>
  <si>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</si>
  <si>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</si>
  <si>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</si>
  <si>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</si>
  <si>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</si>
  <si>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</si>
  <si>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</si>
  <si>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</si>
  <si>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</si>
  <si>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</si>
  <si>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</si>
  <si>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</si>
  <si>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</si>
  <si>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</si>
  <si>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</si>
  <si>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</si>
  <si>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</si>
  <si>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</si>
  <si>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</si>
  <si>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</si>
  <si>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</si>
  <si>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</si>
  <si>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</si>
  <si>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</si>
  <si>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</si>
  <si>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</si>
  <si>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</si>
  <si>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</si>
  <si>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</si>
  <si>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</si>
  <si>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</si>
  <si>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</si>
  <si>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</si>
  <si>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</si>
  <si>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</si>
  <si>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</si>
  <si>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</si>
  <si>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</si>
  <si>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</si>
  <si>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</si>
  <si>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</si>
  <si>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</si>
  <si>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</si>
  <si>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</si>
  <si>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</si>
  <si>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</si>
  <si>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</si>
  <si>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</si>
  <si>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</si>
  <si>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</si>
  <si>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</si>
  <si>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</si>
  <si>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</si>
  <si>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</si>
  <si>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</si>
  <si>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</si>
  <si>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</si>
  <si>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</si>
  <si>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</si>
  <si>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</si>
  <si>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</si>
  <si>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</si>
  <si>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</si>
  <si>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</si>
  <si>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</si>
  <si>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</si>
  <si>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</si>
  <si>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</si>
  <si>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</si>
  <si>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</si>
  <si>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</si>
  <si>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</si>
  <si>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</si>
  <si>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</si>
  <si>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</si>
  <si>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</si>
  <si>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</si>
  <si>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</si>
  <si>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</si>
  <si>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</si>
  <si>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</si>
  <si>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</si>
  <si>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</si>
  <si>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</si>
  <si>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</si>
  <si>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</si>
  <si>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</si>
  <si>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</si>
  <si>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</si>
  <si>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</si>
  <si>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</si>
  <si>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</si>
  <si>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</si>
  <si>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</si>
  <si>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</si>
  <si>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</si>
  <si>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</si>
  <si>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</si>
  <si>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</si>
  <si>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</si>
  <si>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</si>
  <si>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</si>
  <si>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</si>
  <si>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</si>
  <si>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</si>
  <si>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</si>
  <si>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</si>
  <si>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</si>
  <si>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</si>
  <si>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</si>
  <si>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</si>
  <si>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</si>
  <si>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</si>
  <si>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</si>
  <si>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</si>
  <si>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</si>
  <si>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</si>
  <si>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</si>
  <si>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</si>
  <si>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</si>
  <si>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</si>
  <si>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</si>
  <si>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</si>
  <si>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</si>
  <si>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</si>
  <si>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</si>
  <si>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</si>
  <si>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</si>
  <si>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</si>
  <si>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</si>
  <si>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</si>
  <si>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</si>
  <si>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</si>
  <si>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</si>
  <si>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</si>
  <si>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</si>
  <si>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</si>
  <si>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</si>
  <si>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</si>
  <si>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</si>
  <si>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</si>
  <si>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</si>
  <si>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</si>
  <si>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</si>
  <si>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</si>
  <si>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</si>
  <si>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</si>
  <si>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</si>
  <si>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</si>
  <si>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</si>
  <si>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</si>
  <si>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</si>
  <si>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</si>
  <si>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</si>
  <si>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</si>
  <si>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</si>
  <si>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</si>
  <si>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</si>
  <si>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</si>
  <si>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</si>
  <si>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</si>
  <si>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</si>
  <si>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</si>
  <si>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</si>
  <si>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</si>
  <si>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</si>
  <si>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</si>
  <si>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</si>
  <si>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</si>
  <si>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</si>
  <si>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</si>
  <si>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</si>
  <si>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</si>
  <si>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</si>
  <si>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</si>
  <si>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</si>
  <si>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</si>
  <si>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</si>
  <si>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</si>
  <si>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</si>
  <si>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</si>
  <si>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</si>
  <si>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</si>
  <si>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</si>
  <si>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</si>
  <si>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</si>
  <si>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</si>
  <si>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</si>
  <si>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</si>
  <si>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</si>
  <si>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</si>
  <si>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</si>
  <si>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</si>
  <si>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</si>
  <si>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</si>
  <si>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</si>
  <si>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</si>
  <si>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</si>
  <si>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</si>
  <si>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</si>
  <si>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</si>
  <si>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</si>
  <si>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</si>
  <si>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</si>
  <si>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</si>
  <si>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</si>
  <si>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</si>
  <si>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</si>
  <si>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</si>
  <si>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</si>
  <si>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</si>
  <si>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</si>
  <si>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</si>
  <si>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</si>
  <si>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</si>
  <si>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</si>
  <si>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</si>
  <si>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</si>
  <si>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</si>
  <si>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</si>
  <si>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</si>
  <si>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</si>
  <si>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</si>
  <si>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</si>
  <si>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</si>
  <si>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</si>
  <si>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</si>
  <si>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</si>
  <si>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</si>
  <si>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</si>
  <si>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</si>
  <si>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</si>
  <si>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</si>
  <si>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</si>
  <si>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</si>
  <si>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</si>
  <si>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</si>
  <si>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</si>
  <si>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</si>
  <si>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</si>
  <si>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</si>
  <si>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</si>
  <si>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</si>
  <si>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</si>
  <si>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</si>
  <si>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</si>
  <si>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</si>
  <si>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</si>
  <si>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</si>
  <si>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</si>
  <si>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</si>
  <si>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</si>
  <si>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</si>
  <si>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</si>
  <si>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</si>
  <si>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</si>
  <si>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</si>
  <si>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</si>
  <si>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</si>
  <si>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</si>
  <si>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</si>
  <si>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</si>
  <si>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</si>
  <si>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</si>
  <si>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</si>
  <si>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</si>
  <si>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</si>
  <si>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</si>
  <si>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</si>
  <si>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</si>
  <si>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</si>
  <si>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</si>
  <si>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</si>
  <si>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</si>
  <si>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</si>
  <si>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</si>
  <si>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</si>
  <si>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</si>
  <si>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</si>
  <si>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</si>
  <si>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</si>
  <si>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</si>
  <si>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</si>
  <si>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</si>
  <si>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</si>
  <si>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</si>
  <si>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</si>
  <si>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</si>
  <si>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</si>
  <si>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</si>
  <si>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</si>
  <si>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</si>
  <si>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</si>
  <si>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</si>
  <si>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</si>
  <si>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</si>
  <si>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</si>
  <si>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</si>
  <si>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</si>
  <si>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</si>
  <si>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</si>
  <si>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</si>
  <si>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</si>
  <si>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</si>
  <si>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</si>
  <si>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</si>
  <si>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</si>
  <si>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</si>
  <si>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</si>
  <si>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</si>
  <si>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</si>
  <si>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</si>
  <si>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</si>
  <si>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</si>
  <si>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</si>
  <si>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</si>
  <si>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</si>
  <si>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</si>
  <si>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</si>
  <si>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</si>
  <si>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</si>
  <si>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</si>
  <si>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</si>
  <si>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</si>
  <si>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</si>
  <si>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</si>
  <si>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</si>
  <si>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</si>
  <si>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</si>
  <si>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</si>
  <si>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</si>
  <si>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</si>
  <si>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</si>
  <si>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</si>
  <si>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</si>
  <si>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</si>
  <si>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</si>
  <si>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</si>
  <si>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</si>
  <si>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</si>
  <si>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</si>
  <si>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</si>
  <si>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</si>
  <si>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</si>
  <si>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</si>
  <si>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</si>
  <si>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</si>
  <si>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</si>
  <si>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</si>
  <si>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</si>
  <si>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</si>
  <si>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</si>
  <si>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</si>
  <si>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</si>
  <si>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</si>
  <si>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</si>
  <si>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</si>
  <si>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</si>
  <si>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</si>
  <si>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</si>
  <si>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</si>
  <si>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</si>
  <si>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</si>
  <si>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</si>
  <si>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</si>
  <si>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</si>
  <si>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</si>
  <si>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</si>
  <si>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</si>
  <si>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</si>
  <si>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</si>
  <si>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</si>
  <si>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</si>
  <si>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</si>
  <si>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</si>
  <si>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</si>
  <si>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</si>
  <si>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</si>
  <si>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</si>
  <si>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</si>
  <si>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</si>
  <si>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</si>
  <si>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</si>
  <si>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</si>
  <si>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</si>
  <si>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</si>
  <si>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</si>
  <si>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</si>
  <si>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</si>
  <si>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</si>
  <si>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</si>
  <si>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</si>
  <si>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</si>
  <si>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</si>
  <si>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</si>
  <si>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</si>
  <si>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</si>
  <si>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</si>
  <si>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</si>
  <si>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</si>
  <si>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</si>
  <si>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</si>
  <si>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</si>
  <si>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</si>
  <si>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</si>
  <si>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</si>
  <si>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</si>
  <si>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</si>
  <si>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</si>
  <si>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</si>
  <si>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</si>
  <si>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</si>
  <si>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</si>
  <si>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</si>
  <si>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</si>
  <si>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</si>
  <si>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</si>
  <si>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</si>
  <si>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</si>
  <si>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</si>
  <si>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</si>
  <si>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</si>
  <si>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</si>
  <si>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</si>
  <si>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</si>
  <si>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</si>
  <si>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</si>
  <si>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</si>
  <si>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</si>
  <si>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</si>
  <si>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</si>
  <si>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</si>
  <si>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</si>
  <si>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</si>
  <si>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</si>
  <si>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</si>
  <si>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</si>
  <si>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</si>
  <si>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</si>
  <si>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</si>
  <si>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</si>
  <si>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</si>
  <si>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</si>
  <si>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</si>
  <si>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</si>
  <si>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</si>
  <si>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</si>
  <si>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</si>
  <si>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</si>
  <si>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</si>
  <si>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</si>
  <si>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</si>
  <si>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</si>
  <si>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</si>
  <si>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</si>
  <si>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</si>
  <si>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</si>
  <si>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</si>
  <si>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</si>
  <si>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</si>
  <si>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</si>
  <si>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</si>
  <si>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</si>
  <si>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</si>
  <si>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</si>
  <si>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</si>
  <si>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</si>
  <si>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</si>
  <si>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</si>
  <si>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</si>
  <si>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</si>
  <si>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</si>
  <si>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</si>
  <si>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</si>
  <si>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</si>
  <si>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</si>
  <si>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</si>
  <si>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</si>
  <si>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</si>
  <si>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</si>
  <si>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</si>
  <si>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</si>
  <si>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</si>
  <si>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</si>
  <si>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</si>
  <si>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</si>
  <si>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</si>
  <si>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</si>
  <si>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</si>
  <si>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</si>
  <si>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</si>
  <si>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</si>
  <si>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</si>
  <si>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</si>
  <si>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</si>
  <si>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</si>
  <si>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</si>
  <si>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</si>
  <si>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</si>
  <si>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</si>
  <si>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</si>
  <si>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</si>
  <si>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</si>
  <si>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</si>
  <si>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</si>
  <si>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</si>
  <si>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</si>
  <si>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</si>
  <si>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</si>
  <si>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</si>
  <si>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</si>
  <si>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</si>
  <si>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</si>
  <si>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</si>
  <si>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</si>
  <si>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</si>
  <si>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</si>
  <si>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</si>
  <si>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</si>
  <si>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</si>
  <si>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</si>
  <si>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</si>
  <si>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</si>
  <si>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</si>
  <si>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</si>
  <si>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</si>
  <si>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</si>
  <si>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</si>
  <si>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</si>
  <si>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</si>
  <si>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</si>
  <si>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</si>
  <si>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</si>
  <si>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</si>
  <si>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</si>
  <si>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</si>
  <si>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</si>
  <si>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</si>
  <si>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</si>
  <si>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</si>
  <si>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</si>
  <si>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</si>
  <si>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</si>
  <si>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</si>
  <si>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</si>
  <si>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</si>
  <si>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</si>
  <si>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</si>
  <si>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</si>
  <si>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</si>
  <si>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</si>
  <si>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</si>
  <si>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</si>
  <si>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</si>
  <si>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</si>
  <si>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</si>
  <si>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</si>
  <si>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</si>
  <si>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</si>
  <si>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</si>
  <si>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</si>
  <si>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</si>
  <si>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</si>
  <si>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</si>
  <si>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</si>
  <si>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</si>
  <si>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</si>
  <si>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</si>
  <si>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</si>
  <si>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</si>
  <si>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</si>
  <si>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</si>
  <si>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</si>
  <si>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</si>
  <si>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</si>
  <si>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</si>
  <si>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</si>
  <si>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</si>
  <si>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</si>
  <si>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</si>
  <si>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</si>
  <si>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</si>
  <si>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</si>
  <si>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</si>
  <si>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</si>
  <si>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</si>
  <si>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</si>
  <si>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</si>
  <si>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</si>
  <si>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</si>
  <si>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</si>
  <si>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</si>
  <si>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</si>
  <si>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</si>
  <si>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</si>
  <si>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</si>
  <si>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</si>
  <si>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</si>
  <si>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</si>
  <si>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</si>
  <si>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</si>
  <si>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</si>
  <si>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</si>
  <si>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</si>
  <si>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</si>
  <si>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</si>
  <si>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</si>
  <si>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</si>
  <si>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</si>
  <si>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</si>
  <si>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</si>
  <si>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</si>
  <si>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</si>
  <si>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</si>
  <si>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</si>
  <si>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</si>
  <si>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</si>
  <si>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</si>
  <si>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</si>
  <si>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</si>
  <si>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</si>
  <si>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</si>
  <si>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</si>
  <si>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</si>
  <si>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</si>
  <si>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</si>
  <si>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</si>
  <si>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</si>
  <si>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</si>
  <si>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</si>
  <si>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</si>
  <si>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</si>
  <si>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</si>
  <si>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</si>
  <si>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</si>
  <si>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</si>
  <si>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</si>
  <si>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</si>
  <si>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</si>
  <si>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</si>
  <si>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</si>
  <si>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</si>
  <si>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</si>
  <si>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</si>
  <si>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</si>
  <si>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</si>
  <si>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</si>
  <si>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</si>
  <si>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</si>
  <si>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</si>
  <si>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</si>
  <si>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</si>
  <si>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</si>
  <si>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</si>
  <si>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</si>
  <si>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</si>
  <si>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</si>
  <si>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</si>
  <si>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</si>
  <si>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</si>
  <si>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</si>
  <si>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</si>
  <si>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</si>
  <si>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</si>
  <si>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</si>
  <si>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</si>
  <si>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</si>
  <si>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</si>
  <si>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</si>
  <si>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</si>
  <si>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</si>
  <si>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</si>
  <si>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</si>
  <si>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</si>
  <si>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</si>
  <si>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</si>
  <si>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</si>
  <si>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</si>
  <si>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</si>
  <si>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</si>
  <si>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</si>
  <si>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</si>
  <si>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</si>
  <si>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</si>
  <si>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</si>
  <si>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</si>
  <si>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</si>
  <si>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</si>
  <si>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</si>
  <si>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</si>
  <si>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</si>
  <si>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</si>
  <si>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</si>
  <si>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</si>
  <si>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</si>
  <si>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</si>
  <si>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</si>
  <si>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</si>
  <si>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</si>
  <si>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</si>
  <si>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</si>
  <si>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</si>
  <si>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</si>
  <si>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</si>
  <si>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</si>
  <si>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</si>
  <si>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</si>
  <si>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</si>
  <si>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</si>
  <si>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</si>
  <si>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</si>
  <si>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</si>
  <si>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</si>
  <si>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</si>
  <si>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</si>
  <si>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</si>
  <si>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</si>
  <si>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</si>
  <si>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</si>
  <si>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</si>
  <si>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</si>
  <si>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</si>
  <si>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</si>
  <si>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</si>
  <si>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</si>
  <si>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</si>
  <si>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</si>
  <si>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</si>
  <si>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</si>
  <si>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</si>
  <si>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</si>
  <si>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</si>
  <si>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</si>
  <si>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</si>
  <si>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</si>
  <si>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</si>
  <si>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</si>
  <si>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</si>
  <si>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</si>
  <si>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</si>
  <si>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</si>
  <si>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</si>
  <si>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</si>
  <si>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</si>
  <si>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</si>
  <si>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</si>
  <si>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</si>
  <si>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</si>
  <si>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</si>
  <si>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</si>
  <si>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</si>
  <si>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</si>
  <si>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</si>
  <si>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</si>
  <si>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</si>
  <si>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</si>
  <si>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</si>
  <si>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</si>
  <si>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</si>
  <si>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</si>
  <si>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</si>
  <si>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</si>
  <si>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</si>
  <si>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</si>
  <si>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</si>
  <si>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</si>
  <si>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</si>
  <si>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</si>
  <si>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</si>
  <si>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</si>
  <si>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</si>
  <si>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</si>
  <si>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</si>
  <si>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</si>
  <si>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</si>
  <si>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</si>
  <si>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</si>
  <si>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</si>
  <si>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</si>
  <si>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</si>
  <si>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</si>
  <si>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</si>
  <si>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</si>
  <si>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</si>
  <si>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</si>
  <si>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</si>
  <si>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</si>
  <si>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</si>
  <si>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</si>
  <si>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</si>
  <si>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</si>
  <si>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</si>
  <si>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</si>
  <si>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</si>
  <si>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</si>
  <si>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</si>
  <si>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</si>
  <si>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</si>
  <si>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</si>
  <si>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</si>
  <si>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</si>
  <si>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</si>
  <si>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</si>
  <si>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</si>
  <si>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</si>
  <si>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</si>
  <si>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</si>
  <si>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</si>
  <si>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</si>
  <si>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</si>
  <si>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</si>
  <si>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</si>
  <si>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</si>
  <si>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</si>
  <si>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</si>
  <si>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</si>
  <si>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</si>
  <si>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</si>
  <si>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</si>
  <si>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</si>
  <si>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</si>
  <si>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</si>
  <si>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</si>
  <si>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</si>
  <si>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</si>
  <si>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</si>
  <si>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</si>
  <si>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</si>
  <si>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</si>
  <si>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</si>
  <si>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</si>
  <si>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</si>
  <si>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</si>
  <si>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</si>
  <si>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</si>
  <si>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</si>
  <si>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</si>
  <si>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</si>
  <si>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</si>
  <si>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</si>
  <si>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</si>
  <si>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</si>
  <si>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</si>
  <si>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</si>
  <si>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</si>
  <si>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</si>
  <si>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</si>
  <si>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</si>
  <si>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</si>
  <si>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</si>
  <si>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</si>
  <si>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</si>
  <si>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</si>
  <si>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</si>
  <si>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</si>
  <si>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</si>
  <si>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</si>
  <si>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</si>
  <si>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</si>
  <si>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</si>
  <si>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</si>
  <si>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</si>
  <si>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</si>
  <si>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</si>
  <si>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</si>
  <si>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</si>
  <si>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</si>
  <si>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</si>
  <si>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</si>
  <si>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</si>
  <si>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</si>
  <si>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</si>
  <si>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</si>
  <si>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</si>
  <si>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</si>
  <si>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</si>
  <si>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</si>
  <si>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</si>
  <si>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</si>
  <si>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</si>
  <si>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</si>
  <si>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</si>
  <si>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</si>
  <si>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</si>
  <si>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</si>
  <si>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</si>
  <si>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</si>
  <si>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</si>
  <si>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</si>
  <si>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</si>
  <si>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</si>
  <si>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</si>
  <si>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</si>
  <si>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</si>
  <si>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</si>
  <si>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</si>
  <si>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</si>
  <si>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</si>
  <si>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</si>
  <si>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</si>
  <si>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</si>
  <si>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</si>
  <si>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</si>
  <si>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</si>
  <si>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</si>
  <si>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</si>
  <si>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</si>
  <si>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</si>
  <si>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</si>
  <si>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</si>
  <si>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</si>
  <si>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</si>
  <si>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</si>
  <si>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</si>
  <si>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</si>
  <si>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</si>
  <si>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</si>
  <si>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</si>
  <si>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</si>
  <si>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</si>
  <si>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</si>
  <si>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</si>
  <si>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</si>
  <si>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</si>
  <si>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</si>
  <si>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</si>
  <si>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</si>
  <si>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</si>
  <si>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</si>
  <si>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</si>
  <si>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</si>
  <si>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</si>
  <si>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</si>
  <si>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</si>
  <si>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</si>
  <si>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</si>
  <si>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</si>
  <si>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</si>
  <si>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</si>
  <si>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</si>
  <si>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</si>
  <si>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</si>
  <si>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</si>
  <si>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</si>
  <si>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</si>
  <si>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</si>
  <si>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</si>
  <si>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</si>
  <si>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</si>
  <si>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</si>
  <si>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</si>
  <si>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</si>
  <si>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</si>
  <si>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</si>
  <si>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</si>
  <si>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</si>
  <si>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</si>
  <si>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</si>
  <si>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</si>
  <si>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</si>
  <si>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</si>
  <si>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</si>
  <si>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</si>
  <si>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</si>
  <si>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</si>
  <si>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</si>
  <si>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</si>
  <si>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</si>
  <si>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</si>
  <si>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</si>
  <si>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</si>
  <si>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</si>
  <si>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</si>
  <si>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</si>
  <si>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</si>
  <si>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</si>
  <si>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</si>
  <si>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</si>
  <si>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</si>
  <si>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</si>
  <si>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</si>
  <si>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</si>
  <si>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</si>
  <si>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</si>
  <si>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</si>
  <si>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</si>
  <si>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</si>
  <si>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</si>
  <si>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</si>
  <si>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</si>
  <si>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</si>
  <si>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</si>
  <si>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</si>
  <si>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</si>
  <si>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</si>
  <si>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</si>
  <si>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</si>
  <si>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</si>
  <si>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</si>
  <si>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</si>
  <si>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</si>
  <si>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</si>
  <si>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</si>
  <si>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</si>
  <si>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</si>
  <si>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</si>
  <si>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</si>
  <si>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</si>
  <si>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</si>
  <si>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CoC_C.G포함</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</si>
  <si>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</si>
  <si>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</si>
  <si>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</si>
  <si>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</si>
  <si>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</si>
  <si>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</si>
  <si>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</si>
  <si>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</si>
  <si>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</si>
  <si>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</si>
  <si>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</si>
  <si>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</si>
  <si>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</si>
  <si>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</si>
  <si>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</si>
  <si>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</si>
  <si>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</si>
  <si>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</si>
  <si>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</si>
  <si>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</si>
  <si>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</si>
  <si>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</si>
  <si>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</si>
  <si>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</si>
  <si>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</si>
  <si>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</si>
  <si>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</si>
  <si>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</si>
  <si>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</si>
  <si>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</si>
  <si>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</si>
  <si>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</si>
  <si>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</si>
  <si>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</si>
  <si>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</si>
  <si>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</si>
  <si>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</si>
  <si>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</si>
  <si>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</si>
  <si>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</si>
  <si>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</si>
  <si>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</si>
  <si>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</si>
  <si>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</si>
  <si>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</si>
  <si>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</si>
  <si>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</si>
  <si>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</si>
  <si>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</si>
  <si>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</si>
  <si>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</si>
  <si>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</si>
  <si>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</si>
  <si>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</si>
  <si>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</si>
  <si>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</si>
  <si>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</si>
  <si>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</si>
  <si>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</si>
  <si>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</si>
  <si>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</si>
  <si>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</si>
  <si>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</si>
  <si>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</si>
  <si>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</si>
  <si>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</si>
  <si>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</si>
  <si>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</si>
  <si>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</si>
  <si>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</si>
  <si>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</si>
  <si>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</si>
  <si>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</si>
  <si>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</si>
  <si>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</si>
  <si>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2-1</t>
    <phoneticPr fontId="2" type="noConversion"/>
  </si>
  <si>
    <t>2-2</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</si>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</sst>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4">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s>
  <fonts count="248">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b/>
      <sz val="9"/>
      <color theme="1"/>
      <name val="맑은 고딕"/>
      <family val="3"/>
      <charset val="129"/>
      <scheme val="minor"/>
    </font>
    <font>
      <sz val="9"/>
      <color rgb="FFFF0000"/>
      <name val="맑은 고딕"/>
      <family val="3"/>
      <charset val="129"/>
      <scheme val="minor"/>
    </font>
    <font>
      <b/>
      <sz val="9"/>
      <name val="맑은 고딕"/>
      <family val="3"/>
      <charset val="129"/>
      <scheme val="minor"/>
    </font>
    <font>
      <sz val="9"/>
      <color theme="4" tint="0.59999389629810485"/>
      <name val="맑은 고딕"/>
      <family val="3"/>
      <charset val="129"/>
    </font>
    <font>
      <i/>
      <sz val="9"/>
      <name val="KoPubWorld돋움체 Light"/>
      <family val="3"/>
      <charset val="129"/>
    </font>
    <font>
      <b/>
      <u/>
      <sz val="9"/>
      <color theme="1"/>
      <name val="맑은 고딕"/>
      <family val="3"/>
      <charset val="129"/>
    </font>
  </fonts>
  <fills count="71">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s>
  <borders count="511">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001">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0" borderId="292" xfId="0" applyNumberFormat="1" applyFont="1" applyBorder="1">
      <alignment vertical="center"/>
    </xf>
    <xf numFmtId="182" fontId="11" fillId="0" borderId="293" xfId="0" applyNumberFormat="1" applyFont="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265" fontId="115" fillId="20" borderId="0" xfId="0" applyNumberFormat="1" applyFont="1" applyFill="1">
      <alignment vertical="center"/>
    </xf>
    <xf numFmtId="262" fontId="115" fillId="0" borderId="0" xfId="0" applyNumberFormat="1" applyFont="1">
      <alignment vertical="center"/>
    </xf>
    <xf numFmtId="265" fontId="115" fillId="0" borderId="0" xfId="0" applyNumberFormat="1" applyFont="1">
      <alignment vertical="center"/>
    </xf>
    <xf numFmtId="281" fontId="115" fillId="0" borderId="0" xfId="0" applyNumberFormat="1" applyFont="1">
      <alignment vertical="center"/>
    </xf>
    <xf numFmtId="0" fontId="242" fillId="0" borderId="0" xfId="0" applyFont="1">
      <alignment vertical="center"/>
    </xf>
    <xf numFmtId="0" fontId="115" fillId="29" borderId="0" xfId="0" applyFont="1" applyFill="1">
      <alignment vertical="center"/>
    </xf>
    <xf numFmtId="262" fontId="115" fillId="29" borderId="0" xfId="0" applyNumberFormat="1" applyFont="1" applyFill="1">
      <alignment vertical="center"/>
    </xf>
    <xf numFmtId="0" fontId="115" fillId="0" borderId="209" xfId="0" applyFont="1" applyBorder="1">
      <alignment vertical="center"/>
    </xf>
    <xf numFmtId="0" fontId="115" fillId="0" borderId="209" xfId="0" applyFont="1" applyBorder="1" applyAlignment="1">
      <alignment horizontal="center" vertical="center"/>
    </xf>
    <xf numFmtId="282" fontId="115" fillId="0" borderId="0" xfId="0" applyNumberFormat="1" applyFont="1">
      <alignment vertical="center"/>
    </xf>
    <xf numFmtId="265" fontId="115" fillId="51" borderId="0" xfId="0" applyNumberFormat="1" applyFont="1" applyFill="1">
      <alignment vertical="center"/>
    </xf>
    <xf numFmtId="265" fontId="115" fillId="0" borderId="209" xfId="0" applyNumberFormat="1" applyFont="1" applyBorder="1">
      <alignment vertical="center"/>
    </xf>
    <xf numFmtId="281" fontId="115" fillId="0" borderId="209" xfId="0" applyNumberFormat="1" applyFont="1" applyBorder="1">
      <alignment vertical="center"/>
    </xf>
    <xf numFmtId="265" fontId="115" fillId="8" borderId="209" xfId="0" applyNumberFormat="1" applyFont="1" applyFill="1" applyBorder="1">
      <alignment vertical="center"/>
    </xf>
    <xf numFmtId="262" fontId="115" fillId="0" borderId="209" xfId="0" applyNumberFormat="1" applyFont="1" applyBorder="1">
      <alignment vertical="center"/>
    </xf>
    <xf numFmtId="192" fontId="115" fillId="0" borderId="0" xfId="0" applyNumberFormat="1" applyFont="1">
      <alignment vertical="center"/>
    </xf>
    <xf numFmtId="265" fontId="243" fillId="0" borderId="0" xfId="0" applyNumberFormat="1" applyFont="1">
      <alignment vertical="center"/>
    </xf>
    <xf numFmtId="0" fontId="244" fillId="14" borderId="0" xfId="0" applyFont="1" applyFill="1">
      <alignment vertical="center"/>
    </xf>
    <xf numFmtId="265" fontId="244" fillId="14" borderId="0" xfId="0" applyNumberFormat="1" applyFont="1" applyFill="1">
      <alignment vertical="center"/>
    </xf>
    <xf numFmtId="281" fontId="244" fillId="14" borderId="0" xfId="0" applyNumberFormat="1" applyFont="1" applyFill="1">
      <alignment vertical="center"/>
    </xf>
    <xf numFmtId="262" fontId="244" fillId="14" borderId="0" xfId="0" applyNumberFormat="1" applyFont="1" applyFill="1">
      <alignment vertical="center"/>
    </xf>
    <xf numFmtId="282" fontId="244" fillId="14" borderId="0" xfId="0" applyNumberFormat="1" applyFont="1" applyFill="1">
      <alignment vertical="center"/>
    </xf>
    <xf numFmtId="0" fontId="242" fillId="14" borderId="0" xfId="0" applyFont="1" applyFill="1">
      <alignment vertical="center"/>
    </xf>
    <xf numFmtId="265" fontId="242" fillId="14" borderId="0" xfId="0" applyNumberFormat="1" applyFont="1" applyFill="1">
      <alignment vertical="center"/>
    </xf>
    <xf numFmtId="281" fontId="242" fillId="14" borderId="0" xfId="0" applyNumberFormat="1" applyFont="1" applyFill="1">
      <alignment vertical="center"/>
    </xf>
    <xf numFmtId="262" fontId="242" fillId="14" borderId="0" xfId="0" applyNumberFormat="1" applyFont="1" applyFill="1">
      <alignment vertical="center"/>
    </xf>
    <xf numFmtId="282" fontId="242" fillId="14" borderId="0" xfId="0" applyNumberFormat="1" applyFont="1" applyFill="1">
      <alignment vertical="center"/>
    </xf>
    <xf numFmtId="0" fontId="115" fillId="14" borderId="0" xfId="0" applyFont="1" applyFill="1">
      <alignment vertical="center"/>
    </xf>
    <xf numFmtId="265" fontId="115" fillId="14" borderId="0" xfId="0" applyNumberFormat="1" applyFont="1" applyFill="1">
      <alignment vertical="center"/>
    </xf>
    <xf numFmtId="281" fontId="115" fillId="14" borderId="0" xfId="0" applyNumberFormat="1" applyFont="1" applyFill="1">
      <alignment vertical="center"/>
    </xf>
    <xf numFmtId="262" fontId="115" fillId="14" borderId="0" xfId="0" applyNumberFormat="1" applyFont="1" applyFill="1">
      <alignment vertical="center"/>
    </xf>
    <xf numFmtId="282" fontId="115" fillId="14" borderId="0" xfId="0" applyNumberFormat="1" applyFont="1" applyFill="1">
      <alignment vertical="center"/>
    </xf>
    <xf numFmtId="276" fontId="115" fillId="0" borderId="0" xfId="0" applyNumberFormat="1" applyFont="1">
      <alignment vertical="center"/>
    </xf>
    <xf numFmtId="283" fontId="115" fillId="0" borderId="0" xfId="0" applyNumberFormat="1" applyFont="1">
      <alignment vertical="center"/>
    </xf>
    <xf numFmtId="276" fontId="115" fillId="0" borderId="77" xfId="0" applyNumberFormat="1" applyFont="1" applyBorder="1">
      <alignment vertical="center"/>
    </xf>
    <xf numFmtId="283" fontId="115" fillId="0" borderId="77" xfId="0" applyNumberFormat="1" applyFont="1" applyBorder="1">
      <alignment vertical="center"/>
    </xf>
    <xf numFmtId="265" fontId="115" fillId="0" borderId="77" xfId="0" applyNumberFormat="1" applyFont="1" applyBorder="1">
      <alignment vertical="center"/>
    </xf>
    <xf numFmtId="0" fontId="115" fillId="0" borderId="77" xfId="0" applyFont="1" applyBorder="1">
      <alignment vertical="center"/>
    </xf>
    <xf numFmtId="265" fontId="115" fillId="29" borderId="0" xfId="0" applyNumberFormat="1" applyFont="1" applyFill="1">
      <alignmen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5" fillId="0" borderId="63" xfId="0" applyFont="1" applyBorder="1" applyAlignment="1">
      <alignment horizontal="right" vertical="center"/>
    </xf>
    <xf numFmtId="0" fontId="245" fillId="0" borderId="240" xfId="0" applyFont="1" applyBorder="1">
      <alignment vertical="center"/>
    </xf>
    <xf numFmtId="176" fontId="245" fillId="0" borderId="33" xfId="0" applyNumberFormat="1" applyFont="1" applyBorder="1" applyAlignment="1">
      <alignment horizontal="right" vertical="center"/>
    </xf>
    <xf numFmtId="176" fontId="245" fillId="0" borderId="0" xfId="0" applyNumberFormat="1" applyFont="1" applyAlignment="1">
      <alignment horizontal="righ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33" xfId="0"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6" fillId="0" borderId="0" xfId="0" applyNumberFormat="1" applyFont="1">
      <alignment vertical="center"/>
    </xf>
    <xf numFmtId="10" fontId="246" fillId="0" borderId="113" xfId="0" applyNumberFormat="1" applyFont="1" applyBorder="1">
      <alignment vertical="center"/>
    </xf>
    <xf numFmtId="10" fontId="246" fillId="0" borderId="77" xfId="0" applyNumberFormat="1" applyFont="1" applyBorder="1">
      <alignment vertical="center"/>
    </xf>
    <xf numFmtId="10" fontId="246"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6" fillId="0" borderId="166" xfId="0" applyNumberFormat="1" applyFont="1" applyBorder="1">
      <alignment vertical="center"/>
    </xf>
    <xf numFmtId="0" fontId="247"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184" fillId="53" borderId="509"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0" fontId="177" fillId="55" borderId="159" xfId="0" applyFont="1" applyFill="1" applyBorder="1" applyAlignment="1">
      <alignment horizontal="left"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0" fontId="68" fillId="37" borderId="308" xfId="0" applyFont="1" applyFill="1" applyBorder="1" applyAlignment="1">
      <alignment horizontal="right" vertical="center" wrapText="1" readingOrder="1"/>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0" fontId="219" fillId="63" borderId="455" xfId="26" applyFont="1" applyBorder="1">
      <alignment horizontal="center" vertical="center"/>
    </xf>
    <xf numFmtId="0" fontId="219" fillId="63" borderId="456" xfId="26" applyFont="1" applyBorder="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0" fontId="215" fillId="63" borderId="465" xfId="25" applyFont="1" applyFill="1" applyBorder="1" applyAlignment="1">
      <alignment horizontal="center" vertical="center"/>
    </xf>
    <xf numFmtId="0" fontId="215" fillId="63" borderId="449" xfId="25" applyFont="1" applyFill="1" applyBorder="1" applyAlignment="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48" xfId="25" applyFont="1" applyFill="1" applyBorder="1" applyAlignment="1">
      <alignment horizontal="center" vertical="center"/>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205" fillId="0" borderId="440" xfId="0" applyFont="1" applyBorder="1" applyAlignment="1">
      <alignment horizontal="left" vertical="center" wrapText="1"/>
    </xf>
    <xf numFmtId="0" fontId="28" fillId="0" borderId="440" xfId="0" applyFont="1" applyBorder="1" applyAlignment="1">
      <alignment horizontal="left" vertical="center" wrapText="1"/>
    </xf>
    <xf numFmtId="0" fontId="210" fillId="0" borderId="0" xfId="0" applyFont="1" applyAlignment="1">
      <alignment horizontal="left" vertical="center"/>
    </xf>
    <xf numFmtId="0" fontId="203" fillId="58" borderId="0" xfId="0" applyFont="1" applyFill="1" applyAlignment="1">
      <alignment horizontal="left" vertical="center"/>
    </xf>
    <xf numFmtId="0" fontId="93" fillId="61" borderId="440" xfId="0" applyFont="1" applyFill="1" applyBorder="1" applyAlignment="1">
      <alignment horizontal="left" vertical="center" wrapText="1"/>
    </xf>
    <xf numFmtId="0" fontId="211" fillId="0" borderId="440" xfId="0" applyFont="1" applyBorder="1" applyAlignment="1">
      <alignment horizontal="left" vertical="center" wrapText="1"/>
    </xf>
    <xf numFmtId="0" fontId="210" fillId="0" borderId="440" xfId="0" applyFont="1" applyBorder="1" applyAlignment="1">
      <alignment horizontal="left" vertical="center" wrapText="1"/>
    </xf>
    <xf numFmtId="0" fontId="211" fillId="0" borderId="0" xfId="0" applyFont="1" applyAlignment="1">
      <alignment horizontal="left" vertical="center"/>
    </xf>
    <xf numFmtId="0" fontId="204" fillId="58" borderId="439" xfId="0" applyFont="1" applyFill="1" applyBorder="1" applyAlignment="1">
      <alignment horizontal="center" vertical="center"/>
    </xf>
    <xf numFmtId="0" fontId="0" fillId="0" borderId="0" xfId="0" applyAlignment="1"/>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93" fillId="59" borderId="440" xfId="0" applyFont="1" applyFill="1" applyBorder="1" applyAlignment="1">
      <alignment horizontal="center" vertical="center"/>
    </xf>
    <xf numFmtId="41" fontId="174" fillId="6" borderId="159" xfId="10"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41" fontId="197" fillId="6" borderId="159" xfId="10"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8"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137" xfId="0" applyFont="1" applyFill="1" applyBorder="1" applyAlignment="1">
      <alignment horizontal="center" vertical="center"/>
    </xf>
    <xf numFmtId="0" fontId="104" fillId="11" borderId="159" xfId="0" applyFont="1" applyFill="1" applyBorder="1" applyAlignment="1">
      <alignment horizontal="center" vertical="center"/>
    </xf>
    <xf numFmtId="0" fontId="104" fillId="11" borderId="142" xfId="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7" fillId="0" borderId="159"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41" fontId="117" fillId="6" borderId="159" xfId="10" applyFont="1" applyFill="1" applyBorder="1" applyAlignment="1">
      <alignment horizontal="right" vertical="center"/>
    </xf>
    <xf numFmtId="41" fontId="104" fillId="6" borderId="159" xfId="10" applyFont="1" applyFill="1" applyBorder="1" applyAlignment="1">
      <alignment horizontal="right" vertical="center"/>
    </xf>
    <xf numFmtId="0" fontId="109" fillId="0" borderId="159" xfId="0" applyFont="1" applyBorder="1" applyAlignment="1">
      <alignment horizontal="center"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0" fontId="104" fillId="11" borderId="210"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2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2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2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3" customWidth="1"/>
    <col min="4" max="4" width="9.5" customWidth="1"/>
    <col min="5" max="5" width="9.5" style="2527" customWidth="1"/>
    <col min="6" max="6" width="51.625" style="2527" customWidth="1"/>
    <col min="7" max="7" width="2.625" style="2515" customWidth="1"/>
    <col min="9" max="9" width="11.375" bestFit="1" customWidth="1"/>
    <col min="10" max="10" width="11.25" bestFit="1" customWidth="1"/>
    <col min="11" max="24" width="11.125" bestFit="1" customWidth="1"/>
  </cols>
  <sheetData>
    <row r="1" spans="1:25" ht="11.25" customHeight="1">
      <c r="A1" t="s">
        <v>1230</v>
      </c>
      <c r="H1" s="2096">
        <v>3</v>
      </c>
      <c r="P1" t="s">
        <v>1237</v>
      </c>
      <c r="Q1" t="s">
        <v>1237</v>
      </c>
      <c r="R1" t="s">
        <v>1237</v>
      </c>
      <c r="S1" t="s">
        <v>1237</v>
      </c>
      <c r="T1" t="s">
        <v>1237</v>
      </c>
      <c r="U1" t="s">
        <v>1237</v>
      </c>
      <c r="V1" t="s">
        <v>1237</v>
      </c>
      <c r="W1" t="s">
        <v>1237</v>
      </c>
      <c r="X1" t="s">
        <v>1237</v>
      </c>
    </row>
    <row r="2" spans="1:25" ht="11.25" customHeight="1">
      <c r="C2" s="2567" t="s">
        <v>1683</v>
      </c>
      <c r="D2" s="2567" t="s">
        <v>1684</v>
      </c>
    </row>
    <row r="3" spans="1:25" ht="11.25" customHeight="1">
      <c r="C3" s="2530">
        <v>45901</v>
      </c>
      <c r="D3" s="2098">
        <f>I3</f>
        <v>46326</v>
      </c>
      <c r="H3" t="s">
        <v>119</v>
      </c>
      <c r="I3" s="2098">
        <f>'A&amp;R'!M32</f>
        <v>46326</v>
      </c>
      <c r="J3" s="2098">
        <f>I4+1</f>
        <v>46419</v>
      </c>
      <c r="K3" s="2098">
        <f t="shared" ref="K3:X3" si="0">J4+1</f>
        <v>46508</v>
      </c>
      <c r="L3" s="2098">
        <f t="shared" si="0"/>
        <v>46600</v>
      </c>
      <c r="M3" s="2098">
        <f t="shared" si="0"/>
        <v>46692</v>
      </c>
      <c r="N3" s="2098">
        <f t="shared" si="0"/>
        <v>46784</v>
      </c>
      <c r="O3" s="2098">
        <f t="shared" si="0"/>
        <v>46874</v>
      </c>
      <c r="P3" s="2098">
        <f t="shared" si="0"/>
        <v>46966</v>
      </c>
      <c r="Q3" s="2098">
        <f t="shared" si="0"/>
        <v>47058</v>
      </c>
      <c r="R3" s="2098">
        <f t="shared" si="0"/>
        <v>47150</v>
      </c>
      <c r="S3" s="2098">
        <f t="shared" si="0"/>
        <v>47239</v>
      </c>
      <c r="T3" s="2098">
        <f t="shared" si="0"/>
        <v>47331</v>
      </c>
      <c r="U3" s="2098">
        <f t="shared" si="0"/>
        <v>47423</v>
      </c>
      <c r="V3" s="2098">
        <f t="shared" si="0"/>
        <v>47515</v>
      </c>
      <c r="W3" s="2098">
        <f t="shared" si="0"/>
        <v>47604</v>
      </c>
      <c r="X3" s="2098">
        <f t="shared" si="0"/>
        <v>47696</v>
      </c>
    </row>
    <row r="4" spans="1:25" ht="11.25" customHeight="1">
      <c r="C4" s="2530">
        <v>46081</v>
      </c>
      <c r="D4" s="2098">
        <f>J4</f>
        <v>46507</v>
      </c>
      <c r="H4" t="s">
        <v>120</v>
      </c>
      <c r="I4" s="2098">
        <f>EOMONTH(I3-1,$H$1)</f>
        <v>46418</v>
      </c>
      <c r="J4" s="2098">
        <f>EOMONTH(J3-1,$H$1)</f>
        <v>46507</v>
      </c>
      <c r="K4" s="2098">
        <f t="shared" ref="K4:X4" si="1">EOMONTH(K3-1,$H$1)</f>
        <v>46599</v>
      </c>
      <c r="L4" s="2098">
        <f t="shared" si="1"/>
        <v>46691</v>
      </c>
      <c r="M4" s="2098">
        <f t="shared" si="1"/>
        <v>46783</v>
      </c>
      <c r="N4" s="2098">
        <f t="shared" si="1"/>
        <v>46873</v>
      </c>
      <c r="O4" s="2098">
        <f t="shared" si="1"/>
        <v>46965</v>
      </c>
      <c r="P4" s="2098">
        <f t="shared" si="1"/>
        <v>47057</v>
      </c>
      <c r="Q4" s="2098">
        <f t="shared" si="1"/>
        <v>47149</v>
      </c>
      <c r="R4" s="2098">
        <f t="shared" si="1"/>
        <v>47238</v>
      </c>
      <c r="S4" s="2098">
        <f t="shared" si="1"/>
        <v>47330</v>
      </c>
      <c r="T4" s="2098">
        <f t="shared" si="1"/>
        <v>47422</v>
      </c>
      <c r="U4" s="2098">
        <f t="shared" si="1"/>
        <v>47514</v>
      </c>
      <c r="V4" s="2098">
        <f t="shared" si="1"/>
        <v>47603</v>
      </c>
      <c r="W4" s="2098">
        <f t="shared" si="1"/>
        <v>47695</v>
      </c>
      <c r="X4" s="2098">
        <f t="shared" si="1"/>
        <v>47787</v>
      </c>
    </row>
    <row r="5" spans="1:25" ht="11.25" customHeight="1">
      <c r="A5" s="2786" t="s">
        <v>1207</v>
      </c>
      <c r="B5" s="2786"/>
      <c r="C5" s="2531" t="s">
        <v>1678</v>
      </c>
      <c r="D5" s="2523" t="s">
        <v>1679</v>
      </c>
      <c r="E5" s="2523" t="s">
        <v>1680</v>
      </c>
      <c r="F5" s="2570" t="s">
        <v>1681</v>
      </c>
      <c r="G5" s="2516"/>
      <c r="H5" s="2510" t="s">
        <v>104</v>
      </c>
      <c r="I5" s="2097">
        <v>1</v>
      </c>
      <c r="J5" s="2097">
        <f>I5+1</f>
        <v>2</v>
      </c>
      <c r="K5" s="2097">
        <f t="shared" ref="K5:X5" si="2">J5+1</f>
        <v>3</v>
      </c>
      <c r="L5" s="2097">
        <f t="shared" si="2"/>
        <v>4</v>
      </c>
      <c r="M5" s="2097">
        <f t="shared" si="2"/>
        <v>5</v>
      </c>
      <c r="N5" s="2097">
        <f t="shared" si="2"/>
        <v>6</v>
      </c>
      <c r="O5" s="2097">
        <f t="shared" si="2"/>
        <v>7</v>
      </c>
      <c r="P5" s="2097">
        <f t="shared" si="2"/>
        <v>8</v>
      </c>
      <c r="Q5" s="2097">
        <f t="shared" si="2"/>
        <v>9</v>
      </c>
      <c r="R5" s="2097">
        <f t="shared" si="2"/>
        <v>10</v>
      </c>
      <c r="S5" s="2097">
        <f t="shared" si="2"/>
        <v>11</v>
      </c>
      <c r="T5" s="2097">
        <f t="shared" si="2"/>
        <v>12</v>
      </c>
      <c r="U5" s="2097">
        <f t="shared" si="2"/>
        <v>13</v>
      </c>
      <c r="V5" s="2097">
        <f t="shared" si="2"/>
        <v>14</v>
      </c>
      <c r="W5" s="2097">
        <f t="shared" si="2"/>
        <v>15</v>
      </c>
      <c r="X5" s="2097">
        <f t="shared" si="2"/>
        <v>16</v>
      </c>
    </row>
    <row r="6" spans="1:25" ht="11.25" customHeight="1">
      <c r="A6" s="2787" t="s">
        <v>1208</v>
      </c>
      <c r="B6" s="2787"/>
      <c r="C6" s="2532">
        <f>SUM(C7:C9)</f>
        <v>6876.7254700000003</v>
      </c>
      <c r="D6" s="2103">
        <f>SUM(D7:D9)</f>
        <v>7464.3223097152804</v>
      </c>
      <c r="E6" s="2103">
        <f>D6-C6</f>
        <v>587.59683971528011</v>
      </c>
      <c r="F6" s="2103"/>
      <c r="G6" s="2517"/>
      <c r="H6" s="2511">
        <f t="shared" ref="H6:H33" si="3">SUM(I6:X6)</f>
        <v>31019.959627661996</v>
      </c>
      <c r="I6" s="2103">
        <f>SUM(I7:I9)</f>
        <v>3692.0650452947502</v>
      </c>
      <c r="J6" s="2103">
        <f t="shared" ref="J6:X6" si="4">SUM(J7:J9)</f>
        <v>3772.2572644205302</v>
      </c>
      <c r="K6" s="2103">
        <f t="shared" si="4"/>
        <v>3859.1154334992816</v>
      </c>
      <c r="L6" s="2103">
        <f t="shared" si="4"/>
        <v>4013.662476061781</v>
      </c>
      <c r="M6" s="2103">
        <f t="shared" si="4"/>
        <v>3774.9495923339682</v>
      </c>
      <c r="N6" s="2103">
        <f t="shared" si="4"/>
        <v>3857.1466169378946</v>
      </c>
      <c r="O6" s="2103">
        <f t="shared" si="4"/>
        <v>3946.1762402436129</v>
      </c>
      <c r="P6" s="2103">
        <f t="shared" si="4"/>
        <v>4104.5869588701753</v>
      </c>
      <c r="Q6" s="2103">
        <f t="shared" si="4"/>
        <v>0</v>
      </c>
      <c r="R6" s="2103">
        <f t="shared" si="4"/>
        <v>0</v>
      </c>
      <c r="S6" s="2103">
        <f t="shared" si="4"/>
        <v>0</v>
      </c>
      <c r="T6" s="2103">
        <f t="shared" si="4"/>
        <v>0</v>
      </c>
      <c r="U6" s="2103">
        <f t="shared" si="4"/>
        <v>0</v>
      </c>
      <c r="V6" s="2103">
        <f t="shared" si="4"/>
        <v>0</v>
      </c>
      <c r="W6" s="2103">
        <f t="shared" si="4"/>
        <v>0</v>
      </c>
      <c r="X6" s="2103">
        <f t="shared" si="4"/>
        <v>0</v>
      </c>
      <c r="Y6" t="b">
        <f>ABS(SUM('IS(M)'!N18:AK18)/1000-H6)&lt;1</f>
        <v>1</v>
      </c>
    </row>
    <row r="7" spans="1:25" s="2544" customFormat="1" ht="37.5" customHeight="1">
      <c r="A7" s="2539"/>
      <c r="B7" s="2540" t="s">
        <v>1209</v>
      </c>
      <c r="C7" s="2541">
        <v>5952.5440550000003</v>
      </c>
      <c r="D7" s="2542">
        <f>I7+J7</f>
        <v>7005.428644640624</v>
      </c>
      <c r="E7" s="2542">
        <f t="shared" ref="E7:E23" si="5">D7-C7</f>
        <v>1052.8845896406237</v>
      </c>
      <c r="F7" s="2542" t="s">
        <v>1690</v>
      </c>
      <c r="G7" s="2518"/>
      <c r="H7" s="2543">
        <f t="shared" si="3"/>
        <v>29157.84655407703</v>
      </c>
      <c r="I7" s="2542">
        <f>SUMIF('IS(M)'!$M$13:$ER$13,I$5,'IS(M)'!$M19:$ER19)/1000</f>
        <v>3463.8900165</v>
      </c>
      <c r="J7" s="2542">
        <f>SUMIF('IS(M)'!$M$13:$ER$13,J$5,'IS(M)'!$M19:$ER19)/1000</f>
        <v>3541.538628140624</v>
      </c>
      <c r="K7" s="2542">
        <f>SUMIF('IS(M)'!$M$13:$ER$13,K$5,'IS(M)'!$M19:$ER19)/1000</f>
        <v>3627.4132146890629</v>
      </c>
      <c r="L7" s="2542">
        <f>SUMIF('IS(M)'!$M$13:$ER$13,L$5,'IS(M)'!$M19:$ER19)/1000</f>
        <v>3781.9602572515623</v>
      </c>
      <c r="M7" s="2542">
        <f>SUMIF('IS(M)'!$M$13:$ER$13,M$5,'IS(M)'!$M19:$ER19)/1000</f>
        <v>3542.4553339124996</v>
      </c>
      <c r="N7" s="2542">
        <f>SUMIF('IS(M)'!$M$13:$ER$13,N$5,'IS(M)'!$M19:$ER19)/1000</f>
        <v>3622.0451608441408</v>
      </c>
      <c r="O7" s="2542">
        <f>SUMIF('IS(M)'!$M$13:$ER$13,O$5,'IS(M)'!$M19:$ER19)/1000</f>
        <v>3710.0666120562887</v>
      </c>
      <c r="P7" s="2542">
        <f>SUMIF('IS(M)'!$M$13:$ER$13,P$5,'IS(M)'!$M19:$ER19)/1000</f>
        <v>3868.4773306828515</v>
      </c>
      <c r="Q7" s="2542">
        <f>SUMIF('IS(M)'!$M$13:$ER$13,Q$5,'IS(M)'!$M19:$ER19)/1000</f>
        <v>0</v>
      </c>
      <c r="R7" s="2542">
        <f>SUMIF('IS(M)'!$M$13:$ER$13,R$5,'IS(M)'!$M19:$ER19)/1000</f>
        <v>0</v>
      </c>
      <c r="S7" s="2542">
        <f>SUMIF('IS(M)'!$M$13:$ER$13,S$5,'IS(M)'!$M19:$ER19)/1000</f>
        <v>0</v>
      </c>
      <c r="T7" s="2542">
        <f>SUMIF('IS(M)'!$M$13:$ER$13,T$5,'IS(M)'!$M19:$ER19)/1000</f>
        <v>0</v>
      </c>
      <c r="U7" s="2542">
        <f>SUMIF('IS(M)'!$M$13:$ER$13,U$5,'IS(M)'!$M19:$ER19)/1000</f>
        <v>0</v>
      </c>
      <c r="V7" s="2542">
        <f>SUMIF('IS(M)'!$M$13:$ER$13,V$5,'IS(M)'!$M19:$ER19)/1000</f>
        <v>0</v>
      </c>
      <c r="W7" s="2542">
        <f>SUMIF('IS(M)'!$M$13:$ER$13,W$5,'IS(M)'!$M19:$ER19)/1000</f>
        <v>0</v>
      </c>
      <c r="X7" s="2542">
        <f>SUMIF('IS(M)'!$M$13:$ER$13,X$5,'IS(M)'!$M19:$ER19)/1000</f>
        <v>0</v>
      </c>
    </row>
    <row r="8" spans="1:25" s="2544" customFormat="1" ht="11.25" customHeight="1">
      <c r="A8" s="2545"/>
      <c r="B8" s="2546" t="s">
        <v>1210</v>
      </c>
      <c r="C8" s="2547">
        <v>350.63686200000001</v>
      </c>
      <c r="D8" s="2548">
        <f t="shared" ref="D8:D9" si="6">I8+J8</f>
        <v>387.42205762265627</v>
      </c>
      <c r="E8" s="2548">
        <f t="shared" si="5"/>
        <v>36.785195622656261</v>
      </c>
      <c r="F8" s="2548" t="s">
        <v>1689</v>
      </c>
      <c r="G8" s="2518"/>
      <c r="H8" s="2549">
        <f t="shared" si="3"/>
        <v>1576.2266437769647</v>
      </c>
      <c r="I8" s="2548">
        <f>SUMIF('IS(M)'!$M$13:$ER$13,I$5,'IS(M)'!$M20:$ER20)/1000</f>
        <v>192.43922506875001</v>
      </c>
      <c r="J8" s="2548">
        <f>SUMIF('IS(M)'!$M$13:$ER$13,J$5,'IS(M)'!$M20:$ER20)/1000</f>
        <v>194.98283255390626</v>
      </c>
      <c r="K8" s="2548">
        <f>SUMIF('IS(M)'!$M$13:$ER$13,K$5,'IS(M)'!$M20:$ER20)/1000</f>
        <v>195.96641508421874</v>
      </c>
      <c r="L8" s="2548">
        <f>SUMIF('IS(M)'!$M$13:$ER$13,L$5,'IS(M)'!$M20:$ER20)/1000</f>
        <v>195.96641508421874</v>
      </c>
      <c r="M8" s="2548">
        <f>SUMIF('IS(M)'!$M$13:$ER$13,M$5,'IS(M)'!$M20:$ER20)/1000</f>
        <v>196.75845469546874</v>
      </c>
      <c r="N8" s="2548">
        <f>SUMIF('IS(M)'!$M$13:$ER$13,N$5,'IS(M)'!$M20:$ER20)/1000</f>
        <v>199.36565236775388</v>
      </c>
      <c r="O8" s="2548">
        <f>SUMIF('IS(M)'!$M$13:$ER$13,O$5,'IS(M)'!$M20:$ER20)/1000</f>
        <v>200.37382446132423</v>
      </c>
      <c r="P8" s="2548">
        <f>SUMIF('IS(M)'!$M$13:$ER$13,P$5,'IS(M)'!$M20:$ER20)/1000</f>
        <v>200.37382446132423</v>
      </c>
      <c r="Q8" s="2548">
        <f>SUMIF('IS(M)'!$M$13:$ER$13,Q$5,'IS(M)'!$M20:$ER20)/1000</f>
        <v>0</v>
      </c>
      <c r="R8" s="2548">
        <f>SUMIF('IS(M)'!$M$13:$ER$13,R$5,'IS(M)'!$M20:$ER20)/1000</f>
        <v>0</v>
      </c>
      <c r="S8" s="2548">
        <f>SUMIF('IS(M)'!$M$13:$ER$13,S$5,'IS(M)'!$M20:$ER20)/1000</f>
        <v>0</v>
      </c>
      <c r="T8" s="2548">
        <f>SUMIF('IS(M)'!$M$13:$ER$13,T$5,'IS(M)'!$M20:$ER20)/1000</f>
        <v>0</v>
      </c>
      <c r="U8" s="2548">
        <f>SUMIF('IS(M)'!$M$13:$ER$13,U$5,'IS(M)'!$M20:$ER20)/1000</f>
        <v>0</v>
      </c>
      <c r="V8" s="2548">
        <f>SUMIF('IS(M)'!$M$13:$ER$13,V$5,'IS(M)'!$M20:$ER20)/1000</f>
        <v>0</v>
      </c>
      <c r="W8" s="2548">
        <f>SUMIF('IS(M)'!$M$13:$ER$13,W$5,'IS(M)'!$M20:$ER20)/1000</f>
        <v>0</v>
      </c>
      <c r="X8" s="2548">
        <f>SUMIF('IS(M)'!$M$13:$ER$13,X$5,'IS(M)'!$M20:$ER20)/1000</f>
        <v>0</v>
      </c>
    </row>
    <row r="9" spans="1:25" s="2544" customFormat="1" ht="11.25" customHeight="1">
      <c r="A9" s="2550"/>
      <c r="B9" s="2551" t="s">
        <v>1211</v>
      </c>
      <c r="C9" s="2552">
        <v>573.54455299999995</v>
      </c>
      <c r="D9" s="2553">
        <f t="shared" si="6"/>
        <v>71.471607452000001</v>
      </c>
      <c r="E9" s="2553">
        <f t="shared" si="5"/>
        <v>-502.07294554799995</v>
      </c>
      <c r="F9" s="2553" t="s">
        <v>1691</v>
      </c>
      <c r="G9" s="2518"/>
      <c r="H9" s="2554">
        <f t="shared" si="3"/>
        <v>285.886429808</v>
      </c>
      <c r="I9" s="2553">
        <f>SUMIF('IS(M)'!$M$13:$ER$13,I$5,'IS(M)'!$M21:$ER21)/1000</f>
        <v>35.735803726</v>
      </c>
      <c r="J9" s="2553">
        <f>SUMIF('IS(M)'!$M$13:$ER$13,J$5,'IS(M)'!$M21:$ER21)/1000</f>
        <v>35.735803726</v>
      </c>
      <c r="K9" s="2553">
        <f>SUMIF('IS(M)'!$M$13:$ER$13,K$5,'IS(M)'!$M21:$ER21)/1000</f>
        <v>35.735803726</v>
      </c>
      <c r="L9" s="2553">
        <f>SUMIF('IS(M)'!$M$13:$ER$13,L$5,'IS(M)'!$M21:$ER21)/1000</f>
        <v>35.735803726</v>
      </c>
      <c r="M9" s="2553">
        <f>SUMIF('IS(M)'!$M$13:$ER$13,M$5,'IS(M)'!$M21:$ER21)/1000</f>
        <v>35.735803726</v>
      </c>
      <c r="N9" s="2553">
        <f>SUMIF('IS(M)'!$M$13:$ER$13,N$5,'IS(M)'!$M21:$ER21)/1000</f>
        <v>35.735803726</v>
      </c>
      <c r="O9" s="2553">
        <f>SUMIF('IS(M)'!$M$13:$ER$13,O$5,'IS(M)'!$M21:$ER21)/1000</f>
        <v>35.735803726</v>
      </c>
      <c r="P9" s="2553">
        <f>SUMIF('IS(M)'!$M$13:$ER$13,P$5,'IS(M)'!$M21:$ER21)/1000</f>
        <v>35.735803726</v>
      </c>
      <c r="Q9" s="2553">
        <f>SUMIF('IS(M)'!$M$13:$ER$13,Q$5,'IS(M)'!$M21:$ER21)/1000</f>
        <v>0</v>
      </c>
      <c r="R9" s="2553">
        <f>SUMIF('IS(M)'!$M$13:$ER$13,R$5,'IS(M)'!$M21:$ER21)/1000</f>
        <v>0</v>
      </c>
      <c r="S9" s="2553">
        <f>SUMIF('IS(M)'!$M$13:$ER$13,S$5,'IS(M)'!$M21:$ER21)/1000</f>
        <v>0</v>
      </c>
      <c r="T9" s="2553">
        <f>SUMIF('IS(M)'!$M$13:$ER$13,T$5,'IS(M)'!$M21:$ER21)/1000</f>
        <v>0</v>
      </c>
      <c r="U9" s="2553">
        <f>SUMIF('IS(M)'!$M$13:$ER$13,U$5,'IS(M)'!$M21:$ER21)/1000</f>
        <v>0</v>
      </c>
      <c r="V9" s="2553">
        <f>SUMIF('IS(M)'!$M$13:$ER$13,V$5,'IS(M)'!$M21:$ER21)/1000</f>
        <v>0</v>
      </c>
      <c r="W9" s="2553">
        <f>SUMIF('IS(M)'!$M$13:$ER$13,W$5,'IS(M)'!$M21:$ER21)/1000</f>
        <v>0</v>
      </c>
      <c r="X9" s="2553">
        <f>SUMIF('IS(M)'!$M$13:$ER$13,X$5,'IS(M)'!$M21:$ER21)/1000</f>
        <v>0</v>
      </c>
    </row>
    <row r="10" spans="1:25" ht="11.25" customHeight="1">
      <c r="A10" s="2787" t="s">
        <v>1212</v>
      </c>
      <c r="B10" s="2787"/>
      <c r="C10" s="2532">
        <f>SUM(C11:C23)</f>
        <v>4586.3776260000004</v>
      </c>
      <c r="D10" s="2103">
        <f>SUM(D11:D23)</f>
        <v>3230.4387242004109</v>
      </c>
      <c r="E10" s="2103">
        <f t="shared" si="5"/>
        <v>-1355.9389017995895</v>
      </c>
      <c r="F10" s="2103"/>
      <c r="G10" s="2517"/>
      <c r="H10" s="2511">
        <f t="shared" si="3"/>
        <v>12891.265941792797</v>
      </c>
      <c r="I10" s="2103">
        <f>SUM(I11:I23)</f>
        <v>1620.6560471002056</v>
      </c>
      <c r="J10" s="2103">
        <f>SUM(J11:J23)</f>
        <v>1609.7826771002055</v>
      </c>
      <c r="K10" s="2103">
        <f>SUM(K11:K23)</f>
        <v>1609.7826771002055</v>
      </c>
      <c r="L10" s="2103">
        <f>SUM(L11:L23)</f>
        <v>1609.7826771002055</v>
      </c>
      <c r="M10" s="2103">
        <f t="shared" ref="M10:X10" si="7">SUM(M11:M23)</f>
        <v>1610.3154658479934</v>
      </c>
      <c r="N10" s="2103">
        <f t="shared" si="7"/>
        <v>1610.3154658479934</v>
      </c>
      <c r="O10" s="2103">
        <f t="shared" si="7"/>
        <v>1610.3154658479934</v>
      </c>
      <c r="P10" s="2103">
        <f t="shared" si="7"/>
        <v>1610.3154658479934</v>
      </c>
      <c r="Q10" s="2103">
        <f t="shared" si="7"/>
        <v>0</v>
      </c>
      <c r="R10" s="2103">
        <f t="shared" si="7"/>
        <v>0</v>
      </c>
      <c r="S10" s="2103">
        <f t="shared" si="7"/>
        <v>0</v>
      </c>
      <c r="T10" s="2103">
        <f t="shared" si="7"/>
        <v>0</v>
      </c>
      <c r="U10" s="2103">
        <f t="shared" si="7"/>
        <v>0</v>
      </c>
      <c r="V10" s="2103">
        <f t="shared" si="7"/>
        <v>0</v>
      </c>
      <c r="W10" s="2103">
        <f t="shared" si="7"/>
        <v>0</v>
      </c>
      <c r="X10" s="2103">
        <f t="shared" si="7"/>
        <v>0</v>
      </c>
      <c r="Y10" t="b">
        <f>ABS(SUM('IS(M)'!N24:AK24)/1000-H10)&lt;1</f>
        <v>1</v>
      </c>
    </row>
    <row r="11" spans="1:25" s="2544" customFormat="1" ht="11.25" customHeight="1">
      <c r="A11" s="2555">
        <v>25</v>
      </c>
      <c r="B11" s="2556" t="s">
        <v>1213</v>
      </c>
      <c r="C11" s="2541">
        <v>3</v>
      </c>
      <c r="D11" s="2542">
        <f t="shared" ref="D11:D23" si="8">I11+J11</f>
        <v>12</v>
      </c>
      <c r="E11" s="2542">
        <f t="shared" si="5"/>
        <v>9</v>
      </c>
      <c r="F11" s="2542"/>
      <c r="G11" s="2519"/>
      <c r="H11" s="2557">
        <f t="shared" si="3"/>
        <v>48.48</v>
      </c>
      <c r="I11" s="2758">
        <f>SUMIF('IS(M)'!$M$13:$ER$13,I$5,'IS(M)'!$M25:$ER25)/1000</f>
        <v>6</v>
      </c>
      <c r="J11" s="2758">
        <f>SUMIF('IS(M)'!$M$13:$ER$13,J$5,'IS(M)'!$M25:$ER25)/1000</f>
        <v>6</v>
      </c>
      <c r="K11" s="2758">
        <f>SUMIF('IS(M)'!$M$13:$ER$13,K$5,'IS(M)'!$M25:$ER25)/1000</f>
        <v>6</v>
      </c>
      <c r="L11" s="2758">
        <f>SUMIF('IS(M)'!$M$13:$ER$13,L$5,'IS(M)'!$M25:$ER25)/1000</f>
        <v>6</v>
      </c>
      <c r="M11" s="2758">
        <f>SUMIF('IS(M)'!$M$13:$ER$13,M$5,'IS(M)'!$M25:$ER25)/1000</f>
        <v>6.12</v>
      </c>
      <c r="N11" s="2758">
        <f>SUMIF('IS(M)'!$M$13:$ER$13,N$5,'IS(M)'!$M25:$ER25)/1000</f>
        <v>6.12</v>
      </c>
      <c r="O11" s="2758">
        <f>SUMIF('IS(M)'!$M$13:$ER$13,O$5,'IS(M)'!$M25:$ER25)/1000</f>
        <v>6.12</v>
      </c>
      <c r="P11" s="2758">
        <f>SUMIF('IS(M)'!$M$13:$ER$13,P$5,'IS(M)'!$M25:$ER25)/1000</f>
        <v>6.12</v>
      </c>
      <c r="Q11" s="2758">
        <f>SUMIF('IS(M)'!$M$13:$ER$13,Q$5,'IS(M)'!$M25:$ER25)/1000</f>
        <v>0</v>
      </c>
      <c r="R11" s="2758">
        <f>SUMIF('IS(M)'!$M$13:$ER$13,R$5,'IS(M)'!$M25:$ER25)/1000</f>
        <v>0</v>
      </c>
      <c r="S11" s="2758">
        <f>SUMIF('IS(M)'!$M$13:$ER$13,S$5,'IS(M)'!$M25:$ER25)/1000</f>
        <v>0</v>
      </c>
      <c r="T11" s="2758">
        <f>SUMIF('IS(M)'!$M$13:$ER$13,T$5,'IS(M)'!$M25:$ER25)/1000</f>
        <v>0</v>
      </c>
      <c r="U11" s="2758">
        <f>SUMIF('IS(M)'!$M$13:$ER$13,U$5,'IS(M)'!$M25:$ER25)/1000</f>
        <v>0</v>
      </c>
      <c r="V11" s="2758">
        <f>SUMIF('IS(M)'!$M$13:$ER$13,V$5,'IS(M)'!$M25:$ER25)/1000</f>
        <v>0</v>
      </c>
      <c r="W11" s="2758">
        <f>SUMIF('IS(M)'!$M$13:$ER$13,W$5,'IS(M)'!$M25:$ER25)/1000</f>
        <v>0</v>
      </c>
      <c r="X11" s="2758">
        <f>SUMIF('IS(M)'!$M$13:$ER$13,X$5,'IS(M)'!$M25:$ER25)/1000</f>
        <v>0</v>
      </c>
    </row>
    <row r="12" spans="1:25" s="2544" customFormat="1" ht="11.25" customHeight="1">
      <c r="A12" s="2558">
        <v>30</v>
      </c>
      <c r="B12" s="2559" t="s">
        <v>80</v>
      </c>
      <c r="C12" s="2547">
        <v>587.61012600000004</v>
      </c>
      <c r="D12" s="2548">
        <f t="shared" si="8"/>
        <v>0</v>
      </c>
      <c r="E12" s="2548">
        <f t="shared" si="5"/>
        <v>-587.61012600000004</v>
      </c>
      <c r="F12" s="2548" t="s">
        <v>1692</v>
      </c>
      <c r="G12" s="2519"/>
      <c r="H12" s="2560">
        <f t="shared" si="3"/>
        <v>0</v>
      </c>
      <c r="I12" s="2548">
        <f>SUMIF('IS(M)'!$M$13:$ER$13,I$5,'IS(M)'!$M30:$ER30)/1000</f>
        <v>0</v>
      </c>
      <c r="J12" s="2548">
        <f>SUMIF('IS(M)'!$M$13:$ER$13,J$5,'IS(M)'!$M30:$ER30)/1000</f>
        <v>0</v>
      </c>
      <c r="K12" s="2548">
        <f>SUMIF('IS(M)'!$M$13:$ER$13,K$5,'IS(M)'!$M30:$ER30)/1000</f>
        <v>0</v>
      </c>
      <c r="L12" s="2548">
        <f>SUMIF('IS(M)'!$M$13:$ER$13,L$5,'IS(M)'!$M30:$ER30)/1000</f>
        <v>0</v>
      </c>
      <c r="M12" s="2548">
        <f>SUMIF('IS(M)'!$M$13:$ER$13,M$5,'IS(M)'!$M30:$ER30)/1000</f>
        <v>0</v>
      </c>
      <c r="N12" s="2548">
        <f>SUMIF('IS(M)'!$M$13:$ER$13,N$5,'IS(M)'!$M30:$ER30)/1000</f>
        <v>0</v>
      </c>
      <c r="O12" s="2548">
        <f>SUMIF('IS(M)'!$M$13:$ER$13,O$5,'IS(M)'!$M30:$ER30)/1000</f>
        <v>0</v>
      </c>
      <c r="P12" s="2548">
        <f>SUMIF('IS(M)'!$M$13:$ER$13,P$5,'IS(M)'!$M30:$ER30)/1000</f>
        <v>0</v>
      </c>
      <c r="Q12" s="2548">
        <f>SUMIF('IS(M)'!$M$13:$ER$13,Q$5,'IS(M)'!$M30:$ER30)/1000</f>
        <v>0</v>
      </c>
      <c r="R12" s="2548">
        <f>SUMIF('IS(M)'!$M$13:$ER$13,R$5,'IS(M)'!$M30:$ER30)/1000</f>
        <v>0</v>
      </c>
      <c r="S12" s="2548">
        <f>SUMIF('IS(M)'!$M$13:$ER$13,S$5,'IS(M)'!$M30:$ER30)/1000</f>
        <v>0</v>
      </c>
      <c r="T12" s="2548">
        <f>SUMIF('IS(M)'!$M$13:$ER$13,T$5,'IS(M)'!$M30:$ER30)/1000</f>
        <v>0</v>
      </c>
      <c r="U12" s="2548">
        <f>SUMIF('IS(M)'!$M$13:$ER$13,U$5,'IS(M)'!$M30:$ER30)/1000</f>
        <v>0</v>
      </c>
      <c r="V12" s="2548">
        <f>SUMIF('IS(M)'!$M$13:$ER$13,V$5,'IS(M)'!$M30:$ER30)/1000</f>
        <v>0</v>
      </c>
      <c r="W12" s="2548">
        <f>SUMIF('IS(M)'!$M$13:$ER$13,W$5,'IS(M)'!$M30:$ER30)/1000</f>
        <v>0</v>
      </c>
      <c r="X12" s="2548">
        <f>SUMIF('IS(M)'!$M$13:$ER$13,X$5,'IS(M)'!$M30:$ER30)/1000</f>
        <v>0</v>
      </c>
    </row>
    <row r="13" spans="1:25" s="2544" customFormat="1" ht="11.25" customHeight="1">
      <c r="A13" s="2558" t="s">
        <v>1231</v>
      </c>
      <c r="B13" s="2559" t="s">
        <v>659</v>
      </c>
      <c r="C13" s="2547">
        <v>345.939798</v>
      </c>
      <c r="D13" s="2548">
        <f t="shared" si="8"/>
        <v>364.745025</v>
      </c>
      <c r="E13" s="2548">
        <f t="shared" si="5"/>
        <v>18.805227000000002</v>
      </c>
      <c r="F13" s="2548" t="s">
        <v>1687</v>
      </c>
      <c r="G13" s="2520"/>
      <c r="H13" s="2560">
        <f t="shared" si="3"/>
        <v>1459.7731032999998</v>
      </c>
      <c r="I13" s="2548">
        <f>SUMIF('IS(M)'!$M$13:$ER$13,I$5,'IS(M)'!$M32:$ER32)/1000+SUMIF('IS(M)'!$M$13:$ER$13,I$5,'IS(M)'!$M33:$ER33)/1000+SUMIF('IS(M)'!$M$13:$ER$13,I$5,'IS(M)'!$M34:$ER34)/1000+SUMIF('IS(M)'!$M$13:$ER$13,I$5,'IS(M)'!$M35:$ER35)/1000</f>
        <v>182.3725125</v>
      </c>
      <c r="J13" s="2548">
        <f>SUMIF('IS(M)'!$M$13:$ER$13,J$5,'IS(M)'!$M32:$ER32)/1000+SUMIF('IS(M)'!$M$13:$ER$13,J$5,'IS(M)'!$M33:$ER33)/1000+SUMIF('IS(M)'!$M$13:$ER$13,J$5,'IS(M)'!$M34:$ER34)/1000+SUMIF('IS(M)'!$M$13:$ER$13,J$5,'IS(M)'!$M35:$ER35)/1000</f>
        <v>182.3725125</v>
      </c>
      <c r="K13" s="2548">
        <f>SUMIF('IS(M)'!$M$13:$ER$13,K$5,'IS(M)'!$M32:$ER32)/1000+SUMIF('IS(M)'!$M$13:$ER$13,K$5,'IS(M)'!$M33:$ER33)/1000+SUMIF('IS(M)'!$M$13:$ER$13,K$5,'IS(M)'!$M34:$ER34)/1000+SUMIF('IS(M)'!$M$13:$ER$13,K$5,'IS(M)'!$M35:$ER35)/1000</f>
        <v>182.3725125</v>
      </c>
      <c r="L13" s="2548">
        <f>SUMIF('IS(M)'!$M$13:$ER$13,L$5,'IS(M)'!$M32:$ER32)/1000+SUMIF('IS(M)'!$M$13:$ER$13,L$5,'IS(M)'!$M33:$ER33)/1000+SUMIF('IS(M)'!$M$13:$ER$13,L$5,'IS(M)'!$M34:$ER34)/1000+SUMIF('IS(M)'!$M$13:$ER$13,L$5,'IS(M)'!$M35:$ER35)/1000</f>
        <v>182.3725125</v>
      </c>
      <c r="M13" s="2548">
        <f>SUMIF('IS(M)'!$M$13:$ER$13,M$5,'IS(M)'!$M32:$ER32)/1000+SUMIF('IS(M)'!$M$13:$ER$13,M$5,'IS(M)'!$M33:$ER33)/1000+SUMIF('IS(M)'!$M$13:$ER$13,M$5,'IS(M)'!$M34:$ER34)/1000+SUMIF('IS(M)'!$M$13:$ER$13,M$5,'IS(M)'!$M35:$ER35)/1000</f>
        <v>182.570763325</v>
      </c>
      <c r="N13" s="2548">
        <f>SUMIF('IS(M)'!$M$13:$ER$13,N$5,'IS(M)'!$M32:$ER32)/1000+SUMIF('IS(M)'!$M$13:$ER$13,N$5,'IS(M)'!$M33:$ER33)/1000+SUMIF('IS(M)'!$M$13:$ER$13,N$5,'IS(M)'!$M34:$ER34)/1000+SUMIF('IS(M)'!$M$13:$ER$13,N$5,'IS(M)'!$M35:$ER35)/1000</f>
        <v>182.570763325</v>
      </c>
      <c r="O13" s="2548">
        <f>SUMIF('IS(M)'!$M$13:$ER$13,O$5,'IS(M)'!$M32:$ER32)/1000+SUMIF('IS(M)'!$M$13:$ER$13,O$5,'IS(M)'!$M33:$ER33)/1000+SUMIF('IS(M)'!$M$13:$ER$13,O$5,'IS(M)'!$M34:$ER34)/1000+SUMIF('IS(M)'!$M$13:$ER$13,O$5,'IS(M)'!$M35:$ER35)/1000</f>
        <v>182.570763325</v>
      </c>
      <c r="P13" s="2548">
        <f>SUMIF('IS(M)'!$M$13:$ER$13,P$5,'IS(M)'!$M32:$ER32)/1000+SUMIF('IS(M)'!$M$13:$ER$13,P$5,'IS(M)'!$M33:$ER33)/1000+SUMIF('IS(M)'!$M$13:$ER$13,P$5,'IS(M)'!$M34:$ER34)/1000+SUMIF('IS(M)'!$M$13:$ER$13,P$5,'IS(M)'!$M35:$ER35)/1000</f>
        <v>182.570763325</v>
      </c>
      <c r="Q13" s="2548">
        <f>SUMIF('IS(M)'!$M$13:$ER$13,Q$5,'IS(M)'!$M32:$ER32)/1000+SUMIF('IS(M)'!$M$13:$ER$13,Q$5,'IS(M)'!$M33:$ER33)/1000+SUMIF('IS(M)'!$M$13:$ER$13,Q$5,'IS(M)'!$M34:$ER34)/1000+SUMIF('IS(M)'!$M$13:$ER$13,Q$5,'IS(M)'!$M35:$ER35)/1000</f>
        <v>0</v>
      </c>
      <c r="R13" s="2548">
        <f>SUMIF('IS(M)'!$M$13:$ER$13,R$5,'IS(M)'!$M32:$ER32)/1000+SUMIF('IS(M)'!$M$13:$ER$13,R$5,'IS(M)'!$M33:$ER33)/1000+SUMIF('IS(M)'!$M$13:$ER$13,R$5,'IS(M)'!$M34:$ER34)/1000+SUMIF('IS(M)'!$M$13:$ER$13,R$5,'IS(M)'!$M35:$ER35)/1000</f>
        <v>0</v>
      </c>
      <c r="S13" s="2548">
        <f>SUMIF('IS(M)'!$M$13:$ER$13,S$5,'IS(M)'!$M32:$ER32)/1000+SUMIF('IS(M)'!$M$13:$ER$13,S$5,'IS(M)'!$M33:$ER33)/1000+SUMIF('IS(M)'!$M$13:$ER$13,S$5,'IS(M)'!$M34:$ER34)/1000+SUMIF('IS(M)'!$M$13:$ER$13,S$5,'IS(M)'!$M35:$ER35)/1000</f>
        <v>0</v>
      </c>
      <c r="T13" s="2548">
        <f>SUMIF('IS(M)'!$M$13:$ER$13,T$5,'IS(M)'!$M32:$ER32)/1000+SUMIF('IS(M)'!$M$13:$ER$13,T$5,'IS(M)'!$M33:$ER33)/1000+SUMIF('IS(M)'!$M$13:$ER$13,T$5,'IS(M)'!$M34:$ER34)/1000+SUMIF('IS(M)'!$M$13:$ER$13,T$5,'IS(M)'!$M35:$ER35)/1000</f>
        <v>0</v>
      </c>
      <c r="U13" s="2548">
        <f>SUMIF('IS(M)'!$M$13:$ER$13,U$5,'IS(M)'!$M32:$ER32)/1000+SUMIF('IS(M)'!$M$13:$ER$13,U$5,'IS(M)'!$M33:$ER33)/1000+SUMIF('IS(M)'!$M$13:$ER$13,U$5,'IS(M)'!$M34:$ER34)/1000+SUMIF('IS(M)'!$M$13:$ER$13,U$5,'IS(M)'!$M35:$ER35)/1000</f>
        <v>0</v>
      </c>
      <c r="V13" s="2548">
        <f>SUMIF('IS(M)'!$M$13:$ER$13,V$5,'IS(M)'!$M32:$ER32)/1000+SUMIF('IS(M)'!$M$13:$ER$13,V$5,'IS(M)'!$M33:$ER33)/1000+SUMIF('IS(M)'!$M$13:$ER$13,V$5,'IS(M)'!$M34:$ER34)/1000+SUMIF('IS(M)'!$M$13:$ER$13,V$5,'IS(M)'!$M35:$ER35)/1000</f>
        <v>0</v>
      </c>
      <c r="W13" s="2548">
        <f>SUMIF('IS(M)'!$M$13:$ER$13,W$5,'IS(M)'!$M32:$ER32)/1000+SUMIF('IS(M)'!$M$13:$ER$13,W$5,'IS(M)'!$M33:$ER33)/1000+SUMIF('IS(M)'!$M$13:$ER$13,W$5,'IS(M)'!$M34:$ER34)/1000+SUMIF('IS(M)'!$M$13:$ER$13,W$5,'IS(M)'!$M35:$ER35)/1000</f>
        <v>0</v>
      </c>
      <c r="X13" s="2548">
        <f>SUMIF('IS(M)'!$M$13:$ER$13,X$5,'IS(M)'!$M32:$ER32)/1000+SUMIF('IS(M)'!$M$13:$ER$13,X$5,'IS(M)'!$M33:$ER33)/1000+SUMIF('IS(M)'!$M$13:$ER$13,X$5,'IS(M)'!$M34:$ER34)/1000+SUMIF('IS(M)'!$M$13:$ER$13,X$5,'IS(M)'!$M35:$ER35)/1000</f>
        <v>0</v>
      </c>
    </row>
    <row r="14" spans="1:25" s="2544" customFormat="1" ht="11.25" customHeight="1">
      <c r="A14" s="2558">
        <v>36</v>
      </c>
      <c r="B14" s="2559" t="s">
        <v>99</v>
      </c>
      <c r="C14" s="2561"/>
      <c r="D14" s="2548">
        <f t="shared" si="8"/>
        <v>10.447416486100002</v>
      </c>
      <c r="E14" s="2548">
        <f t="shared" si="5"/>
        <v>10.447416486100002</v>
      </c>
      <c r="F14" s="2548"/>
      <c r="G14" s="2519"/>
      <c r="H14" s="2560">
        <f t="shared" si="3"/>
        <v>41.789665944400006</v>
      </c>
      <c r="I14" s="2548">
        <f>SUMIF('IS(M)'!$M$13:$ER$13,I$5,'IS(M)'!$M36:$ER36)/1000</f>
        <v>5.2237082430500008</v>
      </c>
      <c r="J14" s="2548">
        <f>SUMIF('IS(M)'!$M$13:$ER$13,J$5,'IS(M)'!$M36:$ER36)/1000</f>
        <v>5.2237082430500008</v>
      </c>
      <c r="K14" s="2548">
        <f>SUMIF('IS(M)'!$M$13:$ER$13,K$5,'IS(M)'!$M36:$ER36)/1000</f>
        <v>5.2237082430500008</v>
      </c>
      <c r="L14" s="2548">
        <f>SUMIF('IS(M)'!$M$13:$ER$13,L$5,'IS(M)'!$M36:$ER36)/1000</f>
        <v>5.2237082430500008</v>
      </c>
      <c r="M14" s="2548">
        <f>SUMIF('IS(M)'!$M$13:$ER$13,M$5,'IS(M)'!$M36:$ER36)/1000</f>
        <v>5.2237082430500008</v>
      </c>
      <c r="N14" s="2548">
        <f>SUMIF('IS(M)'!$M$13:$ER$13,N$5,'IS(M)'!$M36:$ER36)/1000</f>
        <v>5.2237082430500008</v>
      </c>
      <c r="O14" s="2548">
        <f>SUMIF('IS(M)'!$M$13:$ER$13,O$5,'IS(M)'!$M36:$ER36)/1000</f>
        <v>5.2237082430500008</v>
      </c>
      <c r="P14" s="2548">
        <f>SUMIF('IS(M)'!$M$13:$ER$13,P$5,'IS(M)'!$M36:$ER36)/1000</f>
        <v>5.2237082430500008</v>
      </c>
      <c r="Q14" s="2548">
        <f>SUMIF('IS(M)'!$M$13:$ER$13,Q$5,'IS(M)'!$M36:$ER36)/1000</f>
        <v>0</v>
      </c>
      <c r="R14" s="2548">
        <f>SUMIF('IS(M)'!$M$13:$ER$13,R$5,'IS(M)'!$M36:$ER36)/1000</f>
        <v>0</v>
      </c>
      <c r="S14" s="2548">
        <f>SUMIF('IS(M)'!$M$13:$ER$13,S$5,'IS(M)'!$M36:$ER36)/1000</f>
        <v>0</v>
      </c>
      <c r="T14" s="2548">
        <f>SUMIF('IS(M)'!$M$13:$ER$13,T$5,'IS(M)'!$M36:$ER36)/1000</f>
        <v>0</v>
      </c>
      <c r="U14" s="2548">
        <f>SUMIF('IS(M)'!$M$13:$ER$13,U$5,'IS(M)'!$M36:$ER36)/1000</f>
        <v>0</v>
      </c>
      <c r="V14" s="2548">
        <f>SUMIF('IS(M)'!$M$13:$ER$13,V$5,'IS(M)'!$M36:$ER36)/1000</f>
        <v>0</v>
      </c>
      <c r="W14" s="2548">
        <f>SUMIF('IS(M)'!$M$13:$ER$13,W$5,'IS(M)'!$M36:$ER36)/1000</f>
        <v>0</v>
      </c>
      <c r="X14" s="2548">
        <f>SUMIF('IS(M)'!$M$13:$ER$13,X$5,'IS(M)'!$M36:$ER36)/1000</f>
        <v>0</v>
      </c>
    </row>
    <row r="15" spans="1:25" s="2544" customFormat="1" ht="11.25" customHeight="1">
      <c r="A15" s="2558">
        <v>26</v>
      </c>
      <c r="B15" s="2559" t="s">
        <v>1214</v>
      </c>
      <c r="C15" s="2547">
        <v>1633.2427459999999</v>
      </c>
      <c r="D15" s="2548">
        <f t="shared" si="8"/>
        <v>1708.8434999999999</v>
      </c>
      <c r="E15" s="2548">
        <f t="shared" si="5"/>
        <v>75.600754000000052</v>
      </c>
      <c r="F15" s="2548"/>
      <c r="G15" s="2519"/>
      <c r="H15" s="2560">
        <f t="shared" si="3"/>
        <v>6835.373999999998</v>
      </c>
      <c r="I15" s="2548">
        <f>SUMIF('IS(M)'!$M$13:$ER$13,I$5,'IS(M)'!$M26:$ER26)/1000</f>
        <v>854.42174999999997</v>
      </c>
      <c r="J15" s="2548">
        <f>SUMIF('IS(M)'!$M$13:$ER$13,J$5,'IS(M)'!$M26:$ER26)/1000</f>
        <v>854.42174999999997</v>
      </c>
      <c r="K15" s="2548">
        <f>SUMIF('IS(M)'!$M$13:$ER$13,K$5,'IS(M)'!$M26:$ER26)/1000</f>
        <v>854.42174999999997</v>
      </c>
      <c r="L15" s="2548">
        <f>SUMIF('IS(M)'!$M$13:$ER$13,L$5,'IS(M)'!$M26:$ER26)/1000</f>
        <v>854.42174999999997</v>
      </c>
      <c r="M15" s="2548">
        <f>SUMIF('IS(M)'!$M$13:$ER$13,M$5,'IS(M)'!$M26:$ER26)/1000</f>
        <v>854.42174999999997</v>
      </c>
      <c r="N15" s="2548">
        <f>SUMIF('IS(M)'!$M$13:$ER$13,N$5,'IS(M)'!$M26:$ER26)/1000</f>
        <v>854.42174999999997</v>
      </c>
      <c r="O15" s="2548">
        <f>SUMIF('IS(M)'!$M$13:$ER$13,O$5,'IS(M)'!$M26:$ER26)/1000</f>
        <v>854.42174999999997</v>
      </c>
      <c r="P15" s="2548">
        <f>SUMIF('IS(M)'!$M$13:$ER$13,P$5,'IS(M)'!$M26:$ER26)/1000</f>
        <v>854.42174999999997</v>
      </c>
      <c r="Q15" s="2548">
        <f>SUMIF('IS(M)'!$M$13:$ER$13,Q$5,'IS(M)'!$M26:$ER26)/1000</f>
        <v>0</v>
      </c>
      <c r="R15" s="2548">
        <f>SUMIF('IS(M)'!$M$13:$ER$13,R$5,'IS(M)'!$M26:$ER26)/1000</f>
        <v>0</v>
      </c>
      <c r="S15" s="2548">
        <f>SUMIF('IS(M)'!$M$13:$ER$13,S$5,'IS(M)'!$M26:$ER26)/1000</f>
        <v>0</v>
      </c>
      <c r="T15" s="2548">
        <f>SUMIF('IS(M)'!$M$13:$ER$13,T$5,'IS(M)'!$M26:$ER26)/1000</f>
        <v>0</v>
      </c>
      <c r="U15" s="2548">
        <f>SUMIF('IS(M)'!$M$13:$ER$13,U$5,'IS(M)'!$M26:$ER26)/1000</f>
        <v>0</v>
      </c>
      <c r="V15" s="2548">
        <f>SUMIF('IS(M)'!$M$13:$ER$13,V$5,'IS(M)'!$M26:$ER26)/1000</f>
        <v>0</v>
      </c>
      <c r="W15" s="2548">
        <f>SUMIF('IS(M)'!$M$13:$ER$13,W$5,'IS(M)'!$M26:$ER26)/1000</f>
        <v>0</v>
      </c>
      <c r="X15" s="2548">
        <f>SUMIF('IS(M)'!$M$13:$ER$13,X$5,'IS(M)'!$M26:$ER26)/1000</f>
        <v>0</v>
      </c>
    </row>
    <row r="16" spans="1:25" s="2544" customFormat="1" ht="11.25" customHeight="1">
      <c r="A16" s="2558">
        <v>29</v>
      </c>
      <c r="B16" s="2559" t="s">
        <v>1215</v>
      </c>
      <c r="C16" s="2547">
        <v>0</v>
      </c>
      <c r="D16" s="2548">
        <f t="shared" si="8"/>
        <v>15.5957742765</v>
      </c>
      <c r="E16" s="2548">
        <f t="shared" si="5"/>
        <v>15.5957742765</v>
      </c>
      <c r="F16" s="2548"/>
      <c r="G16" s="2519"/>
      <c r="H16" s="2560">
        <f t="shared" si="3"/>
        <v>63.006928077060003</v>
      </c>
      <c r="I16" s="2548">
        <f>SUMIF('IS(M)'!$M$13:$ER$13,I$5,'IS(M)'!$M29:$ER29)/1000</f>
        <v>7.7978871382500001</v>
      </c>
      <c r="J16" s="2548">
        <f>SUMIF('IS(M)'!$M$13:$ER$13,J$5,'IS(M)'!$M29:$ER29)/1000</f>
        <v>7.7978871382500001</v>
      </c>
      <c r="K16" s="2548">
        <f>SUMIF('IS(M)'!$M$13:$ER$13,K$5,'IS(M)'!$M29:$ER29)/1000</f>
        <v>7.7978871382500001</v>
      </c>
      <c r="L16" s="2548">
        <f>SUMIF('IS(M)'!$M$13:$ER$13,L$5,'IS(M)'!$M29:$ER29)/1000</f>
        <v>7.7978871382500001</v>
      </c>
      <c r="M16" s="2548">
        <f>SUMIF('IS(M)'!$M$13:$ER$13,M$5,'IS(M)'!$M29:$ER29)/1000</f>
        <v>7.9538448810149998</v>
      </c>
      <c r="N16" s="2548">
        <f>SUMIF('IS(M)'!$M$13:$ER$13,N$5,'IS(M)'!$M29:$ER29)/1000</f>
        <v>7.9538448810149998</v>
      </c>
      <c r="O16" s="2548">
        <f>SUMIF('IS(M)'!$M$13:$ER$13,O$5,'IS(M)'!$M29:$ER29)/1000</f>
        <v>7.9538448810149998</v>
      </c>
      <c r="P16" s="2548">
        <f>SUMIF('IS(M)'!$M$13:$ER$13,P$5,'IS(M)'!$M29:$ER29)/1000</f>
        <v>7.9538448810149998</v>
      </c>
      <c r="Q16" s="2548">
        <f>SUMIF('IS(M)'!$M$13:$ER$13,Q$5,'IS(M)'!$M29:$ER29)/1000</f>
        <v>0</v>
      </c>
      <c r="R16" s="2548">
        <f>SUMIF('IS(M)'!$M$13:$ER$13,R$5,'IS(M)'!$M29:$ER29)/1000</f>
        <v>0</v>
      </c>
      <c r="S16" s="2548">
        <f>SUMIF('IS(M)'!$M$13:$ER$13,S$5,'IS(M)'!$M29:$ER29)/1000</f>
        <v>0</v>
      </c>
      <c r="T16" s="2548">
        <f>SUMIF('IS(M)'!$M$13:$ER$13,T$5,'IS(M)'!$M29:$ER29)/1000</f>
        <v>0</v>
      </c>
      <c r="U16" s="2548">
        <f>SUMIF('IS(M)'!$M$13:$ER$13,U$5,'IS(M)'!$M29:$ER29)/1000</f>
        <v>0</v>
      </c>
      <c r="V16" s="2548">
        <f>SUMIF('IS(M)'!$M$13:$ER$13,V$5,'IS(M)'!$M29:$ER29)/1000</f>
        <v>0</v>
      </c>
      <c r="W16" s="2548">
        <f>SUMIF('IS(M)'!$M$13:$ER$13,W$5,'IS(M)'!$M29:$ER29)/1000</f>
        <v>0</v>
      </c>
      <c r="X16" s="2548">
        <f>SUMIF('IS(M)'!$M$13:$ER$13,X$5,'IS(M)'!$M29:$ER29)/1000</f>
        <v>0</v>
      </c>
    </row>
    <row r="17" spans="1:25" s="2544" customFormat="1" ht="11.25" customHeight="1">
      <c r="A17" s="2558">
        <v>31</v>
      </c>
      <c r="B17" s="2559" t="s">
        <v>83</v>
      </c>
      <c r="C17" s="2547">
        <v>175.872378</v>
      </c>
      <c r="D17" s="2548">
        <f t="shared" si="8"/>
        <v>371.14235000000002</v>
      </c>
      <c r="E17" s="2548">
        <f t="shared" si="5"/>
        <v>195.26997200000002</v>
      </c>
      <c r="F17" s="2548" t="s">
        <v>1686</v>
      </c>
      <c r="G17" s="2519"/>
      <c r="H17" s="2560">
        <f t="shared" si="3"/>
        <v>1469.7237060000002</v>
      </c>
      <c r="I17" s="2548">
        <f>SUMIF('IS(M)'!$M$13:$ER$13,I$5,'IS(M)'!$M31:$ER31)/1000</f>
        <v>185.57117500000001</v>
      </c>
      <c r="J17" s="2548">
        <f>SUMIF('IS(M)'!$M$13:$ER$13,J$5,'IS(M)'!$M31:$ER31)/1000</f>
        <v>185.57117500000001</v>
      </c>
      <c r="K17" s="2548">
        <f>SUMIF('IS(M)'!$M$13:$ER$13,K$5,'IS(M)'!$M31:$ER31)/1000</f>
        <v>185.57117500000001</v>
      </c>
      <c r="L17" s="2548">
        <f>SUMIF('IS(M)'!$M$13:$ER$13,L$5,'IS(M)'!$M31:$ER31)/1000</f>
        <v>185.57117500000001</v>
      </c>
      <c r="M17" s="2548">
        <f>SUMIF('IS(M)'!$M$13:$ER$13,M$5,'IS(M)'!$M31:$ER31)/1000</f>
        <v>181.85975150000002</v>
      </c>
      <c r="N17" s="2548">
        <f>SUMIF('IS(M)'!$M$13:$ER$13,N$5,'IS(M)'!$M31:$ER31)/1000</f>
        <v>181.85975150000002</v>
      </c>
      <c r="O17" s="2548">
        <f>SUMIF('IS(M)'!$M$13:$ER$13,O$5,'IS(M)'!$M31:$ER31)/1000</f>
        <v>181.85975150000002</v>
      </c>
      <c r="P17" s="2548">
        <f>SUMIF('IS(M)'!$M$13:$ER$13,P$5,'IS(M)'!$M31:$ER31)/1000</f>
        <v>181.85975150000002</v>
      </c>
      <c r="Q17" s="2548">
        <f>SUMIF('IS(M)'!$M$13:$ER$13,Q$5,'IS(M)'!$M31:$ER31)/1000</f>
        <v>0</v>
      </c>
      <c r="R17" s="2548">
        <f>SUMIF('IS(M)'!$M$13:$ER$13,R$5,'IS(M)'!$M31:$ER31)/1000</f>
        <v>0</v>
      </c>
      <c r="S17" s="2548">
        <f>SUMIF('IS(M)'!$M$13:$ER$13,S$5,'IS(M)'!$M31:$ER31)/1000</f>
        <v>0</v>
      </c>
      <c r="T17" s="2548">
        <f>SUMIF('IS(M)'!$M$13:$ER$13,T$5,'IS(M)'!$M31:$ER31)/1000</f>
        <v>0</v>
      </c>
      <c r="U17" s="2548">
        <f>SUMIF('IS(M)'!$M$13:$ER$13,U$5,'IS(M)'!$M31:$ER31)/1000</f>
        <v>0</v>
      </c>
      <c r="V17" s="2548">
        <f>SUMIF('IS(M)'!$M$13:$ER$13,V$5,'IS(M)'!$M31:$ER31)/1000</f>
        <v>0</v>
      </c>
      <c r="W17" s="2548">
        <f>SUMIF('IS(M)'!$M$13:$ER$13,W$5,'IS(M)'!$M31:$ER31)/1000</f>
        <v>0</v>
      </c>
      <c r="X17" s="2548">
        <f>SUMIF('IS(M)'!$M$13:$ER$13,X$5,'IS(M)'!$M31:$ER31)/1000</f>
        <v>0</v>
      </c>
    </row>
    <row r="18" spans="1:25" s="2544" customFormat="1" ht="11.25" customHeight="1">
      <c r="A18" s="2558">
        <v>41</v>
      </c>
      <c r="B18" s="2559" t="s">
        <v>1216</v>
      </c>
      <c r="C18" s="2547">
        <v>933.25321199999996</v>
      </c>
      <c r="D18" s="2548">
        <f t="shared" si="8"/>
        <v>36</v>
      </c>
      <c r="E18" s="2548">
        <f t="shared" si="5"/>
        <v>-897.25321199999996</v>
      </c>
      <c r="F18" s="2548" t="s">
        <v>1685</v>
      </c>
      <c r="G18" s="2519"/>
      <c r="H18" s="2560">
        <f t="shared" si="3"/>
        <v>145.44</v>
      </c>
      <c r="I18" s="2548">
        <f>SUMIF('IS(M)'!$M$13:$ER$13,I$5,'IS(M)'!$M41:$ER41)/1000</f>
        <v>18</v>
      </c>
      <c r="J18" s="2548">
        <f>SUMIF('IS(M)'!$M$13:$ER$13,J$5,'IS(M)'!$M41:$ER41)/1000</f>
        <v>18</v>
      </c>
      <c r="K18" s="2548">
        <f>SUMIF('IS(M)'!$M$13:$ER$13,K$5,'IS(M)'!$M41:$ER41)/1000</f>
        <v>18</v>
      </c>
      <c r="L18" s="2548">
        <f>SUMIF('IS(M)'!$M$13:$ER$13,L$5,'IS(M)'!$M41:$ER41)/1000</f>
        <v>18</v>
      </c>
      <c r="M18" s="2548">
        <f>SUMIF('IS(M)'!$M$13:$ER$13,M$5,'IS(M)'!$M41:$ER41)/1000</f>
        <v>18.36</v>
      </c>
      <c r="N18" s="2548">
        <f>SUMIF('IS(M)'!$M$13:$ER$13,N$5,'IS(M)'!$M41:$ER41)/1000</f>
        <v>18.36</v>
      </c>
      <c r="O18" s="2548">
        <f>SUMIF('IS(M)'!$M$13:$ER$13,O$5,'IS(M)'!$M41:$ER41)/1000</f>
        <v>18.36</v>
      </c>
      <c r="P18" s="2548">
        <f>SUMIF('IS(M)'!$M$13:$ER$13,P$5,'IS(M)'!$M41:$ER41)/1000</f>
        <v>18.36</v>
      </c>
      <c r="Q18" s="2548">
        <f>SUMIF('IS(M)'!$M$13:$ER$13,Q$5,'IS(M)'!$M41:$ER41)/1000</f>
        <v>0</v>
      </c>
      <c r="R18" s="2548">
        <f>SUMIF('IS(M)'!$M$13:$ER$13,R$5,'IS(M)'!$M41:$ER41)/1000</f>
        <v>0</v>
      </c>
      <c r="S18" s="2548">
        <f>SUMIF('IS(M)'!$M$13:$ER$13,S$5,'IS(M)'!$M41:$ER41)/1000</f>
        <v>0</v>
      </c>
      <c r="T18" s="2548">
        <f>SUMIF('IS(M)'!$M$13:$ER$13,T$5,'IS(M)'!$M41:$ER41)/1000</f>
        <v>0</v>
      </c>
      <c r="U18" s="2548">
        <f>SUMIF('IS(M)'!$M$13:$ER$13,U$5,'IS(M)'!$M41:$ER41)/1000</f>
        <v>0</v>
      </c>
      <c r="V18" s="2548">
        <f>SUMIF('IS(M)'!$M$13:$ER$13,V$5,'IS(M)'!$M41:$ER41)/1000</f>
        <v>0</v>
      </c>
      <c r="W18" s="2548">
        <f>SUMIF('IS(M)'!$M$13:$ER$13,W$5,'IS(M)'!$M41:$ER41)/1000</f>
        <v>0</v>
      </c>
      <c r="X18" s="2548">
        <f>SUMIF('IS(M)'!$M$13:$ER$13,X$5,'IS(M)'!$M41:$ER41)/1000</f>
        <v>0</v>
      </c>
    </row>
    <row r="19" spans="1:25" s="2544" customFormat="1" ht="11.25" customHeight="1">
      <c r="A19" s="2558">
        <v>38</v>
      </c>
      <c r="B19" s="2559" t="s">
        <v>190</v>
      </c>
      <c r="C19" s="2547">
        <v>247.94540000000001</v>
      </c>
      <c r="D19" s="2548">
        <f t="shared" si="8"/>
        <v>333.27350000000007</v>
      </c>
      <c r="E19" s="2548">
        <f t="shared" si="5"/>
        <v>85.328100000000063</v>
      </c>
      <c r="F19" s="2548"/>
      <c r="G19" s="2519"/>
      <c r="H19" s="2560">
        <f t="shared" si="3"/>
        <v>1333.0940000000003</v>
      </c>
      <c r="I19" s="2759">
        <f>SUMIF('IS(M)'!$M$13:$ER$13,I$5,'IS(M)'!$M38:$ER38)/1000</f>
        <v>166.63675000000003</v>
      </c>
      <c r="J19" s="2759">
        <f>SUMIF('IS(M)'!$M$13:$ER$13,J$5,'IS(M)'!$M38:$ER38)/1000</f>
        <v>166.63675000000003</v>
      </c>
      <c r="K19" s="2759">
        <f>SUMIF('IS(M)'!$M$13:$ER$13,K$5,'IS(M)'!$M38:$ER38)/1000</f>
        <v>166.63675000000003</v>
      </c>
      <c r="L19" s="2759">
        <f>SUMIF('IS(M)'!$M$13:$ER$13,L$5,'IS(M)'!$M38:$ER38)/1000</f>
        <v>166.63675000000003</v>
      </c>
      <c r="M19" s="2759">
        <f>SUMIF('IS(M)'!$M$13:$ER$13,M$5,'IS(M)'!$M38:$ER38)/1000</f>
        <v>166.63675000000003</v>
      </c>
      <c r="N19" s="2759">
        <f>SUMIF('IS(M)'!$M$13:$ER$13,N$5,'IS(M)'!$M38:$ER38)/1000</f>
        <v>166.63675000000003</v>
      </c>
      <c r="O19" s="2759">
        <f>SUMIF('IS(M)'!$M$13:$ER$13,O$5,'IS(M)'!$M38:$ER38)/1000</f>
        <v>166.63675000000003</v>
      </c>
      <c r="P19" s="2759">
        <f>SUMIF('IS(M)'!$M$13:$ER$13,P$5,'IS(M)'!$M38:$ER38)/1000</f>
        <v>166.63675000000003</v>
      </c>
      <c r="Q19" s="2759">
        <f>SUMIF('IS(M)'!$M$13:$ER$13,Q$5,'IS(M)'!$M38:$ER38)/1000</f>
        <v>0</v>
      </c>
      <c r="R19" s="2759">
        <f>SUMIF('IS(M)'!$M$13:$ER$13,R$5,'IS(M)'!$M38:$ER38)/1000</f>
        <v>0</v>
      </c>
      <c r="S19" s="2759">
        <f>SUMIF('IS(M)'!$M$13:$ER$13,S$5,'IS(M)'!$M38:$ER38)/1000</f>
        <v>0</v>
      </c>
      <c r="T19" s="2759">
        <f>SUMIF('IS(M)'!$M$13:$ER$13,T$5,'IS(M)'!$M38:$ER38)/1000</f>
        <v>0</v>
      </c>
      <c r="U19" s="2759">
        <f>SUMIF('IS(M)'!$M$13:$ER$13,U$5,'IS(M)'!$M38:$ER38)/1000</f>
        <v>0</v>
      </c>
      <c r="V19" s="2759">
        <f>SUMIF('IS(M)'!$M$13:$ER$13,V$5,'IS(M)'!$M38:$ER38)/1000</f>
        <v>0</v>
      </c>
      <c r="W19" s="2759">
        <f>SUMIF('IS(M)'!$M$13:$ER$13,W$5,'IS(M)'!$M38:$ER38)/1000</f>
        <v>0</v>
      </c>
      <c r="X19" s="2759">
        <f>SUMIF('IS(M)'!$M$13:$ER$13,X$5,'IS(M)'!$M38:$ER38)/1000</f>
        <v>0</v>
      </c>
    </row>
    <row r="20" spans="1:25" s="2544" customFormat="1" ht="11.25" customHeight="1">
      <c r="A20" s="2558" t="s">
        <v>1232</v>
      </c>
      <c r="B20" s="2559" t="s">
        <v>1217</v>
      </c>
      <c r="C20" s="2547">
        <v>4.9589020000000001</v>
      </c>
      <c r="D20" s="2548">
        <f t="shared" si="8"/>
        <v>19.017420435510889</v>
      </c>
      <c r="E20" s="2548">
        <f t="shared" si="5"/>
        <v>14.058518435510889</v>
      </c>
      <c r="F20" s="2548"/>
      <c r="G20" s="2519"/>
      <c r="H20" s="2560">
        <f t="shared" si="3"/>
        <v>76.069681742043556</v>
      </c>
      <c r="I20" s="2759">
        <f>SUMIF('IS(M)'!$M$13:$ER$13,I$5,'IS(M)'!$M39:$ER39)/1000+SUMIF('IS(M)'!$M$13:$ER$13,I$5,'IS(M)'!$M40:$ER40)/1000</f>
        <v>9.5087102177554446</v>
      </c>
      <c r="J20" s="2759">
        <f>SUMIF('IS(M)'!$M$13:$ER$13,J$5,'IS(M)'!$M39:$ER39)/1000+SUMIF('IS(M)'!$M$13:$ER$13,J$5,'IS(M)'!$M40:$ER40)/1000</f>
        <v>9.5087102177554446</v>
      </c>
      <c r="K20" s="2759">
        <f>SUMIF('IS(M)'!$M$13:$ER$13,K$5,'IS(M)'!$M39:$ER39)/1000+SUMIF('IS(M)'!$M$13:$ER$13,K$5,'IS(M)'!$M40:$ER40)/1000</f>
        <v>9.5087102177554446</v>
      </c>
      <c r="L20" s="2759">
        <f>SUMIF('IS(M)'!$M$13:$ER$13,L$5,'IS(M)'!$M39:$ER39)/1000+SUMIF('IS(M)'!$M$13:$ER$13,L$5,'IS(M)'!$M40:$ER40)/1000</f>
        <v>9.5087102177554446</v>
      </c>
      <c r="M20" s="2759">
        <f>SUMIF('IS(M)'!$M$13:$ER$13,M$5,'IS(M)'!$M39:$ER39)/1000+SUMIF('IS(M)'!$M$13:$ER$13,M$5,'IS(M)'!$M40:$ER40)/1000</f>
        <v>9.5087102177554446</v>
      </c>
      <c r="N20" s="2759">
        <f>SUMIF('IS(M)'!$M$13:$ER$13,N$5,'IS(M)'!$M39:$ER39)/1000+SUMIF('IS(M)'!$M$13:$ER$13,N$5,'IS(M)'!$M40:$ER40)/1000</f>
        <v>9.5087102177554446</v>
      </c>
      <c r="O20" s="2759">
        <f>SUMIF('IS(M)'!$M$13:$ER$13,O$5,'IS(M)'!$M39:$ER39)/1000+SUMIF('IS(M)'!$M$13:$ER$13,O$5,'IS(M)'!$M40:$ER40)/1000</f>
        <v>9.5087102177554446</v>
      </c>
      <c r="P20" s="2759">
        <f>SUMIF('IS(M)'!$M$13:$ER$13,P$5,'IS(M)'!$M39:$ER39)/1000+SUMIF('IS(M)'!$M$13:$ER$13,P$5,'IS(M)'!$M40:$ER40)/1000</f>
        <v>9.5087102177554446</v>
      </c>
      <c r="Q20" s="2759">
        <f>SUMIF('IS(M)'!$M$13:$ER$13,Q$5,'IS(M)'!$M39:$ER39)/1000+SUMIF('IS(M)'!$M$13:$ER$13,Q$5,'IS(M)'!$M40:$ER40)/1000</f>
        <v>0</v>
      </c>
      <c r="R20" s="2759">
        <f>SUMIF('IS(M)'!$M$13:$ER$13,R$5,'IS(M)'!$M39:$ER39)/1000+SUMIF('IS(M)'!$M$13:$ER$13,R$5,'IS(M)'!$M40:$ER40)/1000</f>
        <v>0</v>
      </c>
      <c r="S20" s="2759">
        <f>SUMIF('IS(M)'!$M$13:$ER$13,S$5,'IS(M)'!$M39:$ER39)/1000+SUMIF('IS(M)'!$M$13:$ER$13,S$5,'IS(M)'!$M40:$ER40)/1000</f>
        <v>0</v>
      </c>
      <c r="T20" s="2759">
        <f>SUMIF('IS(M)'!$M$13:$ER$13,T$5,'IS(M)'!$M39:$ER39)/1000+SUMIF('IS(M)'!$M$13:$ER$13,T$5,'IS(M)'!$M40:$ER40)/1000</f>
        <v>0</v>
      </c>
      <c r="U20" s="2759">
        <f>SUMIF('IS(M)'!$M$13:$ER$13,U$5,'IS(M)'!$M39:$ER39)/1000+SUMIF('IS(M)'!$M$13:$ER$13,U$5,'IS(M)'!$M40:$ER40)/1000</f>
        <v>0</v>
      </c>
      <c r="V20" s="2759">
        <f>SUMIF('IS(M)'!$M$13:$ER$13,V$5,'IS(M)'!$M39:$ER39)/1000+SUMIF('IS(M)'!$M$13:$ER$13,V$5,'IS(M)'!$M40:$ER40)/1000</f>
        <v>0</v>
      </c>
      <c r="W20" s="2759">
        <f>SUMIF('IS(M)'!$M$13:$ER$13,W$5,'IS(M)'!$M39:$ER39)/1000+SUMIF('IS(M)'!$M$13:$ER$13,W$5,'IS(M)'!$M40:$ER40)/1000</f>
        <v>0</v>
      </c>
      <c r="X20" s="2759">
        <f>SUMIF('IS(M)'!$M$13:$ER$13,X$5,'IS(M)'!$M39:$ER39)/1000+SUMIF('IS(M)'!$M$13:$ER$13,X$5,'IS(M)'!$M40:$ER40)/1000</f>
        <v>0</v>
      </c>
    </row>
    <row r="21" spans="1:25" s="2544" customFormat="1" ht="11.25" customHeight="1">
      <c r="A21" s="2558">
        <v>37</v>
      </c>
      <c r="B21" s="2559" t="s">
        <v>1218</v>
      </c>
      <c r="C21" s="2547">
        <v>207.111064</v>
      </c>
      <c r="D21" s="2562">
        <f t="shared" si="8"/>
        <v>10.87337</v>
      </c>
      <c r="E21" s="2562">
        <f t="shared" si="5"/>
        <v>-196.237694</v>
      </c>
      <c r="F21" s="2562" t="s">
        <v>1688</v>
      </c>
      <c r="G21" s="2519"/>
      <c r="H21" s="2560">
        <f t="shared" si="3"/>
        <v>10.87337</v>
      </c>
      <c r="I21" s="2562">
        <f>SUMIF('IS(M)'!$M$13:$ER$13,I$5,'IS(M)'!$M37:$ER37)/1000</f>
        <v>10.87337</v>
      </c>
      <c r="J21" s="2562">
        <f>SUMIF('IS(M)'!$M$13:$ER$13,J$5,'IS(M)'!$M37:$ER37)/1000</f>
        <v>0</v>
      </c>
      <c r="K21" s="2562">
        <f>SUMIF('IS(M)'!$M$13:$ER$13,K$5,'IS(M)'!$M37:$ER37)/1000</f>
        <v>0</v>
      </c>
      <c r="L21" s="2562">
        <f>SUMIF('IS(M)'!$M$13:$ER$13,L$5,'IS(M)'!$M37:$ER37)/1000</f>
        <v>0</v>
      </c>
      <c r="M21" s="2562">
        <f>SUMIF('IS(M)'!$M$13:$ER$13,M$5,'IS(M)'!$M37:$ER37)/1000</f>
        <v>0</v>
      </c>
      <c r="N21" s="2562">
        <f>SUMIF('IS(M)'!$M$13:$ER$13,N$5,'IS(M)'!$M37:$ER37)/1000</f>
        <v>0</v>
      </c>
      <c r="O21" s="2562">
        <f>SUMIF('IS(M)'!$M$13:$ER$13,O$5,'IS(M)'!$M37:$ER37)/1000</f>
        <v>0</v>
      </c>
      <c r="P21" s="2562">
        <f>SUMIF('IS(M)'!$M$13:$ER$13,P$5,'IS(M)'!$M37:$ER37)/1000</f>
        <v>0</v>
      </c>
      <c r="Q21" s="2562">
        <f>SUMIF('IS(M)'!$M$13:$ER$13,Q$5,'IS(M)'!$M37:$ER37)/1000</f>
        <v>0</v>
      </c>
      <c r="R21" s="2562">
        <f>SUMIF('IS(M)'!$M$13:$ER$13,R$5,'IS(M)'!$M37:$ER37)/1000</f>
        <v>0</v>
      </c>
      <c r="S21" s="2562">
        <f>SUMIF('IS(M)'!$M$13:$ER$13,S$5,'IS(M)'!$M37:$ER37)/1000</f>
        <v>0</v>
      </c>
      <c r="T21" s="2562">
        <f>SUMIF('IS(M)'!$M$13:$ER$13,T$5,'IS(M)'!$M37:$ER37)/1000</f>
        <v>0</v>
      </c>
      <c r="U21" s="2562">
        <f>SUMIF('IS(M)'!$M$13:$ER$13,U$5,'IS(M)'!$M37:$ER37)/1000</f>
        <v>0</v>
      </c>
      <c r="V21" s="2562">
        <f>SUMIF('IS(M)'!$M$13:$ER$13,V$5,'IS(M)'!$M37:$ER37)/1000</f>
        <v>0</v>
      </c>
      <c r="W21" s="2562">
        <f>SUMIF('IS(M)'!$M$13:$ER$13,W$5,'IS(M)'!$M37:$ER37)/1000</f>
        <v>0</v>
      </c>
      <c r="X21" s="2562">
        <f>SUMIF('IS(M)'!$M$13:$ER$13,X$5,'IS(M)'!$M37:$ER37)/1000</f>
        <v>0</v>
      </c>
    </row>
    <row r="22" spans="1:25" s="2544" customFormat="1" ht="11.25" customHeight="1">
      <c r="A22" s="2558" t="s">
        <v>1233</v>
      </c>
      <c r="B22" s="2559" t="s">
        <v>1219</v>
      </c>
      <c r="C22" s="2547">
        <v>447.44400000000002</v>
      </c>
      <c r="D22" s="2548">
        <f t="shared" si="8"/>
        <v>348.50036800229998</v>
      </c>
      <c r="E22" s="2548">
        <f t="shared" si="5"/>
        <v>-98.943631997700038</v>
      </c>
      <c r="F22" s="2548" t="s">
        <v>1682</v>
      </c>
      <c r="G22" s="2519"/>
      <c r="H22" s="2560">
        <f t="shared" si="3"/>
        <v>1407.641486729292</v>
      </c>
      <c r="I22" s="2548">
        <f>SUMIF('IS(M)'!$M$13:$ER$13,I$5,'IS(M)'!$M27:$ER27)/1000+SUMIF('IS(M)'!$M$13:$ER$13,I$5,'IS(M)'!$M28:$ER28)/1000</f>
        <v>174.25018400114999</v>
      </c>
      <c r="J22" s="2548">
        <f>SUMIF('IS(M)'!$M$13:$ER$13,J$5,'IS(M)'!$M27:$ER27)/1000+SUMIF('IS(M)'!$M$13:$ER$13,J$5,'IS(M)'!$M28:$ER28)/1000</f>
        <v>174.25018400114999</v>
      </c>
      <c r="K22" s="2548">
        <f>SUMIF('IS(M)'!$M$13:$ER$13,K$5,'IS(M)'!$M27:$ER27)/1000+SUMIF('IS(M)'!$M$13:$ER$13,K$5,'IS(M)'!$M28:$ER28)/1000</f>
        <v>174.25018400114999</v>
      </c>
      <c r="L22" s="2548">
        <f>SUMIF('IS(M)'!$M$13:$ER$13,L$5,'IS(M)'!$M27:$ER27)/1000+SUMIF('IS(M)'!$M$13:$ER$13,L$5,'IS(M)'!$M28:$ER28)/1000</f>
        <v>174.25018400114999</v>
      </c>
      <c r="M22" s="2548">
        <f>SUMIF('IS(M)'!$M$13:$ER$13,M$5,'IS(M)'!$M27:$ER27)/1000+SUMIF('IS(M)'!$M$13:$ER$13,M$5,'IS(M)'!$M28:$ER28)/1000</f>
        <v>177.66018768117297</v>
      </c>
      <c r="N22" s="2548">
        <f>SUMIF('IS(M)'!$M$13:$ER$13,N$5,'IS(M)'!$M27:$ER27)/1000+SUMIF('IS(M)'!$M$13:$ER$13,N$5,'IS(M)'!$M28:$ER28)/1000</f>
        <v>177.66018768117297</v>
      </c>
      <c r="O22" s="2548">
        <f>SUMIF('IS(M)'!$M$13:$ER$13,O$5,'IS(M)'!$M27:$ER27)/1000+SUMIF('IS(M)'!$M$13:$ER$13,O$5,'IS(M)'!$M28:$ER28)/1000</f>
        <v>177.66018768117297</v>
      </c>
      <c r="P22" s="2548">
        <f>SUMIF('IS(M)'!$M$13:$ER$13,P$5,'IS(M)'!$M27:$ER27)/1000+SUMIF('IS(M)'!$M$13:$ER$13,P$5,'IS(M)'!$M28:$ER28)/1000</f>
        <v>177.66018768117297</v>
      </c>
      <c r="Q22" s="2548">
        <f>SUMIF('IS(M)'!$M$13:$ER$13,Q$5,'IS(M)'!$M27:$ER27)/1000+SUMIF('IS(M)'!$M$13:$ER$13,Q$5,'IS(M)'!$M28:$ER28)/1000</f>
        <v>0</v>
      </c>
      <c r="R22" s="2548">
        <f>SUMIF('IS(M)'!$M$13:$ER$13,R$5,'IS(M)'!$M27:$ER27)/1000+SUMIF('IS(M)'!$M$13:$ER$13,R$5,'IS(M)'!$M28:$ER28)/1000</f>
        <v>0</v>
      </c>
      <c r="S22" s="2548">
        <f>SUMIF('IS(M)'!$M$13:$ER$13,S$5,'IS(M)'!$M27:$ER27)/1000+SUMIF('IS(M)'!$M$13:$ER$13,S$5,'IS(M)'!$M28:$ER28)/1000</f>
        <v>0</v>
      </c>
      <c r="T22" s="2548">
        <f>SUMIF('IS(M)'!$M$13:$ER$13,T$5,'IS(M)'!$M27:$ER27)/1000+SUMIF('IS(M)'!$M$13:$ER$13,T$5,'IS(M)'!$M28:$ER28)/1000</f>
        <v>0</v>
      </c>
      <c r="U22" s="2548">
        <f>SUMIF('IS(M)'!$M$13:$ER$13,U$5,'IS(M)'!$M27:$ER27)/1000+SUMIF('IS(M)'!$M$13:$ER$13,U$5,'IS(M)'!$M28:$ER28)/1000</f>
        <v>0</v>
      </c>
      <c r="V22" s="2548">
        <f>SUMIF('IS(M)'!$M$13:$ER$13,V$5,'IS(M)'!$M27:$ER27)/1000+SUMIF('IS(M)'!$M$13:$ER$13,V$5,'IS(M)'!$M28:$ER28)/1000</f>
        <v>0</v>
      </c>
      <c r="W22" s="2548">
        <f>SUMIF('IS(M)'!$M$13:$ER$13,W$5,'IS(M)'!$M27:$ER27)/1000+SUMIF('IS(M)'!$M$13:$ER$13,W$5,'IS(M)'!$M28:$ER28)/1000</f>
        <v>0</v>
      </c>
      <c r="X22" s="2548">
        <f>SUMIF('IS(M)'!$M$13:$ER$13,X$5,'IS(M)'!$M27:$ER27)/1000+SUMIF('IS(M)'!$M$13:$ER$13,X$5,'IS(M)'!$M28:$ER28)/1000</f>
        <v>0</v>
      </c>
    </row>
    <row r="23" spans="1:25" s="2544" customFormat="1" ht="11.25" customHeight="1">
      <c r="A23" s="2563">
        <v>0</v>
      </c>
      <c r="B23" s="2564" t="s">
        <v>1220</v>
      </c>
      <c r="C23" s="2565"/>
      <c r="D23" s="2553">
        <f t="shared" si="8"/>
        <v>0</v>
      </c>
      <c r="E23" s="2553">
        <f t="shared" si="5"/>
        <v>0</v>
      </c>
      <c r="F23" s="2553"/>
      <c r="G23" s="2519"/>
      <c r="H23" s="2566">
        <f t="shared" si="3"/>
        <v>0</v>
      </c>
      <c r="I23" s="2553">
        <v>0</v>
      </c>
      <c r="J23" s="2553">
        <v>0</v>
      </c>
      <c r="K23" s="2553">
        <v>0</v>
      </c>
      <c r="L23" s="2553">
        <v>0</v>
      </c>
      <c r="M23" s="2553">
        <v>0</v>
      </c>
      <c r="N23" s="2553">
        <v>0</v>
      </c>
      <c r="O23" s="2553">
        <v>0</v>
      </c>
      <c r="P23" s="2553">
        <v>0</v>
      </c>
      <c r="Q23" s="2553">
        <v>0</v>
      </c>
      <c r="R23" s="2553">
        <v>0</v>
      </c>
      <c r="S23" s="2553">
        <v>0</v>
      </c>
      <c r="T23" s="2553">
        <v>0</v>
      </c>
      <c r="U23" s="2553">
        <v>0</v>
      </c>
      <c r="V23" s="2553">
        <v>0</v>
      </c>
      <c r="W23" s="2553">
        <v>0</v>
      </c>
      <c r="X23" s="2553">
        <v>0</v>
      </c>
    </row>
    <row r="24" spans="1:25" ht="11.25" customHeight="1">
      <c r="A24" s="2788" t="s">
        <v>1221</v>
      </c>
      <c r="B24" s="2788"/>
      <c r="C24" s="2534">
        <f>C6-C10</f>
        <v>2290.3478439999999</v>
      </c>
      <c r="D24" s="2106">
        <f>D6-D10</f>
        <v>4233.88358551487</v>
      </c>
      <c r="E24" s="2106"/>
      <c r="G24" s="2517"/>
      <c r="H24" s="2513">
        <f t="shared" si="3"/>
        <v>18128.693685869199</v>
      </c>
      <c r="I24" s="2106">
        <f>I6-I10</f>
        <v>2071.4089981945444</v>
      </c>
      <c r="J24" s="2106">
        <f t="shared" ref="J24:X24" si="9">J6-J10</f>
        <v>2162.4745873203246</v>
      </c>
      <c r="K24" s="2107">
        <f t="shared" si="9"/>
        <v>2249.3327563990761</v>
      </c>
      <c r="L24" s="2107">
        <f t="shared" si="9"/>
        <v>2403.8797989615755</v>
      </c>
      <c r="M24" s="2107">
        <f t="shared" si="9"/>
        <v>2164.6341264859748</v>
      </c>
      <c r="N24" s="2107">
        <f t="shared" si="9"/>
        <v>2246.8311510899011</v>
      </c>
      <c r="O24" s="2107">
        <f t="shared" si="9"/>
        <v>2335.8607743956195</v>
      </c>
      <c r="P24" s="2107">
        <f t="shared" si="9"/>
        <v>2494.2714930221819</v>
      </c>
      <c r="Q24" s="2107">
        <f t="shared" si="9"/>
        <v>0</v>
      </c>
      <c r="R24" s="2107">
        <f t="shared" si="9"/>
        <v>0</v>
      </c>
      <c r="S24" s="2107">
        <f t="shared" si="9"/>
        <v>0</v>
      </c>
      <c r="T24" s="2107">
        <f t="shared" si="9"/>
        <v>0</v>
      </c>
      <c r="U24" s="2107">
        <f t="shared" si="9"/>
        <v>0</v>
      </c>
      <c r="V24" s="2107">
        <f t="shared" si="9"/>
        <v>0</v>
      </c>
      <c r="W24" s="2107">
        <f t="shared" si="9"/>
        <v>0</v>
      </c>
      <c r="X24" s="2107">
        <f t="shared" si="9"/>
        <v>0</v>
      </c>
      <c r="Y24" t="b">
        <f>ABS(SUM('IS(M)'!N17:AK17)/1000-H24)&lt;1</f>
        <v>1</v>
      </c>
    </row>
    <row r="25" spans="1:25" ht="11.25" customHeight="1">
      <c r="A25" s="2787" t="s">
        <v>1222</v>
      </c>
      <c r="B25" s="2787"/>
      <c r="C25" s="2532">
        <f>C26</f>
        <v>67.853206</v>
      </c>
      <c r="D25" s="2526">
        <f ca="1">D26</f>
        <v>194.08267155863481</v>
      </c>
      <c r="E25" s="2526"/>
      <c r="G25" s="2517"/>
      <c r="H25" s="2512">
        <f t="shared" ca="1" si="3"/>
        <v>602.0411675443994</v>
      </c>
      <c r="I25" s="2103">
        <f ca="1">I26</f>
        <v>95.037744158328977</v>
      </c>
      <c r="J25" s="2103">
        <f t="shared" ref="J25:X25" ca="1" si="10">J26</f>
        <v>99.044927400305838</v>
      </c>
      <c r="K25" s="2103">
        <f t="shared" ca="1" si="10"/>
        <v>78.494803402506932</v>
      </c>
      <c r="L25" s="2103">
        <f t="shared" ca="1" si="10"/>
        <v>87.324885879361503</v>
      </c>
      <c r="M25" s="2103">
        <f t="shared" ca="1" si="10"/>
        <v>61.766490182998339</v>
      </c>
      <c r="N25" s="2103">
        <f t="shared" ca="1" si="10"/>
        <v>67.357836124259322</v>
      </c>
      <c r="O25" s="2103">
        <f t="shared" ca="1" si="10"/>
        <v>52.107932226365328</v>
      </c>
      <c r="P25" s="2103">
        <f t="shared" ca="1" si="10"/>
        <v>60.906548170273091</v>
      </c>
      <c r="Q25" s="2103">
        <f t="shared" si="10"/>
        <v>0</v>
      </c>
      <c r="R25" s="2103">
        <f t="shared" si="10"/>
        <v>0</v>
      </c>
      <c r="S25" s="2103">
        <f t="shared" si="10"/>
        <v>0</v>
      </c>
      <c r="T25" s="2103">
        <f t="shared" si="10"/>
        <v>0</v>
      </c>
      <c r="U25" s="2103">
        <f t="shared" si="10"/>
        <v>0</v>
      </c>
      <c r="V25" s="2103">
        <f t="shared" si="10"/>
        <v>0</v>
      </c>
      <c r="W25" s="2103">
        <f t="shared" si="10"/>
        <v>0</v>
      </c>
      <c r="X25" s="2103">
        <f t="shared" si="10"/>
        <v>0</v>
      </c>
    </row>
    <row r="26" spans="1:25" ht="11.25" customHeight="1">
      <c r="A26" s="2100">
        <v>44</v>
      </c>
      <c r="B26" s="2091" t="s">
        <v>1022</v>
      </c>
      <c r="C26" s="2533">
        <v>67.853206</v>
      </c>
      <c r="D26" s="2103">
        <f ca="1">SUM(I26:J26)</f>
        <v>194.08267155863481</v>
      </c>
      <c r="E26" s="2103"/>
      <c r="G26" s="2518"/>
      <c r="H26" s="2512">
        <f t="shared" ca="1" si="3"/>
        <v>602.0411675443994</v>
      </c>
      <c r="I26" s="2103">
        <f ca="1">SUMIF('IS(M)'!$M$13:$ER$13,I$5,'IS(M)'!$M44:$ER44)/1000</f>
        <v>95.037744158328977</v>
      </c>
      <c r="J26" s="2103">
        <f ca="1">SUMIF('IS(M)'!$M$13:$ER$13,J$5,'IS(M)'!$M44:$ER44)/1000</f>
        <v>99.044927400305838</v>
      </c>
      <c r="K26" s="2103">
        <f ca="1">SUMIF('IS(M)'!$M$13:$ER$13,K$5,'IS(M)'!$M44:$ER44)/1000</f>
        <v>78.494803402506932</v>
      </c>
      <c r="L26" s="2103">
        <f ca="1">SUMIF('IS(M)'!$M$13:$ER$13,L$5,'IS(M)'!$M44:$ER44)/1000</f>
        <v>87.324885879361503</v>
      </c>
      <c r="M26" s="2103">
        <f ca="1">SUMIF('IS(M)'!$M$13:$ER$13,M$5,'IS(M)'!$M44:$ER44)/1000</f>
        <v>61.766490182998339</v>
      </c>
      <c r="N26" s="2103">
        <f ca="1">SUMIF('IS(M)'!$M$13:$ER$13,N$5,'IS(M)'!$M44:$ER44)/1000</f>
        <v>67.357836124259322</v>
      </c>
      <c r="O26" s="2103">
        <f ca="1">SUMIF('IS(M)'!$M$13:$ER$13,O$5,'IS(M)'!$M44:$ER44)/1000</f>
        <v>52.107932226365328</v>
      </c>
      <c r="P26" s="2103">
        <f ca="1">SUMIF('IS(M)'!$M$13:$ER$13,P$5,'IS(M)'!$M44:$ER44)/1000</f>
        <v>60.906548170273091</v>
      </c>
      <c r="Q26" s="2103">
        <f>SUMIF('IS(M)'!$M$13:$ER$13,Q$5,'IS(M)'!$M44:$ER44)/1000</f>
        <v>0</v>
      </c>
      <c r="R26" s="2103">
        <f>SUMIF('IS(M)'!$M$13:$ER$13,R$5,'IS(M)'!$M44:$ER44)/1000</f>
        <v>0</v>
      </c>
      <c r="S26" s="2103">
        <f>SUMIF('IS(M)'!$M$13:$ER$13,S$5,'IS(M)'!$M44:$ER44)/1000</f>
        <v>0</v>
      </c>
      <c r="T26" s="2103">
        <f>SUMIF('IS(M)'!$M$13:$ER$13,T$5,'IS(M)'!$M44:$ER44)/1000</f>
        <v>0</v>
      </c>
      <c r="U26" s="2103">
        <f>SUMIF('IS(M)'!$M$13:$ER$13,U$5,'IS(M)'!$M44:$ER44)/1000</f>
        <v>0</v>
      </c>
      <c r="V26" s="2103">
        <f>SUMIF('IS(M)'!$M$13:$ER$13,V$5,'IS(M)'!$M44:$ER44)/1000</f>
        <v>0</v>
      </c>
      <c r="W26" s="2103">
        <f>SUMIF('IS(M)'!$M$13:$ER$13,W$5,'IS(M)'!$M44:$ER44)/1000</f>
        <v>0</v>
      </c>
      <c r="X26" s="2103">
        <f>SUMIF('IS(M)'!$M$13:$ER$13,X$5,'IS(M)'!$M44:$ER44)/1000</f>
        <v>0</v>
      </c>
    </row>
    <row r="27" spans="1:25" ht="11.25" customHeight="1">
      <c r="A27" s="2789" t="s">
        <v>1223</v>
      </c>
      <c r="B27" s="2789"/>
      <c r="C27" s="2535">
        <f>C15</f>
        <v>1633.2427459999999</v>
      </c>
      <c r="D27" s="2107">
        <f>I27</f>
        <v>854.42174999999997</v>
      </c>
      <c r="E27" s="2107"/>
      <c r="G27" s="2517"/>
      <c r="H27" s="2512">
        <f t="shared" si="3"/>
        <v>6835.373999999998</v>
      </c>
      <c r="I27" s="2107">
        <f>I15</f>
        <v>854.42174999999997</v>
      </c>
      <c r="J27" s="2107">
        <f t="shared" ref="J27:X27" si="11">J15</f>
        <v>854.42174999999997</v>
      </c>
      <c r="K27" s="2107">
        <f t="shared" si="11"/>
        <v>854.42174999999997</v>
      </c>
      <c r="L27" s="2107">
        <f t="shared" si="11"/>
        <v>854.42174999999997</v>
      </c>
      <c r="M27" s="2107">
        <f t="shared" si="11"/>
        <v>854.42174999999997</v>
      </c>
      <c r="N27" s="2107">
        <f t="shared" si="11"/>
        <v>854.42174999999997</v>
      </c>
      <c r="O27" s="2107">
        <f t="shared" si="11"/>
        <v>854.42174999999997</v>
      </c>
      <c r="P27" s="2107">
        <f t="shared" si="11"/>
        <v>854.42174999999997</v>
      </c>
      <c r="Q27" s="2107">
        <f t="shared" si="11"/>
        <v>0</v>
      </c>
      <c r="R27" s="2107">
        <f t="shared" si="11"/>
        <v>0</v>
      </c>
      <c r="S27" s="2107">
        <f t="shared" si="11"/>
        <v>0</v>
      </c>
      <c r="T27" s="2107">
        <f t="shared" si="11"/>
        <v>0</v>
      </c>
      <c r="U27" s="2107">
        <f t="shared" si="11"/>
        <v>0</v>
      </c>
      <c r="V27" s="2107">
        <f t="shared" si="11"/>
        <v>0</v>
      </c>
      <c r="W27" s="2107">
        <f t="shared" si="11"/>
        <v>0</v>
      </c>
      <c r="X27" s="2107">
        <f t="shared" si="11"/>
        <v>0</v>
      </c>
    </row>
    <row r="28" spans="1:25" ht="11.25" customHeight="1">
      <c r="A28" s="2789" t="s">
        <v>1224</v>
      </c>
      <c r="B28" s="2789"/>
      <c r="C28" s="2536">
        <v>0</v>
      </c>
      <c r="D28" s="2107">
        <f>I28</f>
        <v>0</v>
      </c>
      <c r="E28" s="2107"/>
      <c r="G28" s="2517"/>
      <c r="H28" s="2512">
        <f t="shared" si="3"/>
        <v>0</v>
      </c>
      <c r="I28" s="2107">
        <v>0</v>
      </c>
      <c r="J28" s="2107">
        <v>0</v>
      </c>
      <c r="K28" s="2107">
        <v>0</v>
      </c>
      <c r="L28" s="2107">
        <v>0</v>
      </c>
      <c r="M28" s="2107">
        <v>0</v>
      </c>
      <c r="N28" s="2107">
        <v>0</v>
      </c>
      <c r="O28" s="2107">
        <v>0</v>
      </c>
      <c r="P28" s="2107">
        <v>0</v>
      </c>
      <c r="Q28" s="2107">
        <v>0</v>
      </c>
      <c r="R28" s="2107">
        <v>0</v>
      </c>
      <c r="S28" s="2107">
        <v>0</v>
      </c>
      <c r="T28" s="2107">
        <v>0</v>
      </c>
      <c r="U28" s="2107">
        <v>0</v>
      </c>
      <c r="V28" s="2107">
        <v>0</v>
      </c>
      <c r="W28" s="2107">
        <v>0</v>
      </c>
      <c r="X28" s="2107">
        <v>0</v>
      </c>
    </row>
    <row r="29" spans="1:25" ht="11.25" customHeight="1">
      <c r="A29" s="2791" t="s">
        <v>2439</v>
      </c>
      <c r="B29" s="2792"/>
      <c r="C29" s="2536">
        <f>SUM(C11,C19,C20)</f>
        <v>255.904302</v>
      </c>
      <c r="D29" s="2107">
        <f>SUM(D11,D19,D20)</f>
        <v>364.29092043551094</v>
      </c>
      <c r="E29" s="2107"/>
      <c r="G29" s="2517"/>
      <c r="H29" s="2512">
        <f t="shared" si="3"/>
        <v>1457.6436817420436</v>
      </c>
      <c r="I29" s="2107">
        <f>SUM(I11,I19,I20)</f>
        <v>182.14546021775547</v>
      </c>
      <c r="J29" s="2107">
        <f t="shared" ref="J29:X29" si="12">SUM(J11,J19,J20)</f>
        <v>182.14546021775547</v>
      </c>
      <c r="K29" s="2107">
        <f t="shared" si="12"/>
        <v>182.14546021775547</v>
      </c>
      <c r="L29" s="2107">
        <f t="shared" si="12"/>
        <v>182.14546021775547</v>
      </c>
      <c r="M29" s="2107">
        <f t="shared" si="12"/>
        <v>182.26546021775548</v>
      </c>
      <c r="N29" s="2107">
        <f t="shared" si="12"/>
        <v>182.26546021775548</v>
      </c>
      <c r="O29" s="2107">
        <f t="shared" si="12"/>
        <v>182.26546021775548</v>
      </c>
      <c r="P29" s="2107">
        <f t="shared" si="12"/>
        <v>182.26546021775548</v>
      </c>
      <c r="Q29" s="2107">
        <f t="shared" si="12"/>
        <v>0</v>
      </c>
      <c r="R29" s="2107">
        <f t="shared" si="12"/>
        <v>0</v>
      </c>
      <c r="S29" s="2107">
        <f t="shared" si="12"/>
        <v>0</v>
      </c>
      <c r="T29" s="2107">
        <f t="shared" si="12"/>
        <v>0</v>
      </c>
      <c r="U29" s="2107">
        <f t="shared" si="12"/>
        <v>0</v>
      </c>
      <c r="V29" s="2107">
        <f t="shared" si="12"/>
        <v>0</v>
      </c>
      <c r="W29" s="2107">
        <f t="shared" si="12"/>
        <v>0</v>
      </c>
      <c r="X29" s="2107">
        <f t="shared" si="12"/>
        <v>0</v>
      </c>
    </row>
    <row r="30" spans="1:25" ht="11.25" customHeight="1">
      <c r="A30" s="2790" t="s">
        <v>1225</v>
      </c>
      <c r="B30" s="2790"/>
      <c r="C30" s="2536">
        <f>C24+C27+C28+C29</f>
        <v>4179.4948919999997</v>
      </c>
      <c r="D30" s="2107">
        <f>D24+D27+D28+D29</f>
        <v>5452.5962559503805</v>
      </c>
      <c r="E30" s="2107"/>
      <c r="G30" s="2521"/>
      <c r="H30" s="2512">
        <f t="shared" si="3"/>
        <v>26421.711367611239</v>
      </c>
      <c r="I30" s="2107">
        <f>I24+I27+I28+I29</f>
        <v>3107.9762084122999</v>
      </c>
      <c r="J30" s="2107">
        <f t="shared" ref="J30:X30" si="13">J24+J27+J28+J29</f>
        <v>3199.0417975380801</v>
      </c>
      <c r="K30" s="2107">
        <f t="shared" si="13"/>
        <v>3285.8999666168315</v>
      </c>
      <c r="L30" s="2107">
        <f t="shared" si="13"/>
        <v>3440.447009179331</v>
      </c>
      <c r="M30" s="2107">
        <f t="shared" si="13"/>
        <v>3201.3213367037301</v>
      </c>
      <c r="N30" s="2107">
        <f t="shared" si="13"/>
        <v>3283.5183613076565</v>
      </c>
      <c r="O30" s="2107">
        <f t="shared" si="13"/>
        <v>3372.5479846133749</v>
      </c>
      <c r="P30" s="2107">
        <f t="shared" si="13"/>
        <v>3530.9587032399372</v>
      </c>
      <c r="Q30" s="2107">
        <f t="shared" si="13"/>
        <v>0</v>
      </c>
      <c r="R30" s="2107">
        <f t="shared" si="13"/>
        <v>0</v>
      </c>
      <c r="S30" s="2107">
        <f t="shared" si="13"/>
        <v>0</v>
      </c>
      <c r="T30" s="2107">
        <f t="shared" si="13"/>
        <v>0</v>
      </c>
      <c r="U30" s="2107">
        <f t="shared" si="13"/>
        <v>0</v>
      </c>
      <c r="V30" s="2107">
        <f t="shared" si="13"/>
        <v>0</v>
      </c>
      <c r="W30" s="2107">
        <f t="shared" si="13"/>
        <v>0</v>
      </c>
      <c r="X30" s="2107">
        <f t="shared" si="13"/>
        <v>0</v>
      </c>
    </row>
    <row r="31" spans="1:25" ht="11.25" customHeight="1">
      <c r="A31" s="2789" t="s">
        <v>1269</v>
      </c>
      <c r="B31" s="2789"/>
      <c r="C31" s="2535">
        <v>3967.1232829999999</v>
      </c>
      <c r="D31" s="2107">
        <f>I31+J31</f>
        <v>3820</v>
      </c>
      <c r="E31" s="2107"/>
      <c r="G31" s="2517"/>
      <c r="H31" s="2512">
        <f t="shared" si="3"/>
        <v>15280</v>
      </c>
      <c r="I31" s="2107">
        <f>SUMIF('IS(M)'!$M$13:$ER$13,I$5,'IS(M)'!$M47:$ER47)/1000</f>
        <v>1910</v>
      </c>
      <c r="J31" s="2107">
        <f>SUMIF('IS(M)'!$M$13:$ER$13,J$5,'IS(M)'!$M47:$ER47)/1000</f>
        <v>1910</v>
      </c>
      <c r="K31" s="2107">
        <f>SUMIF('IS(M)'!$M$13:$ER$13,K$5,'IS(M)'!$M47:$ER47)/1000</f>
        <v>1910</v>
      </c>
      <c r="L31" s="2107">
        <f>SUMIF('IS(M)'!$M$13:$ER$13,L$5,'IS(M)'!$M47:$ER47)/1000</f>
        <v>1910</v>
      </c>
      <c r="M31" s="2107">
        <f>SUMIF('IS(M)'!$M$13:$ER$13,M$5,'IS(M)'!$M47:$ER47)/1000</f>
        <v>1910</v>
      </c>
      <c r="N31" s="2107">
        <f>SUMIF('IS(M)'!$M$13:$ER$13,N$5,'IS(M)'!$M47:$ER47)/1000</f>
        <v>1910</v>
      </c>
      <c r="O31" s="2107">
        <f>SUMIF('IS(M)'!$M$13:$ER$13,O$5,'IS(M)'!$M47:$ER47)/1000</f>
        <v>1910</v>
      </c>
      <c r="P31" s="2107">
        <f>SUMIF('IS(M)'!$M$13:$ER$13,P$5,'IS(M)'!$M47:$ER47)/1000</f>
        <v>1910</v>
      </c>
      <c r="Q31" s="2107">
        <f>SUMIF('IS(M)'!$M$13:$ER$13,Q$5,'IS(M)'!$M47:$ER47)/1000</f>
        <v>0</v>
      </c>
      <c r="R31" s="2107">
        <f>SUMIF('IS(M)'!$M$13:$ER$13,R$5,'IS(M)'!$M47:$ER47)/1000</f>
        <v>0</v>
      </c>
      <c r="S31" s="2107">
        <f>SUMIF('IS(M)'!$M$13:$ER$13,S$5,'IS(M)'!$M47:$ER47)/1000</f>
        <v>0</v>
      </c>
      <c r="T31" s="2107">
        <f>SUMIF('IS(M)'!$M$13:$ER$13,T$5,'IS(M)'!$M47:$ER47)/1000</f>
        <v>0</v>
      </c>
      <c r="U31" s="2107">
        <f>SUMIF('IS(M)'!$M$13:$ER$13,U$5,'IS(M)'!$M47:$ER47)/1000</f>
        <v>0</v>
      </c>
      <c r="V31" s="2107">
        <f>SUMIF('IS(M)'!$M$13:$ER$13,V$5,'IS(M)'!$M47:$ER47)/1000</f>
        <v>0</v>
      </c>
      <c r="W31" s="2107">
        <f>SUMIF('IS(M)'!$M$13:$ER$13,W$5,'IS(M)'!$M47:$ER47)/1000</f>
        <v>0</v>
      </c>
      <c r="X31" s="2107">
        <f>SUMIF('IS(M)'!$M$13:$ER$13,X$5,'IS(M)'!$M47:$ER47)/1000</f>
        <v>0</v>
      </c>
    </row>
    <row r="32" spans="1:25" ht="11.25" customHeight="1">
      <c r="A32" s="2789" t="s">
        <v>1270</v>
      </c>
      <c r="B32" s="2789"/>
      <c r="C32" s="2537">
        <v>0</v>
      </c>
      <c r="D32" s="2107">
        <f>I32+J32</f>
        <v>1140</v>
      </c>
      <c r="E32" s="2107"/>
      <c r="G32" s="2517"/>
      <c r="H32" s="2512">
        <f t="shared" si="3"/>
        <v>4560</v>
      </c>
      <c r="I32" s="2107">
        <f>SUMIF('IS(M)'!$M$13:$ER$13,I$5,'IS(M)'!$M50:$ER50)/1000</f>
        <v>570</v>
      </c>
      <c r="J32" s="2107">
        <f>SUMIF('IS(M)'!$M$13:$ER$13,J$5,'IS(M)'!$M50:$ER50)/1000</f>
        <v>570</v>
      </c>
      <c r="K32" s="2107">
        <f>SUMIF('IS(M)'!$M$13:$ER$13,K$5,'IS(M)'!$M50:$ER50)/1000</f>
        <v>570</v>
      </c>
      <c r="L32" s="2107">
        <f>SUMIF('IS(M)'!$M$13:$ER$13,L$5,'IS(M)'!$M50:$ER50)/1000</f>
        <v>570</v>
      </c>
      <c r="M32" s="2107">
        <f>SUMIF('IS(M)'!$M$13:$ER$13,M$5,'IS(M)'!$M50:$ER50)/1000</f>
        <v>570</v>
      </c>
      <c r="N32" s="2107">
        <f>SUMIF('IS(M)'!$M$13:$ER$13,N$5,'IS(M)'!$M50:$ER50)/1000</f>
        <v>570</v>
      </c>
      <c r="O32" s="2107">
        <f>SUMIF('IS(M)'!$M$13:$ER$13,O$5,'IS(M)'!$M50:$ER50)/1000</f>
        <v>570</v>
      </c>
      <c r="P32" s="2107">
        <f>SUMIF('IS(M)'!$M$13:$ER$13,P$5,'IS(M)'!$M50:$ER50)/1000</f>
        <v>570</v>
      </c>
      <c r="Q32" s="2107">
        <f>SUMIF('IS(M)'!$M$13:$ER$13,Q$5,'IS(M)'!$M50:$ER50)/1000</f>
        <v>0</v>
      </c>
      <c r="R32" s="2107">
        <f>SUMIF('IS(M)'!$M$13:$ER$13,R$5,'IS(M)'!$M50:$ER50)/1000</f>
        <v>0</v>
      </c>
      <c r="S32" s="2107">
        <f>SUMIF('IS(M)'!$M$13:$ER$13,S$5,'IS(M)'!$M50:$ER50)/1000</f>
        <v>0</v>
      </c>
      <c r="T32" s="2107">
        <f>SUMIF('IS(M)'!$M$13:$ER$13,T$5,'IS(M)'!$M50:$ER50)/1000</f>
        <v>0</v>
      </c>
      <c r="U32" s="2107">
        <f>SUMIF('IS(M)'!$M$13:$ER$13,U$5,'IS(M)'!$M50:$ER50)/1000</f>
        <v>0</v>
      </c>
      <c r="V32" s="2107">
        <f>SUMIF('IS(M)'!$M$13:$ER$13,V$5,'IS(M)'!$M50:$ER50)/1000</f>
        <v>0</v>
      </c>
      <c r="W32" s="2107">
        <f>SUMIF('IS(M)'!$M$13:$ER$13,W$5,'IS(M)'!$M50:$ER50)/1000</f>
        <v>0</v>
      </c>
      <c r="X32" s="2107">
        <f>SUMIF('IS(M)'!$M$13:$ER$13,X$5,'IS(M)'!$M50:$ER50)/1000</f>
        <v>0</v>
      </c>
    </row>
    <row r="33" spans="1:25" ht="11.25" customHeight="1">
      <c r="A33" s="2789" t="s">
        <v>1226</v>
      </c>
      <c r="B33" s="2789"/>
      <c r="C33" s="2535">
        <f>SUM(C31:C32)</f>
        <v>3967.1232829999999</v>
      </c>
      <c r="D33" s="2107">
        <f>SUM(D31:D32)</f>
        <v>4960</v>
      </c>
      <c r="E33" s="2107"/>
      <c r="G33" s="2517"/>
      <c r="H33" s="2512">
        <f t="shared" si="3"/>
        <v>19840</v>
      </c>
      <c r="I33" s="2107">
        <f>SUMIF('IS(M)'!$M$13:$ER$13,I$5,'IS(M)'!$M47:$ER47)/1000+SUMIF('IS(M)'!$M$13:$ER$13,I$5,'IS(M)'!$M50:$ER50)/1000</f>
        <v>2480</v>
      </c>
      <c r="J33" s="2107">
        <f>SUMIF('IS(M)'!$M$13:$ER$13,J$5,'IS(M)'!$M47:$ER47)/1000+SUMIF('IS(M)'!$M$13:$ER$13,J$5,'IS(M)'!$M50:$ER50)/1000</f>
        <v>2480</v>
      </c>
      <c r="K33" s="2107">
        <f>SUMIF('IS(M)'!$M$13:$ER$13,K$5,'IS(M)'!$M47:$ER47)/1000+SUMIF('IS(M)'!$M$13:$ER$13,K$5,'IS(M)'!$M50:$ER50)/1000</f>
        <v>2480</v>
      </c>
      <c r="L33" s="2107">
        <f>SUMIF('IS(M)'!$M$13:$ER$13,L$5,'IS(M)'!$M47:$ER47)/1000+SUMIF('IS(M)'!$M$13:$ER$13,L$5,'IS(M)'!$M50:$ER50)/1000</f>
        <v>2480</v>
      </c>
      <c r="M33" s="2107">
        <f>SUMIF('IS(M)'!$M$13:$ER$13,M$5,'IS(M)'!$M47:$ER47)/1000+SUMIF('IS(M)'!$M$13:$ER$13,M$5,'IS(M)'!$M50:$ER50)/1000</f>
        <v>2480</v>
      </c>
      <c r="N33" s="2107">
        <f>SUMIF('IS(M)'!$M$13:$ER$13,N$5,'IS(M)'!$M47:$ER47)/1000+SUMIF('IS(M)'!$M$13:$ER$13,N$5,'IS(M)'!$M50:$ER50)/1000</f>
        <v>2480</v>
      </c>
      <c r="O33" s="2107">
        <f>SUMIF('IS(M)'!$M$13:$ER$13,O$5,'IS(M)'!$M47:$ER47)/1000+SUMIF('IS(M)'!$M$13:$ER$13,O$5,'IS(M)'!$M50:$ER50)/1000</f>
        <v>2480</v>
      </c>
      <c r="P33" s="2107">
        <f>SUMIF('IS(M)'!$M$13:$ER$13,P$5,'IS(M)'!$M47:$ER47)/1000+SUMIF('IS(M)'!$M$13:$ER$13,P$5,'IS(M)'!$M50:$ER50)/1000</f>
        <v>2480</v>
      </c>
      <c r="Q33" s="2107">
        <f>SUMIF('IS(M)'!$M$13:$ER$13,Q$5,'IS(M)'!$M47:$ER47)/1000+SUMIF('IS(M)'!$M$13:$ER$13,Q$5,'IS(M)'!$M50:$ER50)/1000</f>
        <v>0</v>
      </c>
      <c r="R33" s="2107">
        <f>SUMIF('IS(M)'!$M$13:$ER$13,R$5,'IS(M)'!$M47:$ER47)/1000+SUMIF('IS(M)'!$M$13:$ER$13,R$5,'IS(M)'!$M50:$ER50)/1000</f>
        <v>0</v>
      </c>
      <c r="S33" s="2107">
        <f>SUMIF('IS(M)'!$M$13:$ER$13,S$5,'IS(M)'!$M47:$ER47)/1000+SUMIF('IS(M)'!$M$13:$ER$13,S$5,'IS(M)'!$M50:$ER50)/1000</f>
        <v>0</v>
      </c>
      <c r="T33" s="2107">
        <f>SUMIF('IS(M)'!$M$13:$ER$13,T$5,'IS(M)'!$M47:$ER47)/1000+SUMIF('IS(M)'!$M$13:$ER$13,T$5,'IS(M)'!$M50:$ER50)/1000</f>
        <v>0</v>
      </c>
      <c r="U33" s="2107">
        <f>SUMIF('IS(M)'!$M$13:$ER$13,U$5,'IS(M)'!$M47:$ER47)/1000+SUMIF('IS(M)'!$M$13:$ER$13,U$5,'IS(M)'!$M50:$ER50)/1000</f>
        <v>0</v>
      </c>
      <c r="V33" s="2107">
        <f>SUMIF('IS(M)'!$M$13:$ER$13,V$5,'IS(M)'!$M47:$ER47)/1000+SUMIF('IS(M)'!$M$13:$ER$13,V$5,'IS(M)'!$M50:$ER50)/1000</f>
        <v>0</v>
      </c>
      <c r="W33" s="2107">
        <f>SUMIF('IS(M)'!$M$13:$ER$13,W$5,'IS(M)'!$M47:$ER47)/1000+SUMIF('IS(M)'!$M$13:$ER$13,W$5,'IS(M)'!$M50:$ER50)/1000</f>
        <v>0</v>
      </c>
      <c r="X33" s="2107">
        <f>SUMIF('IS(M)'!$M$13:$ER$13,X$5,'IS(M)'!$M47:$ER47)/1000+SUMIF('IS(M)'!$M$13:$ER$13,X$5,'IS(M)'!$M50:$ER50)/1000</f>
        <v>0</v>
      </c>
    </row>
    <row r="34" spans="1:25" ht="11.25" customHeight="1">
      <c r="A34" s="2785" t="s">
        <v>1271</v>
      </c>
      <c r="B34" s="2785"/>
      <c r="C34" s="2538">
        <f>IFERROR(C30/C31,)</f>
        <v>1.0535328987405204</v>
      </c>
      <c r="D34" s="2094">
        <f>IFERROR(D30/D31,)</f>
        <v>1.4273812188351782</v>
      </c>
      <c r="E34" s="2094"/>
      <c r="G34" s="2521"/>
      <c r="H34" s="2514">
        <f>H30/H31</f>
        <v>1.7291695921211543</v>
      </c>
      <c r="I34" s="2094">
        <f>IFERROR(I30/I31,)</f>
        <v>1.6272126745614135</v>
      </c>
      <c r="J34" s="2094">
        <f t="shared" ref="J34:X34" si="14">IFERROR(J30/J31,)</f>
        <v>1.6748909934754346</v>
      </c>
      <c r="K34" s="2094">
        <f t="shared" si="14"/>
        <v>1.7203664746684981</v>
      </c>
      <c r="L34" s="2094">
        <f t="shared" si="14"/>
        <v>1.8012811566383933</v>
      </c>
      <c r="M34" s="2094">
        <f t="shared" si="14"/>
        <v>1.6760844694783927</v>
      </c>
      <c r="N34" s="2094">
        <f t="shared" si="14"/>
        <v>1.719119560894061</v>
      </c>
      <c r="O34" s="2094">
        <f t="shared" si="14"/>
        <v>1.7657319291169502</v>
      </c>
      <c r="P34" s="2094">
        <f t="shared" si="14"/>
        <v>1.8486694781360928</v>
      </c>
      <c r="Q34" s="2094">
        <f t="shared" si="14"/>
        <v>0</v>
      </c>
      <c r="R34" s="2094">
        <f t="shared" si="14"/>
        <v>0</v>
      </c>
      <c r="S34" s="2094">
        <f t="shared" si="14"/>
        <v>0</v>
      </c>
      <c r="T34" s="2094">
        <f t="shared" si="14"/>
        <v>0</v>
      </c>
      <c r="U34" s="2094">
        <f t="shared" si="14"/>
        <v>0</v>
      </c>
      <c r="V34" s="2094">
        <f t="shared" si="14"/>
        <v>0</v>
      </c>
      <c r="W34" s="2094">
        <f t="shared" si="14"/>
        <v>0</v>
      </c>
      <c r="X34" s="2094">
        <f t="shared" si="14"/>
        <v>0</v>
      </c>
      <c r="Y34" s="2108" t="s">
        <v>1235</v>
      </c>
    </row>
    <row r="35" spans="1:25" ht="11.25" customHeight="1">
      <c r="A35" s="2785" t="s">
        <v>1272</v>
      </c>
      <c r="B35" s="2785"/>
      <c r="C35" s="2538"/>
      <c r="D35" s="2094"/>
      <c r="E35" s="2094"/>
      <c r="G35" s="2521"/>
      <c r="H35" s="2514">
        <f ca="1">AVERAGEIF($I$35:$X$35,"&gt;0",$I$35:$X$35)</f>
        <v>6.8820665907216201</v>
      </c>
      <c r="I35" s="2094">
        <f ca="1">IFERROR((SUMIF('CF(M)'!$L$5:$EQ$5,I$4,'CF(M)'!$L$121:$EQ$121)/1000+I30)/I31,)</f>
        <v>7.8927387083987819</v>
      </c>
      <c r="J35" s="2094">
        <f ca="1">IFERROR((SUMIF('CF(M)'!$L$5:$EQ$5,J$4,'CF(M)'!$L$121:$EQ$121)/1000+J30)/J31,)</f>
        <v>8.2913484246270883</v>
      </c>
      <c r="K35" s="2094">
        <f ca="1">IFERROR((SUMIF('CF(M)'!$L$5:$EQ$5,K$4,'CF(M)'!$L$121:$EQ$121)/1000+K30)/K31,)</f>
        <v>7.127606079650203</v>
      </c>
      <c r="L35" s="2094">
        <f ca="1">IFERROR((SUMIF('CF(M)'!$L$5:$EQ$5,L$4,'CF(M)'!$L$121:$EQ$121)/1000+L30)/L31,)</f>
        <v>7.6461123061567742</v>
      </c>
      <c r="M35" s="2094">
        <f ca="1">IFERROR((SUMIF('CF(M)'!$L$5:$EQ$5,M$4,'CF(M)'!$L$121:$EQ$121)/1000+M30)/M31,)</f>
        <v>5.9282215240320664</v>
      </c>
      <c r="N35" s="2094">
        <f ca="1">IFERROR((SUMIF('CF(M)'!$L$5:$EQ$5,N$4,'CF(M)'!$L$121:$EQ$121)/1000+N30)/N31,)</f>
        <v>6.4494883060385266</v>
      </c>
      <c r="O35" s="2094">
        <f ca="1">IFERROR((SUMIF('CF(M)'!$L$5:$EQ$5,O$4,'CF(M)'!$L$121:$EQ$121)/1000+O30)/O31,)</f>
        <v>5.6055477882470646</v>
      </c>
      <c r="P35" s="2094">
        <f ca="1">IFERROR((SUMIF('CF(M)'!$L$5:$EQ$5,P$4,'CF(M)'!$L$121:$EQ$121)/1000+P30)/P31,)</f>
        <v>6.1154695886224593</v>
      </c>
      <c r="Q35" s="2094">
        <f ca="1">IFERROR((SUMIF('CF(M)'!$L$5:$EQ$5,Q$4,'CF(M)'!$L$121:$EQ$121)/1000+Q30)/Q31,)</f>
        <v>0</v>
      </c>
      <c r="R35" s="2094">
        <f ca="1">IFERROR((SUMIF('CF(M)'!$L$5:$EQ$5,R$4,'CF(M)'!$L$121:$EQ$121)/1000+R30)/R31,)</f>
        <v>0</v>
      </c>
      <c r="S35" s="2094">
        <f ca="1">IFERROR((SUMIF('CF(M)'!$L$5:$EQ$5,S$4,'CF(M)'!$L$121:$EQ$121)/1000+S30)/S31,)</f>
        <v>0</v>
      </c>
      <c r="T35" s="2094">
        <f ca="1">IFERROR((SUMIF('CF(M)'!$L$5:$EQ$5,T$4,'CF(M)'!$L$121:$EQ$121)/1000+T30)/T31,)</f>
        <v>0</v>
      </c>
      <c r="U35" s="2094">
        <f ca="1">IFERROR((SUMIF('CF(M)'!$L$5:$EQ$5,U$4,'CF(M)'!$L$121:$EQ$121)/1000+U30)/U31,)</f>
        <v>0</v>
      </c>
      <c r="V35" s="2094">
        <f ca="1">IFERROR((SUMIF('CF(M)'!$L$5:$EQ$5,V$4,'CF(M)'!$L$121:$EQ$121)/1000+V30)/V31,)</f>
        <v>0</v>
      </c>
      <c r="W35" s="2094">
        <f ca="1">IFERROR((SUMIF('CF(M)'!$L$5:$EQ$5,W$4,'CF(M)'!$L$121:$EQ$121)/1000+W30)/W31,)</f>
        <v>0</v>
      </c>
      <c r="X35" s="2094">
        <f ca="1">IFERROR((SUMIF('CF(M)'!$L$5:$EQ$5,X$4,'CF(M)'!$L$121:$EQ$121)/1000+X30)/X31,)</f>
        <v>0</v>
      </c>
      <c r="Y35" s="1" t="s">
        <v>1234</v>
      </c>
    </row>
    <row r="36" spans="1:25" ht="11.25" customHeight="1">
      <c r="A36" s="2785" t="s">
        <v>1273</v>
      </c>
      <c r="B36" s="2785"/>
      <c r="C36" s="2538"/>
      <c r="D36" s="2094"/>
      <c r="E36" s="2094"/>
      <c r="G36" s="2521"/>
      <c r="H36" s="2514">
        <f>IFERROR(AVERAGEIF($I36:$X36,"&gt;0",$I36:$X36),)</f>
        <v>1.3317394842545989</v>
      </c>
      <c r="I36" s="2094">
        <f>IFERROR(I30/I33,)</f>
        <v>1.2532162130694757</v>
      </c>
      <c r="J36" s="2094">
        <f t="shared" ref="J36:X36" si="15">IFERROR(J30/J33,)</f>
        <v>1.2899362086847097</v>
      </c>
      <c r="K36" s="2094">
        <f t="shared" si="15"/>
        <v>1.3249596639583998</v>
      </c>
      <c r="L36" s="2094">
        <f t="shared" si="15"/>
        <v>1.3872770198303754</v>
      </c>
      <c r="M36" s="2094">
        <f t="shared" si="15"/>
        <v>1.2908553777031171</v>
      </c>
      <c r="N36" s="2094">
        <f t="shared" si="15"/>
        <v>1.3239993392369582</v>
      </c>
      <c r="O36" s="2094">
        <f t="shared" si="15"/>
        <v>1.3598983808924898</v>
      </c>
      <c r="P36" s="2094">
        <f t="shared" si="15"/>
        <v>1.4237736706612649</v>
      </c>
      <c r="Q36" s="2094">
        <f t="shared" si="15"/>
        <v>0</v>
      </c>
      <c r="R36" s="2094">
        <f t="shared" si="15"/>
        <v>0</v>
      </c>
      <c r="S36" s="2094">
        <f t="shared" si="15"/>
        <v>0</v>
      </c>
      <c r="T36" s="2094">
        <f t="shared" si="15"/>
        <v>0</v>
      </c>
      <c r="U36" s="2094">
        <f t="shared" si="15"/>
        <v>0</v>
      </c>
      <c r="V36" s="2094">
        <f t="shared" si="15"/>
        <v>0</v>
      </c>
      <c r="W36" s="2094">
        <f t="shared" si="15"/>
        <v>0</v>
      </c>
      <c r="X36" s="2094">
        <f t="shared" si="15"/>
        <v>0</v>
      </c>
      <c r="Y36" s="1"/>
    </row>
    <row r="37" spans="1:25" ht="11.25" customHeight="1">
      <c r="A37" s="2785" t="s">
        <v>1274</v>
      </c>
      <c r="B37" s="2785"/>
      <c r="C37" s="2538"/>
      <c r="D37" s="2094"/>
      <c r="E37" s="2094"/>
      <c r="G37" s="2521"/>
      <c r="H37" s="2514">
        <f ca="1">IFERROR(AVERAGEIF($I37:$X37,"&gt;0",$I37:$X37),)</f>
        <v>5.3003012855960865</v>
      </c>
      <c r="I37" s="2094">
        <f ca="1">IFERROR((SUMIF('CF(M)'!$L$5:$EQ$5,I$4,'CF(M)'!$L$121:$EQ$121)/1000+I30)/I33,)</f>
        <v>6.0786818278393842</v>
      </c>
      <c r="J37" s="2094">
        <f ca="1">IFERROR((SUMIF('CF(M)'!$L$5:$EQ$5,J$4,'CF(M)'!$L$121:$EQ$121)/1000+J30)/J33,)</f>
        <v>6.3856756012248939</v>
      </c>
      <c r="K37" s="2094">
        <f ca="1">IFERROR((SUMIF('CF(M)'!$L$5:$EQ$5,K$4,'CF(M)'!$L$121:$EQ$121)/1000+K30)/K33,)</f>
        <v>5.4894062952144713</v>
      </c>
      <c r="L37" s="2094">
        <f ca="1">IFERROR((SUMIF('CF(M)'!$L$5:$EQ$5,L$4,'CF(M)'!$L$121:$EQ$121)/1000+L30)/L33,)</f>
        <v>5.8887397196610642</v>
      </c>
      <c r="M37" s="2094">
        <f ca="1">IFERROR((SUMIF('CF(M)'!$L$5:$EQ$5,M$4,'CF(M)'!$L$121:$EQ$121)/1000+M30)/M33,)</f>
        <v>4.5656867382666313</v>
      </c>
      <c r="N37" s="2094">
        <f ca="1">IFERROR((SUMIF('CF(M)'!$L$5:$EQ$5,N$4,'CF(M)'!$L$121:$EQ$121)/1000+N30)/N33,)</f>
        <v>4.967146235699027</v>
      </c>
      <c r="O37" s="2094">
        <f ca="1">IFERROR((SUMIF('CF(M)'!$L$5:$EQ$5,O$4,'CF(M)'!$L$121:$EQ$121)/1000+O30)/O33,)</f>
        <v>4.3171759175612472</v>
      </c>
      <c r="P37" s="2094">
        <f ca="1">IFERROR((SUMIF('CF(M)'!$L$5:$EQ$5,P$4,'CF(M)'!$L$121:$EQ$121)/1000+P30)/P33,)</f>
        <v>4.7098979493019746</v>
      </c>
      <c r="Q37" s="2094">
        <f ca="1">IFERROR((SUMIF('CF(M)'!$L$5:$EQ$5,Q$4,'CF(M)'!$L$121:$EQ$121)/1000+Q30)/Q33,)</f>
        <v>0</v>
      </c>
      <c r="R37" s="2094">
        <f ca="1">IFERROR((SUMIF('CF(M)'!$L$5:$EQ$5,R$4,'CF(M)'!$L$121:$EQ$121)/1000+R30)/R33,)</f>
        <v>0</v>
      </c>
      <c r="S37" s="2094">
        <f ca="1">IFERROR((SUMIF('CF(M)'!$L$5:$EQ$5,S$4,'CF(M)'!$L$121:$EQ$121)/1000+S30)/S33,)</f>
        <v>0</v>
      </c>
      <c r="T37" s="2094">
        <f ca="1">IFERROR((SUMIF('CF(M)'!$L$5:$EQ$5,T$4,'CF(M)'!$L$121:$EQ$121)/1000+T30)/T33,)</f>
        <v>0</v>
      </c>
      <c r="U37" s="2094">
        <f ca="1">IFERROR((SUMIF('CF(M)'!$L$5:$EQ$5,U$4,'CF(M)'!$L$121:$EQ$121)/1000+U30)/U33,)</f>
        <v>0</v>
      </c>
      <c r="V37" s="2094">
        <f ca="1">IFERROR((SUMIF('CF(M)'!$L$5:$EQ$5,V$4,'CF(M)'!$L$121:$EQ$121)/1000+V30)/V33,)</f>
        <v>0</v>
      </c>
      <c r="W37" s="2094">
        <f ca="1">IFERROR((SUMIF('CF(M)'!$L$5:$EQ$5,W$4,'CF(M)'!$L$121:$EQ$121)/1000+W30)/W33,)</f>
        <v>0</v>
      </c>
      <c r="X37" s="2094">
        <f ca="1">IFERROR((SUMIF('CF(M)'!$L$5:$EQ$5,X$4,'CF(M)'!$L$121:$EQ$121)/1000+X30)/X33,)</f>
        <v>0</v>
      </c>
      <c r="Y37" s="1"/>
    </row>
    <row r="38" spans="1:25" ht="11.25" customHeight="1">
      <c r="A38" s="2095" t="s">
        <v>1227</v>
      </c>
    </row>
    <row r="39" spans="1:25" ht="11.25" customHeight="1">
      <c r="A39" s="2095" t="s">
        <v>1228</v>
      </c>
    </row>
    <row r="40" spans="1:25" ht="11.25" customHeight="1">
      <c r="A40" s="2095" t="s">
        <v>1236</v>
      </c>
      <c r="I40" s="2193" t="b">
        <f>I34='DSCR(선,중)'!F33</f>
        <v>0</v>
      </c>
      <c r="J40" s="2193" t="b">
        <f>J34='DSCR(선,중)'!G33</f>
        <v>0</v>
      </c>
      <c r="K40" s="2193" t="b">
        <f>K34='DSCR(선,중)'!H33</f>
        <v>0</v>
      </c>
      <c r="L40" s="2193" t="b">
        <f>L34='DSCR(선,중)'!I33</f>
        <v>0</v>
      </c>
      <c r="M40" s="2193" t="b">
        <f>M34='DSCR(선,중)'!J33</f>
        <v>0</v>
      </c>
      <c r="N40" s="2193" t="b">
        <f>N34='DSCR(선,중)'!K33</f>
        <v>0</v>
      </c>
      <c r="O40" s="2193" t="b">
        <f>O34='DSCR(선,중)'!L33</f>
        <v>0</v>
      </c>
      <c r="P40" s="2193" t="b">
        <f>P34='DSCR(선,중)'!M33</f>
        <v>0</v>
      </c>
    </row>
    <row r="41" spans="1:25" ht="11.25" customHeight="1">
      <c r="I41" s="2193" t="b">
        <f>I36='DSCR(선,중)'!F35</f>
        <v>0</v>
      </c>
      <c r="J41" s="2193" t="b">
        <f>J36='DSCR(선,중)'!G35</f>
        <v>0</v>
      </c>
      <c r="K41" s="2193" t="b">
        <f>K36='DSCR(선,중)'!H35</f>
        <v>0</v>
      </c>
      <c r="L41" s="2193" t="b">
        <f>L36='DSCR(선,중)'!I35</f>
        <v>0</v>
      </c>
      <c r="M41" s="2193" t="b">
        <f>M36='DSCR(선,중)'!J35</f>
        <v>0</v>
      </c>
      <c r="N41" s="2193" t="b">
        <f>N36='DSCR(선,중)'!K35</f>
        <v>0</v>
      </c>
      <c r="O41" s="2193" t="b">
        <f>O36='DSCR(선,중)'!L35</f>
        <v>0</v>
      </c>
      <c r="P41" s="2193" t="b">
        <f>P36='DSCR(선,중)'!M35</f>
        <v>0</v>
      </c>
    </row>
    <row r="42" spans="1:25" ht="11.25" customHeight="1">
      <c r="I42" s="2193" t="b">
        <f>SUM(I31:I32)=I33</f>
        <v>1</v>
      </c>
      <c r="J42" s="2193" t="b">
        <f t="shared" ref="J42:P42" si="16">SUM(J31:J32)=J33</f>
        <v>1</v>
      </c>
      <c r="K42" s="2193" t="b">
        <f t="shared" si="16"/>
        <v>1</v>
      </c>
      <c r="L42" s="2193" t="b">
        <f t="shared" si="16"/>
        <v>1</v>
      </c>
      <c r="M42" s="2193" t="b">
        <f t="shared" si="16"/>
        <v>1</v>
      </c>
      <c r="N42" s="2193" t="b">
        <f t="shared" si="16"/>
        <v>1</v>
      </c>
      <c r="O42" s="2193" t="b">
        <f t="shared" si="16"/>
        <v>1</v>
      </c>
      <c r="P42" s="2193" t="b">
        <f t="shared" si="16"/>
        <v>1</v>
      </c>
    </row>
    <row r="46" spans="1:25" ht="11.25" customHeight="1">
      <c r="A46" s="2789" t="s">
        <v>1277</v>
      </c>
      <c r="B46" s="2789"/>
      <c r="C46" s="2524"/>
      <c r="D46" s="2506"/>
      <c r="E46" s="2508"/>
      <c r="F46" s="2528"/>
      <c r="G46" s="2517"/>
      <c r="H46" s="2512">
        <f ca="1">SUM(I46:X46)</f>
        <v>3360.0000000000005</v>
      </c>
      <c r="I46" s="2107">
        <f ca="1">SUMIF('IS(M)'!$M$13:$ER$13,I$5,'IS(M)'!$M75:$ER75)/1000</f>
        <v>0</v>
      </c>
      <c r="J46" s="2107">
        <f ca="1">SUMIF('IS(M)'!$M$13:$ER$13,J$5,'IS(M)'!$M75:$ER75)/1000</f>
        <v>840.00000000000011</v>
      </c>
      <c r="K46" s="2107">
        <f ca="1">SUMIF('IS(M)'!$M$13:$ER$13,K$5,'IS(M)'!$M75:$ER75)/1000</f>
        <v>0</v>
      </c>
      <c r="L46" s="2107">
        <f ca="1">SUMIF('IS(M)'!$M$13:$ER$13,L$5,'IS(M)'!$M75:$ER75)/1000</f>
        <v>840.00000000000011</v>
      </c>
      <c r="M46" s="2107">
        <f ca="1">SUMIF('IS(M)'!$M$13:$ER$13,M$5,'IS(M)'!$M75:$ER75)/1000</f>
        <v>0</v>
      </c>
      <c r="N46" s="2107">
        <f ca="1">SUMIF('IS(M)'!$M$13:$ER$13,N$5,'IS(M)'!$M75:$ER75)/1000</f>
        <v>840.00000000000011</v>
      </c>
      <c r="O46" s="2107">
        <f ca="1">SUMIF('IS(M)'!$M$13:$ER$13,O$5,'IS(M)'!$M75:$ER75)/1000</f>
        <v>0</v>
      </c>
      <c r="P46" s="2107">
        <f ca="1">SUMIF('IS(M)'!$M$13:$ER$13,P$5,'IS(M)'!$M75:$ER75)/1000</f>
        <v>840.00000000000011</v>
      </c>
      <c r="Q46" s="2107">
        <f>SUMIF('IS(M)'!$M$13:$ER$13,Q$5,'IS(M)'!$M75:$ER75)/1000</f>
        <v>0</v>
      </c>
      <c r="R46" s="2107">
        <f>SUMIF('IS(M)'!$M$13:$ER$13,R$5,'IS(M)'!$M75:$ER75)/1000</f>
        <v>0</v>
      </c>
      <c r="S46" s="2107">
        <f>SUMIF('IS(M)'!$M$13:$ER$13,S$5,'IS(M)'!$M75:$ER75)/1000</f>
        <v>0</v>
      </c>
      <c r="T46" s="2107">
        <f>SUMIF('IS(M)'!$M$13:$ER$13,T$5,'IS(M)'!$M75:$ER75)/1000</f>
        <v>0</v>
      </c>
      <c r="U46" s="2107">
        <f>SUMIF('IS(M)'!$M$13:$ER$13,U$5,'IS(M)'!$M75:$ER75)/1000</f>
        <v>0</v>
      </c>
      <c r="V46" s="2107">
        <f>SUMIF('IS(M)'!$M$13:$ER$13,V$5,'IS(M)'!$M75:$ER75)/1000</f>
        <v>0</v>
      </c>
      <c r="W46" s="2107">
        <f>SUMIF('IS(M)'!$M$13:$ER$13,W$5,'IS(M)'!$M75:$ER75)/1000</f>
        <v>0</v>
      </c>
      <c r="X46" s="2107">
        <f>SUMIF('IS(M)'!$M$13:$ER$13,X$5,'IS(M)'!$M75:$ER75)/1000</f>
        <v>0</v>
      </c>
    </row>
    <row r="47" spans="1:25" ht="11.25" customHeight="1">
      <c r="A47" s="2789" t="s">
        <v>1276</v>
      </c>
      <c r="B47" s="2789"/>
      <c r="C47" s="2524"/>
      <c r="D47" s="2506"/>
      <c r="E47" s="2508"/>
      <c r="F47" s="2528"/>
      <c r="G47" s="2517"/>
      <c r="H47" s="2512">
        <f ca="1">SUM(I47:X47)</f>
        <v>7500</v>
      </c>
      <c r="I47" s="2107">
        <f ca="1">SUMIF('IS(M)'!$M$13:$ER$13,I$5,'IS(M)'!$M80:$ER80)/1000</f>
        <v>0</v>
      </c>
      <c r="J47" s="2107">
        <f ca="1">SUMIF('IS(M)'!$M$13:$ER$13,J$5,'IS(M)'!$M80:$ER80)/1000</f>
        <v>1875</v>
      </c>
      <c r="K47" s="2107">
        <f ca="1">SUMIF('IS(M)'!$M$13:$ER$13,K$5,'IS(M)'!$M80:$ER80)/1000</f>
        <v>0</v>
      </c>
      <c r="L47" s="2107">
        <f ca="1">SUMIF('IS(M)'!$M$13:$ER$13,L$5,'IS(M)'!$M80:$ER80)/1000</f>
        <v>1875</v>
      </c>
      <c r="M47" s="2107">
        <f ca="1">SUMIF('IS(M)'!$M$13:$ER$13,M$5,'IS(M)'!$M80:$ER80)/1000</f>
        <v>0</v>
      </c>
      <c r="N47" s="2107">
        <f ca="1">SUMIF('IS(M)'!$M$13:$ER$13,N$5,'IS(M)'!$M80:$ER80)/1000</f>
        <v>1875</v>
      </c>
      <c r="O47" s="2107">
        <f ca="1">SUMIF('IS(M)'!$M$13:$ER$13,O$5,'IS(M)'!$M80:$ER80)/1000</f>
        <v>0</v>
      </c>
      <c r="P47" s="2107">
        <f ca="1">SUMIF('IS(M)'!$M$13:$ER$13,P$5,'IS(M)'!$M80:$ER80)/1000</f>
        <v>1875</v>
      </c>
      <c r="Q47" s="2107">
        <f>SUMIF('IS(M)'!$M$13:$ER$13,Q$5,'IS(M)'!$M80:$ER80)/1000</f>
        <v>0</v>
      </c>
      <c r="R47" s="2107">
        <f>SUMIF('IS(M)'!$M$13:$ER$13,R$5,'IS(M)'!$M80:$ER80)/1000</f>
        <v>0</v>
      </c>
      <c r="S47" s="2107">
        <f>SUMIF('IS(M)'!$M$13:$ER$13,S$5,'IS(M)'!$M80:$ER80)/1000</f>
        <v>0</v>
      </c>
      <c r="T47" s="2107">
        <f>SUMIF('IS(M)'!$M$13:$ER$13,T$5,'IS(M)'!$M80:$ER80)/1000</f>
        <v>0</v>
      </c>
      <c r="U47" s="2107">
        <f>SUMIF('IS(M)'!$M$13:$ER$13,U$5,'IS(M)'!$M80:$ER80)/1000</f>
        <v>0</v>
      </c>
      <c r="V47" s="2107">
        <f>SUMIF('IS(M)'!$M$13:$ER$13,V$5,'IS(M)'!$M80:$ER80)/1000</f>
        <v>0</v>
      </c>
      <c r="W47" s="2107">
        <f>SUMIF('IS(M)'!$M$13:$ER$13,W$5,'IS(M)'!$M80:$ER80)/1000</f>
        <v>0</v>
      </c>
      <c r="X47" s="2107">
        <f>SUMIF('IS(M)'!$M$13:$ER$13,X$5,'IS(M)'!$M80:$ER80)/1000</f>
        <v>0</v>
      </c>
    </row>
    <row r="48" spans="1:25" ht="11.25" customHeight="1">
      <c r="A48" s="2793" t="s">
        <v>1278</v>
      </c>
      <c r="B48" s="2794"/>
      <c r="C48" s="2525"/>
      <c r="D48" s="2507"/>
      <c r="E48" s="2509"/>
      <c r="F48" s="2529"/>
      <c r="G48" s="2522"/>
      <c r="H48" s="2514">
        <f ca="1">IFERROR(AVERAGEIF($I48:$X48,"&gt;0",$I48:$X48),)</f>
        <v>4.6060533192954454</v>
      </c>
      <c r="I48" s="2094">
        <f ca="1">IFERROR((SUMIF('CF(M)'!$L$5:$EQ$5,I$4,'CF(M)'!$L$121:$EQ$121)/1000+I30)/(I33+I46),)</f>
        <v>6.0786818278393842</v>
      </c>
      <c r="J48" s="2094">
        <f ca="1">IFERROR((SUMIF('CF(M)'!$L$5:$EQ$5,J$4,'CF(M)'!$L$121:$EQ$121)/1000+J30)/(J33+J46),)</f>
        <v>4.7700227382643785</v>
      </c>
      <c r="K48" s="2094">
        <f ca="1">IFERROR((SUMIF('CF(M)'!$L$5:$EQ$5,K$4,'CF(M)'!$L$121:$EQ$121)/1000+K30)/(K33+K46),)</f>
        <v>5.4894062952144713</v>
      </c>
      <c r="L48" s="2094">
        <f ca="1">IFERROR((SUMIF('CF(M)'!$L$5:$EQ$5,L$4,'CF(M)'!$L$121:$EQ$121)/1000+L30)/(L33+L46),)</f>
        <v>4.3988176219154935</v>
      </c>
      <c r="M48" s="2094">
        <f ca="1">IFERROR((SUMIF('CF(M)'!$L$5:$EQ$5,M$4,'CF(M)'!$L$121:$EQ$121)/1000+M30)/(M33+M46),)</f>
        <v>4.5656867382666313</v>
      </c>
      <c r="N48" s="2094">
        <f ca="1">IFERROR((SUMIF('CF(M)'!$L$5:$EQ$5,N$4,'CF(M)'!$L$121:$EQ$121)/1000+N30)/(N33+N46),)</f>
        <v>3.7103983929318032</v>
      </c>
      <c r="O48" s="2094">
        <f ca="1">IFERROR((SUMIF('CF(M)'!$L$5:$EQ$5,O$4,'CF(M)'!$L$121:$EQ$121)/1000+O30)/(O33+O46),)</f>
        <v>4.3171759175612472</v>
      </c>
      <c r="P48" s="2094">
        <f ca="1">IFERROR((SUMIF('CF(M)'!$L$5:$EQ$5,P$4,'CF(M)'!$L$121:$EQ$121)/1000+P30)/(P33+P46),)</f>
        <v>3.5182370223701498</v>
      </c>
      <c r="Q48" s="2094">
        <f ca="1">IFERROR((SUMIF('CF(M)'!$L$5:$EQ$5,Q$4,'CF(M)'!$L$121:$EQ$121)/1000+Q30)/(Q33+Q46),)</f>
        <v>0</v>
      </c>
      <c r="R48" s="2094">
        <f ca="1">IFERROR((SUMIF('CF(M)'!$L$5:$EQ$5,R$4,'CF(M)'!$L$121:$EQ$121)/1000+R30)/(R33+R46),)</f>
        <v>0</v>
      </c>
      <c r="S48" s="2094">
        <f ca="1">IFERROR((SUMIF('CF(M)'!$L$5:$EQ$5,S$4,'CF(M)'!$L$121:$EQ$121)/1000+S30)/(S33+S46),)</f>
        <v>0</v>
      </c>
      <c r="T48" s="2094">
        <f ca="1">IFERROR((SUMIF('CF(M)'!$L$5:$EQ$5,T$4,'CF(M)'!$L$121:$EQ$121)/1000+T30)/(T33+T46),)</f>
        <v>0</v>
      </c>
      <c r="U48" s="2094">
        <f ca="1">IFERROR((SUMIF('CF(M)'!$L$5:$EQ$5,U$4,'CF(M)'!$L$121:$EQ$121)/1000+U30)/(U33+U46),)</f>
        <v>0</v>
      </c>
      <c r="V48" s="2094">
        <f ca="1">IFERROR((SUMIF('CF(M)'!$L$5:$EQ$5,V$4,'CF(M)'!$L$121:$EQ$121)/1000+V30)/(V33+V46),)</f>
        <v>0</v>
      </c>
      <c r="W48" s="2094">
        <f ca="1">IFERROR((SUMIF('CF(M)'!$L$5:$EQ$5,W$4,'CF(M)'!$L$121:$EQ$121)/1000+W30)/(W33+W46),)</f>
        <v>0</v>
      </c>
      <c r="X48" s="2094">
        <f ca="1">IFERROR((SUMIF('CF(M)'!$L$5:$EQ$5,X$4,'CF(M)'!$L$121:$EQ$121)/1000+X30)/(X33+X46),)</f>
        <v>0</v>
      </c>
    </row>
    <row r="49" spans="1:24" ht="11.25" customHeight="1">
      <c r="A49" s="2793" t="s">
        <v>1279</v>
      </c>
      <c r="B49" s="2794"/>
      <c r="C49" s="2525"/>
      <c r="D49" s="2507"/>
      <c r="E49" s="2509"/>
      <c r="F49" s="2529"/>
      <c r="G49" s="2522"/>
      <c r="H49" s="2514">
        <f ca="1">IFERROR(AVERAGEIF($I49:$X49,"&gt;0",$I49:$X49),)</f>
        <v>3.8662730719655984</v>
      </c>
      <c r="I49" s="2094">
        <f ca="1">IFERROR((SUMIF('CF(M)'!$L$5:$EQ$5,I$4,'CF(M)'!$L$121:$EQ$121)/1000+I30)/(I33+I46+I47),)</f>
        <v>6.0786818278393842</v>
      </c>
      <c r="J49" s="2094">
        <f ca="1">IFERROR((SUMIF('CF(M)'!$L$5:$EQ$5,J$4,'CF(M)'!$L$121:$EQ$121)/1000+J30)/(J33+J46+J47),)</f>
        <v>3.0484072167541361</v>
      </c>
      <c r="K49" s="2094">
        <f ca="1">IFERROR((SUMIF('CF(M)'!$L$5:$EQ$5,K$4,'CF(M)'!$L$121:$EQ$121)/1000+K30)/(K33+K46+K47),)</f>
        <v>5.4894062952144713</v>
      </c>
      <c r="L49" s="2094">
        <f ca="1">IFERROR((SUMIF('CF(M)'!$L$5:$EQ$5,L$4,'CF(M)'!$L$121:$EQ$121)/1000+L30)/(L33+L46+L47),)</f>
        <v>2.8111789229565813</v>
      </c>
      <c r="M49" s="2094">
        <f ca="1">IFERROR((SUMIF('CF(M)'!$L$5:$EQ$5,M$4,'CF(M)'!$L$121:$EQ$121)/1000+M30)/(M33+M46+M47),)</f>
        <v>4.5656867382666313</v>
      </c>
      <c r="N49" s="2094">
        <f ca="1">IFERROR((SUMIF('CF(M)'!$L$5:$EQ$5,N$4,'CF(M)'!$L$121:$EQ$121)/1000+N30)/(N33+N46+N47),)</f>
        <v>2.3712266919217684</v>
      </c>
      <c r="O49" s="2094">
        <f ca="1">IFERROR((SUMIF('CF(M)'!$L$5:$EQ$5,O$4,'CF(M)'!$L$121:$EQ$121)/1000+O30)/(O33+O46+O47),)</f>
        <v>4.3171759175612472</v>
      </c>
      <c r="P49" s="2094">
        <f ca="1">IFERROR((SUMIF('CF(M)'!$L$5:$EQ$5,P$4,'CF(M)'!$L$121:$EQ$121)/1000+P30)/(P33+P46+P47),)</f>
        <v>2.2484209652105673</v>
      </c>
      <c r="Q49" s="2094">
        <f ca="1">IFERROR((SUMIF('CF(M)'!$L$5:$EQ$5,Q$4,'CF(M)'!$L$121:$EQ$121)/1000+Q30)/(Q33+Q46+Q47),)</f>
        <v>0</v>
      </c>
      <c r="R49" s="2094">
        <f ca="1">IFERROR((SUMIF('CF(M)'!$L$5:$EQ$5,R$4,'CF(M)'!$L$121:$EQ$121)/1000+R30)/(R33+R46+R47),)</f>
        <v>0</v>
      </c>
      <c r="S49" s="2094">
        <f ca="1">IFERROR((SUMIF('CF(M)'!$L$5:$EQ$5,S$4,'CF(M)'!$L$121:$EQ$121)/1000+S30)/(S33+S46+S47),)</f>
        <v>0</v>
      </c>
      <c r="T49" s="2094">
        <f ca="1">IFERROR((SUMIF('CF(M)'!$L$5:$EQ$5,T$4,'CF(M)'!$L$121:$EQ$121)/1000+T30)/(T33+T46+T47),)</f>
        <v>0</v>
      </c>
      <c r="U49" s="2094">
        <f ca="1">IFERROR((SUMIF('CF(M)'!$L$5:$EQ$5,U$4,'CF(M)'!$L$121:$EQ$121)/1000+U30)/(U33+U46+U47),)</f>
        <v>0</v>
      </c>
      <c r="V49" s="2094">
        <f ca="1">IFERROR((SUMIF('CF(M)'!$L$5:$EQ$5,V$4,'CF(M)'!$L$121:$EQ$121)/1000+V30)/(V33+V46+V47),)</f>
        <v>0</v>
      </c>
      <c r="W49" s="2094">
        <f ca="1">IFERROR((SUMIF('CF(M)'!$L$5:$EQ$5,W$4,'CF(M)'!$L$121:$EQ$121)/1000+W30)/(W33+W46+W47),)</f>
        <v>0</v>
      </c>
      <c r="X49" s="2094">
        <f ca="1">IFERROR((SUMIF('CF(M)'!$L$5:$EQ$5,X$4,'CF(M)'!$L$121:$EQ$121)/1000+X30)/(X33+X46+X47),)</f>
        <v>0</v>
      </c>
    </row>
  </sheetData>
  <mergeCells count="20">
    <mergeCell ref="A49:B49"/>
    <mergeCell ref="A35:B35"/>
    <mergeCell ref="A36:B36"/>
    <mergeCell ref="A37:B37"/>
    <mergeCell ref="A46:B46"/>
    <mergeCell ref="A47:B47"/>
    <mergeCell ref="A48:B48"/>
    <mergeCell ref="A34:B34"/>
    <mergeCell ref="A5:B5"/>
    <mergeCell ref="A6:B6"/>
    <mergeCell ref="A10:B10"/>
    <mergeCell ref="A24:B24"/>
    <mergeCell ref="A25:B25"/>
    <mergeCell ref="A27:B27"/>
    <mergeCell ref="A28:B28"/>
    <mergeCell ref="A30:B30"/>
    <mergeCell ref="A31:B31"/>
    <mergeCell ref="A32:B32"/>
    <mergeCell ref="A33:B33"/>
    <mergeCell ref="A29:B29"/>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abSelected="1" topLeftCell="J13" zoomScaleNormal="100" workbookViewId="0">
      <selection activeCell="J42" sqref="J42"/>
    </sheetView>
  </sheetViews>
  <sheetFormatPr defaultColWidth="9" defaultRowHeight="11.25" customHeight="1"/>
  <cols>
    <col min="1" max="1" width="2.125" style="1304"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28.375" style="259" bestFit="1"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2" t="s">
        <v>250</v>
      </c>
    </row>
    <row r="2" spans="1:59" s="4" customFormat="1" ht="11.25" customHeight="1">
      <c r="A2" s="1303" t="s">
        <v>251</v>
      </c>
      <c r="P2" s="2747">
        <f>P8/U28-1</f>
        <v>-0.19282511210762332</v>
      </c>
      <c r="Y2" s="2718">
        <v>20874.59</v>
      </c>
      <c r="Z2" s="2719">
        <f>Y23-Y2</f>
        <v>15.489999999997963</v>
      </c>
      <c r="AE2" s="2490">
        <f>AE3-T14</f>
        <v>5105114.818</v>
      </c>
      <c r="AG2" s="4" t="s">
        <v>1035</v>
      </c>
      <c r="AH2" s="1678">
        <f>AH3+7</f>
        <v>86.965424258786953</v>
      </c>
      <c r="AI2" s="1679">
        <f>AH2/12</f>
        <v>7.2471186882322458</v>
      </c>
    </row>
    <row r="3" spans="1:59" ht="11.25" customHeight="1">
      <c r="O3" s="783"/>
      <c r="P3" s="1625"/>
      <c r="AE3" s="2489">
        <f>AE23/1000</f>
        <v>7205114.818</v>
      </c>
      <c r="AG3" s="259" t="s">
        <v>1036</v>
      </c>
      <c r="AH3" s="1105">
        <f>(SUMPRODUCT(Y9:Y19,AH9:AH19)+SUMPRODUCT(Y21:Y22,AH21:AH22))/Y23</f>
        <v>79.965424258786953</v>
      </c>
      <c r="AI3" s="1677">
        <f>AH3/12</f>
        <v>6.6637853548989128</v>
      </c>
    </row>
    <row r="4" spans="1:59" ht="11.25" customHeight="1">
      <c r="B4" s="6" t="s">
        <v>20</v>
      </c>
      <c r="C4" s="7"/>
      <c r="D4" s="8"/>
      <c r="E4" s="7"/>
      <c r="F4" s="7"/>
      <c r="G4" s="7"/>
      <c r="H4" s="7"/>
      <c r="I4" s="7"/>
      <c r="J4" s="7"/>
      <c r="K4" s="9"/>
      <c r="L4" s="6" t="s">
        <v>21</v>
      </c>
      <c r="M4" s="7"/>
      <c r="N4" s="1670" t="s">
        <v>1034</v>
      </c>
      <c r="O4" s="1624">
        <f>Y54/(P8-T14-P45)</f>
        <v>4.8918868912827713E-2</v>
      </c>
      <c r="P4" s="1747">
        <f>Y54/(P8-T14)</f>
        <v>4.8918868912827713E-2</v>
      </c>
      <c r="Q4" s="1748">
        <f>O5/U28-1</f>
        <v>-0.19282511210762332</v>
      </c>
      <c r="R4" s="1749"/>
      <c r="S4" s="1749"/>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51"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2760" t="s">
        <v>38</v>
      </c>
      <c r="M6" s="21" t="s">
        <v>39</v>
      </c>
      <c r="N6" s="964" t="s">
        <v>553</v>
      </c>
      <c r="O6" s="965">
        <f>Y55</f>
        <v>4.8918868912827713E-2</v>
      </c>
      <c r="P6" s="1133">
        <f>TIC!J16</f>
        <v>142236000</v>
      </c>
      <c r="Q6" s="1134">
        <f>IFERROR(P6/$P$28,)</f>
        <v>0.49233644859813086</v>
      </c>
      <c r="R6" s="5" t="s">
        <v>38</v>
      </c>
      <c r="S6" s="22"/>
      <c r="T6" s="13">
        <f>P8</f>
        <v>270000000</v>
      </c>
      <c r="U6" s="81">
        <f t="shared" ref="U6:U12" si="0">IFERROR(T6/$T$13,)</f>
        <v>0.90331214452994313</v>
      </c>
      <c r="V6" s="1612" t="s">
        <v>850</v>
      </c>
      <c r="W6" s="1613"/>
      <c r="X6" s="1613" t="s">
        <v>852</v>
      </c>
      <c r="Y6" s="1652">
        <v>0</v>
      </c>
      <c r="Z6" s="1614">
        <f>D37</f>
        <v>46326</v>
      </c>
      <c r="AA6" s="1614">
        <f>E37</f>
        <v>49979</v>
      </c>
      <c r="AB6" s="1615">
        <f>DATEDIF(Z6-1,AA6+1,"m")</f>
        <v>120</v>
      </c>
      <c r="AC6" s="1823">
        <v>15000000</v>
      </c>
      <c r="AD6" s="1616"/>
      <c r="AE6" s="1616"/>
      <c r="AF6" s="1617">
        <v>2.5000000000000001E-2</v>
      </c>
      <c r="AG6" s="1618">
        <v>0</v>
      </c>
      <c r="AH6" s="783">
        <f t="shared" ref="AH6:AH22" si="1">DATEDIF($K$12-1,$AA6+1,"m")</f>
        <v>120</v>
      </c>
      <c r="AT6" s="1103" t="s">
        <v>632</v>
      </c>
      <c r="AU6" s="1103" t="s">
        <v>633</v>
      </c>
      <c r="AV6" s="1103" t="s">
        <v>620</v>
      </c>
      <c r="AW6" s="1102"/>
      <c r="AX6" s="1099"/>
      <c r="AY6" s="1102"/>
      <c r="AZ6" s="1099"/>
      <c r="BA6" s="1102"/>
      <c r="BB6" s="1099"/>
      <c r="BC6" s="1102"/>
      <c r="BD6" s="1099"/>
      <c r="BE6" s="1102"/>
      <c r="BF6" s="1103" t="s">
        <v>634</v>
      </c>
      <c r="BG6" s="1103" t="s">
        <v>264</v>
      </c>
    </row>
    <row r="7" spans="1:59" ht="11.25" customHeight="1">
      <c r="B7" s="12" t="s">
        <v>40</v>
      </c>
      <c r="C7" s="5"/>
      <c r="D7" s="5"/>
      <c r="E7" s="5"/>
      <c r="F7" s="5"/>
      <c r="G7" s="5"/>
      <c r="H7" s="5"/>
      <c r="I7" s="5"/>
      <c r="J7" s="5"/>
      <c r="K7" s="259" t="b">
        <f ca="1">'CF(M)'!J120&lt;1</f>
        <v>1</v>
      </c>
      <c r="L7" s="2761"/>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7">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2">
        <f>'Rent-roll'!K90</f>
        <v>0</v>
      </c>
      <c r="AH7" s="259">
        <f t="shared" si="1"/>
        <v>90</v>
      </c>
      <c r="AT7" s="1104"/>
      <c r="AU7" s="1104"/>
      <c r="AV7" s="1104"/>
      <c r="AW7" s="1100" t="s">
        <v>635</v>
      </c>
      <c r="AX7" s="1100" t="s">
        <v>636</v>
      </c>
      <c r="AY7" s="1100" t="s">
        <v>637</v>
      </c>
      <c r="AZ7" s="1100" t="s">
        <v>636</v>
      </c>
      <c r="BA7" s="1100" t="s">
        <v>637</v>
      </c>
      <c r="BB7" s="1100" t="s">
        <v>636</v>
      </c>
      <c r="BC7" s="1100" t="s">
        <v>637</v>
      </c>
      <c r="BD7" s="1100" t="s">
        <v>638</v>
      </c>
      <c r="BE7" s="1100" t="s">
        <v>639</v>
      </c>
      <c r="BF7" s="1104"/>
      <c r="BG7" s="1104"/>
    </row>
    <row r="8" spans="1:59" ht="11.25" customHeight="1">
      <c r="B8" s="12" t="s">
        <v>43</v>
      </c>
      <c r="C8" s="5"/>
      <c r="D8" s="5"/>
      <c r="E8" s="5"/>
      <c r="F8" s="5"/>
      <c r="G8" s="5"/>
      <c r="H8" s="5"/>
      <c r="I8" s="5"/>
      <c r="J8" s="5"/>
      <c r="K8" s="259" t="b">
        <f ca="1">ABS('CF(M)'!J14+'CF(M)'!J54-'IS(M)'!K57)&lt;1</f>
        <v>1</v>
      </c>
      <c r="L8" s="2762"/>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7">
        <f>'Rentroll(개시시점 기준)'!I60</f>
        <v>63.86</v>
      </c>
      <c r="Z8" s="24">
        <f>'A&amp;R'!$D$37</f>
        <v>46326</v>
      </c>
      <c r="AA8" s="24">
        <f>AA10</f>
        <v>49064</v>
      </c>
      <c r="AB8" s="680">
        <f t="shared" si="3"/>
        <v>90</v>
      </c>
      <c r="AC8" s="869">
        <v>38300</v>
      </c>
      <c r="AD8" s="869">
        <v>2600</v>
      </c>
      <c r="AE8" s="869">
        <v>229800</v>
      </c>
      <c r="AF8" s="25">
        <v>2.5000000000000001E-2</v>
      </c>
      <c r="AG8" s="1202">
        <f>'Rent-roll'!K91</f>
        <v>0</v>
      </c>
      <c r="AH8" s="259">
        <f t="shared" si="1"/>
        <v>90</v>
      </c>
      <c r="AT8" s="1106">
        <f t="shared" ref="AT8:AT23" si="4">V7</f>
        <v>8</v>
      </c>
      <c r="AU8" s="1112" t="str">
        <f t="shared" ref="AU8:AU23" si="5">W7</f>
        <v>쿠팡</v>
      </c>
      <c r="AV8" s="1113" t="str">
        <f t="shared" ref="AV8:AV23" si="6">X7</f>
        <v>근린생활시설</v>
      </c>
      <c r="AW8" s="2068">
        <f t="shared" ref="AW8:AW23" si="7">Y7</f>
        <v>78.09</v>
      </c>
      <c r="AX8" s="2069">
        <f t="shared" ref="AX8:AX23" si="8">AE7</f>
        <v>229800</v>
      </c>
      <c r="AY8" s="2070">
        <f>AX8*AW8</f>
        <v>17945082</v>
      </c>
      <c r="AZ8" s="2069">
        <f t="shared" ref="AZ8:AZ23" si="9">AC7</f>
        <v>38300</v>
      </c>
      <c r="BA8" s="2070">
        <f>AZ8*AW8</f>
        <v>2990847</v>
      </c>
      <c r="BB8" s="2069">
        <f t="shared" ref="BB8:BB23" si="10">AD7</f>
        <v>2600</v>
      </c>
      <c r="BC8" s="2070">
        <f>BB8*AW8</f>
        <v>203034</v>
      </c>
      <c r="BD8" s="2071">
        <f t="shared" ref="BD8:BD23" si="11">Z7</f>
        <v>46326</v>
      </c>
      <c r="BE8" s="2071">
        <f t="shared" ref="BE8:BE23" si="12">AA7</f>
        <v>49064</v>
      </c>
      <c r="BF8" s="2072">
        <f t="shared" ref="BF8:BF23" si="13">AF7</f>
        <v>2.5000000000000001E-2</v>
      </c>
      <c r="BG8" s="1114" t="s">
        <v>509</v>
      </c>
    </row>
    <row r="9" spans="1:59" ht="11.25" customHeight="1">
      <c r="B9" s="12" t="s">
        <v>571</v>
      </c>
      <c r="C9" s="5"/>
      <c r="D9" s="5"/>
      <c r="E9" s="5"/>
      <c r="F9" s="5"/>
      <c r="G9" s="5"/>
      <c r="H9" s="5"/>
      <c r="I9" s="5"/>
      <c r="J9" s="5"/>
      <c r="K9" s="1014" t="b">
        <f ca="1">ABS(SUM('BS(M)'!K14:EP14)-SUM('BS(M)'!K24:EP24)-SUM('BS(M)'!K34:EP34))&lt;1</f>
        <v>1</v>
      </c>
      <c r="L9" s="2763" t="s">
        <v>42</v>
      </c>
      <c r="M9" s="2660" t="s">
        <v>42</v>
      </c>
      <c r="N9" s="33"/>
      <c r="O9" s="33"/>
      <c r="P9" s="1139">
        <f>TIC!J19</f>
        <v>1350000</v>
      </c>
      <c r="Q9" s="1140">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2">
        <f>'Rent-roll'!K92</f>
        <v>0.41666666666666669</v>
      </c>
      <c r="AH9" s="259">
        <f t="shared" si="1"/>
        <v>38</v>
      </c>
      <c r="AT9" s="1106">
        <f t="shared" si="4"/>
        <v>8</v>
      </c>
      <c r="AU9" s="1112" t="str">
        <f t="shared" si="5"/>
        <v>쿠팡</v>
      </c>
      <c r="AV9" s="1114" t="str">
        <f t="shared" si="6"/>
        <v>상온창고</v>
      </c>
      <c r="AW9" s="2068">
        <f t="shared" si="7"/>
        <v>63.86</v>
      </c>
      <c r="AX9" s="2069">
        <f t="shared" si="8"/>
        <v>229800</v>
      </c>
      <c r="AY9" s="2070">
        <f t="shared" ref="AY9:AY23" si="14">AX9*AW9</f>
        <v>14675028</v>
      </c>
      <c r="AZ9" s="2069">
        <f t="shared" si="9"/>
        <v>38300</v>
      </c>
      <c r="BA9" s="2070">
        <f t="shared" ref="BA9:BA23" si="15">AZ9*AW9</f>
        <v>2445838</v>
      </c>
      <c r="BB9" s="2069">
        <f t="shared" si="10"/>
        <v>2600</v>
      </c>
      <c r="BC9" s="2070">
        <f t="shared" ref="BC9:BC23" si="16">BB9*AW9</f>
        <v>166036</v>
      </c>
      <c r="BD9" s="2071">
        <f t="shared" si="11"/>
        <v>46326</v>
      </c>
      <c r="BE9" s="2071">
        <f t="shared" si="12"/>
        <v>49064</v>
      </c>
      <c r="BF9" s="2072">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2762"/>
      <c r="M10" s="29" t="s">
        <v>44</v>
      </c>
      <c r="N10" s="29"/>
      <c r="O10" s="29"/>
      <c r="P10" s="1137">
        <f>P9</f>
        <v>1350000</v>
      </c>
      <c r="Q10" s="1138">
        <f>Q9</f>
        <v>4.6728971962616819E-3</v>
      </c>
      <c r="R10" s="5" t="s">
        <v>48</v>
      </c>
      <c r="S10" s="22"/>
      <c r="T10" s="13">
        <f>P24</f>
        <v>4390000</v>
      </c>
      <c r="U10" s="81">
        <f t="shared" si="0"/>
        <v>1.4687186349949815E-2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2">
        <f>'Rent-roll'!K93</f>
        <v>0.41666666666666669</v>
      </c>
      <c r="AH10" s="259">
        <f t="shared" si="1"/>
        <v>90</v>
      </c>
      <c r="AT10" s="1107">
        <f t="shared" si="4"/>
        <v>8</v>
      </c>
      <c r="AU10" s="1115" t="str">
        <f t="shared" si="5"/>
        <v>키즈밀</v>
      </c>
      <c r="AV10" s="1116" t="str">
        <f t="shared" si="6"/>
        <v>근린생활시설</v>
      </c>
      <c r="AW10" s="2073">
        <f t="shared" si="7"/>
        <v>479.38</v>
      </c>
      <c r="AX10" s="2074">
        <f t="shared" si="8"/>
        <v>208600</v>
      </c>
      <c r="AY10" s="2075">
        <f t="shared" si="14"/>
        <v>99998668</v>
      </c>
      <c r="AZ10" s="2074">
        <f t="shared" si="9"/>
        <v>40000</v>
      </c>
      <c r="BA10" s="2075">
        <f t="shared" si="15"/>
        <v>19175200</v>
      </c>
      <c r="BB10" s="2074">
        <f t="shared" si="10"/>
        <v>3000</v>
      </c>
      <c r="BC10" s="2075">
        <f t="shared" si="16"/>
        <v>1438140</v>
      </c>
      <c r="BD10" s="2076">
        <f t="shared" si="11"/>
        <v>45658</v>
      </c>
      <c r="BE10" s="2076">
        <f t="shared" si="12"/>
        <v>47483</v>
      </c>
      <c r="BF10" s="2077">
        <f t="shared" si="13"/>
        <v>2.5000000000000001E-2</v>
      </c>
      <c r="BG10" s="1116" t="s">
        <v>509</v>
      </c>
    </row>
    <row r="11" spans="1:59" ht="11.25" customHeight="1">
      <c r="B11" s="6" t="s">
        <v>55</v>
      </c>
      <c r="C11" s="7"/>
      <c r="D11" s="7"/>
      <c r="E11" s="7"/>
      <c r="F11" s="7"/>
      <c r="G11" s="7"/>
      <c r="H11" s="7"/>
      <c r="I11" s="7"/>
      <c r="J11" s="7"/>
      <c r="K11" s="7"/>
      <c r="L11" s="31" t="s">
        <v>45</v>
      </c>
      <c r="M11" s="2660" t="s">
        <v>49</v>
      </c>
      <c r="N11" s="33"/>
      <c r="O11" s="2647" t="s">
        <v>1746</v>
      </c>
      <c r="P11" s="1139">
        <f>TIC!J21</f>
        <v>85315.1</v>
      </c>
      <c r="Q11" s="1140">
        <f t="shared" si="2"/>
        <v>2.9531014191761857E-4</v>
      </c>
      <c r="R11" s="5" t="s">
        <v>68</v>
      </c>
      <c r="S11" s="22"/>
      <c r="T11" s="13">
        <f>P27</f>
        <v>235384.77486795187</v>
      </c>
      <c r="U11" s="81">
        <f t="shared" si="0"/>
        <v>7.8750342879876836E-4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2">
        <f>'Rent-roll'!K94</f>
        <v>0.41666666666666669</v>
      </c>
      <c r="AH11" s="259">
        <f t="shared" si="1"/>
        <v>90</v>
      </c>
      <c r="AT11" s="1107">
        <f t="shared" si="4"/>
        <v>8</v>
      </c>
      <c r="AU11" s="1117" t="str">
        <f t="shared" si="5"/>
        <v>쿠팡</v>
      </c>
      <c r="AV11" s="1116" t="str">
        <f t="shared" si="6"/>
        <v>상온창고</v>
      </c>
      <c r="AW11" s="2073">
        <f t="shared" si="7"/>
        <v>207.4</v>
      </c>
      <c r="AX11" s="2074">
        <f t="shared" si="8"/>
        <v>219000</v>
      </c>
      <c r="AY11" s="2075">
        <f t="shared" si="14"/>
        <v>45420600</v>
      </c>
      <c r="AZ11" s="2074">
        <f t="shared" si="9"/>
        <v>36500</v>
      </c>
      <c r="BA11" s="2075">
        <f t="shared" si="15"/>
        <v>7570100</v>
      </c>
      <c r="BB11" s="2074">
        <f t="shared" si="10"/>
        <v>2500</v>
      </c>
      <c r="BC11" s="2075">
        <f t="shared" si="16"/>
        <v>518500</v>
      </c>
      <c r="BD11" s="2076">
        <f t="shared" si="11"/>
        <v>45413</v>
      </c>
      <c r="BE11" s="2076">
        <f t="shared" si="12"/>
        <v>49064</v>
      </c>
      <c r="BF11" s="2077">
        <f t="shared" si="13"/>
        <v>2.5000000000000001E-2</v>
      </c>
      <c r="BG11" s="1116" t="s">
        <v>509</v>
      </c>
    </row>
    <row r="12" spans="1:59" ht="11.25" customHeight="1">
      <c r="B12" s="37" t="s">
        <v>57</v>
      </c>
      <c r="C12" s="38"/>
      <c r="D12" s="38"/>
      <c r="E12" s="38"/>
      <c r="F12" s="38"/>
      <c r="G12" s="38"/>
      <c r="H12" s="38"/>
      <c r="I12" s="38"/>
      <c r="J12" s="1676">
        <v>46133</v>
      </c>
      <c r="K12" s="39">
        <v>46326</v>
      </c>
      <c r="L12" s="26"/>
      <c r="M12" s="2661" t="s">
        <v>50</v>
      </c>
      <c r="N12" s="27"/>
      <c r="O12" s="2648" t="s">
        <v>1747</v>
      </c>
      <c r="P12" s="1135">
        <f>TIC!J22</f>
        <v>80000</v>
      </c>
      <c r="Q12" s="1136">
        <f t="shared" si="2"/>
        <v>2.7691242644513672E-4</v>
      </c>
      <c r="R12" s="1130" t="s">
        <v>77</v>
      </c>
      <c r="S12" s="1350">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2">
        <f>'Rent-roll'!K95</f>
        <v>0.41666666666666669</v>
      </c>
      <c r="AH12" s="259">
        <f t="shared" si="1"/>
        <v>90</v>
      </c>
      <c r="AT12" s="1106">
        <f t="shared" si="4"/>
        <v>7</v>
      </c>
      <c r="AU12" s="1117" t="str">
        <f t="shared" si="5"/>
        <v>쿠팡</v>
      </c>
      <c r="AV12" s="1116" t="str">
        <f t="shared" si="6"/>
        <v>상온창고</v>
      </c>
      <c r="AW12" s="2073">
        <f t="shared" si="7"/>
        <v>1550.42</v>
      </c>
      <c r="AX12" s="2074">
        <f t="shared" si="8"/>
        <v>360000</v>
      </c>
      <c r="AY12" s="2075">
        <f t="shared" si="14"/>
        <v>558151200</v>
      </c>
      <c r="AZ12" s="2074">
        <f t="shared" si="9"/>
        <v>60000</v>
      </c>
      <c r="BA12" s="2075">
        <f t="shared" si="15"/>
        <v>93025200</v>
      </c>
      <c r="BB12" s="2074">
        <f t="shared" si="10"/>
        <v>3000</v>
      </c>
      <c r="BC12" s="2075">
        <f t="shared" si="16"/>
        <v>4651260</v>
      </c>
      <c r="BD12" s="2076">
        <f t="shared" si="11"/>
        <v>45323</v>
      </c>
      <c r="BE12" s="2076">
        <f t="shared" si="12"/>
        <v>49064</v>
      </c>
      <c r="BF12" s="2077">
        <f t="shared" si="13"/>
        <v>2.5000000000000001E-2</v>
      </c>
      <c r="BG12" s="1116" t="s">
        <v>509</v>
      </c>
    </row>
    <row r="13" spans="1:59" ht="11.25" customHeight="1">
      <c r="B13" s="37" t="s">
        <v>60</v>
      </c>
      <c r="C13" s="38"/>
      <c r="D13" s="38"/>
      <c r="E13" s="38"/>
      <c r="F13" s="38"/>
      <c r="G13" s="38"/>
      <c r="H13" s="38"/>
      <c r="I13" s="38"/>
      <c r="J13" s="38"/>
      <c r="K13" s="41">
        <v>1000</v>
      </c>
      <c r="L13" s="26"/>
      <c r="M13" s="2661" t="s">
        <v>52</v>
      </c>
      <c r="N13" s="27"/>
      <c r="O13" s="2648" t="s">
        <v>1748</v>
      </c>
      <c r="P13" s="1135">
        <f>TIC!J23</f>
        <v>40000</v>
      </c>
      <c r="Q13" s="1136">
        <f t="shared" si="2"/>
        <v>1.3845621322256836E-4</v>
      </c>
      <c r="R13" s="29" t="s">
        <v>51</v>
      </c>
      <c r="S13" s="1251">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2">
        <f>'Rent-roll'!K96</f>
        <v>0.41666666666666669</v>
      </c>
      <c r="AH13" s="259">
        <f t="shared" si="1"/>
        <v>90</v>
      </c>
      <c r="AT13" s="1106">
        <f t="shared" si="4"/>
        <v>6</v>
      </c>
      <c r="AU13" s="1118" t="str">
        <f t="shared" si="5"/>
        <v>쿠팡</v>
      </c>
      <c r="AV13" s="1116" t="str">
        <f t="shared" si="6"/>
        <v>상온창고</v>
      </c>
      <c r="AW13" s="2073">
        <f t="shared" si="7"/>
        <v>2187.87</v>
      </c>
      <c r="AX13" s="2074">
        <f t="shared" si="8"/>
        <v>360000</v>
      </c>
      <c r="AY13" s="2075">
        <f t="shared" si="14"/>
        <v>787633200</v>
      </c>
      <c r="AZ13" s="2074">
        <f t="shared" si="9"/>
        <v>60000</v>
      </c>
      <c r="BA13" s="2075">
        <f t="shared" si="15"/>
        <v>131272200</v>
      </c>
      <c r="BB13" s="2074">
        <f t="shared" si="10"/>
        <v>3000</v>
      </c>
      <c r="BC13" s="2075">
        <f t="shared" si="16"/>
        <v>6563610</v>
      </c>
      <c r="BD13" s="2076">
        <f t="shared" si="11"/>
        <v>45323</v>
      </c>
      <c r="BE13" s="2076">
        <f t="shared" si="12"/>
        <v>49064</v>
      </c>
      <c r="BF13" s="2077">
        <f t="shared" si="13"/>
        <v>2.5000000000000001E-2</v>
      </c>
      <c r="BG13" s="1116" t="s">
        <v>509</v>
      </c>
    </row>
    <row r="14" spans="1:59" ht="11.25" customHeight="1">
      <c r="B14" s="37" t="s">
        <v>61</v>
      </c>
      <c r="C14" s="38"/>
      <c r="D14" s="38"/>
      <c r="E14" s="38"/>
      <c r="F14" s="38"/>
      <c r="G14" s="38"/>
      <c r="H14" s="38"/>
      <c r="I14" s="38"/>
      <c r="J14" s="38"/>
      <c r="K14" s="42">
        <v>0.30249999999999999</v>
      </c>
      <c r="L14" s="26"/>
      <c r="M14" s="2661" t="s">
        <v>53</v>
      </c>
      <c r="N14" s="27"/>
      <c r="O14" s="2648" t="s">
        <v>1749</v>
      </c>
      <c r="P14" s="1135">
        <f>TIC!J24</f>
        <v>40000</v>
      </c>
      <c r="Q14" s="1136">
        <f t="shared" si="2"/>
        <v>1.3845621322256836E-4</v>
      </c>
      <c r="R14" s="5" t="s">
        <v>205</v>
      </c>
      <c r="S14" s="1384"/>
      <c r="T14" s="1348">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2">
        <f>'Rent-roll'!K97</f>
        <v>0.41666666666666669</v>
      </c>
      <c r="AH14" s="259">
        <f t="shared" si="1"/>
        <v>90</v>
      </c>
      <c r="AT14" s="1106">
        <f t="shared" si="4"/>
        <v>5</v>
      </c>
      <c r="AU14" s="1118" t="str">
        <f t="shared" si="5"/>
        <v>쿠팡</v>
      </c>
      <c r="AV14" s="1116" t="str">
        <f t="shared" si="6"/>
        <v>상온창고</v>
      </c>
      <c r="AW14" s="2073">
        <f t="shared" si="7"/>
        <v>2185.56</v>
      </c>
      <c r="AX14" s="2074">
        <f t="shared" si="8"/>
        <v>360000</v>
      </c>
      <c r="AY14" s="2075">
        <f t="shared" si="14"/>
        <v>786801600</v>
      </c>
      <c r="AZ14" s="2074">
        <f t="shared" si="9"/>
        <v>60000</v>
      </c>
      <c r="BA14" s="2075">
        <f t="shared" si="15"/>
        <v>131133600</v>
      </c>
      <c r="BB14" s="2074">
        <f t="shared" si="10"/>
        <v>3000</v>
      </c>
      <c r="BC14" s="2075">
        <f t="shared" si="16"/>
        <v>6556680</v>
      </c>
      <c r="BD14" s="2076">
        <f t="shared" si="11"/>
        <v>45323</v>
      </c>
      <c r="BE14" s="2076">
        <f t="shared" si="12"/>
        <v>49064</v>
      </c>
      <c r="BF14" s="2077">
        <f t="shared" si="13"/>
        <v>2.5000000000000001E-2</v>
      </c>
      <c r="BG14" s="1116" t="s">
        <v>509</v>
      </c>
    </row>
    <row r="15" spans="1:59" ht="11.25" customHeight="1">
      <c r="B15" s="43" t="s">
        <v>63</v>
      </c>
      <c r="C15" s="44"/>
      <c r="D15" s="44"/>
      <c r="E15" s="44"/>
      <c r="F15" s="44"/>
      <c r="G15" s="44"/>
      <c r="H15" s="44"/>
      <c r="I15" s="44"/>
      <c r="J15" s="44"/>
      <c r="K15" s="44"/>
      <c r="L15" s="26"/>
      <c r="M15" s="2661" t="s">
        <v>54</v>
      </c>
      <c r="N15" s="27"/>
      <c r="O15" s="2648" t="s">
        <v>1750</v>
      </c>
      <c r="P15" s="1135">
        <f>TIC!J25</f>
        <v>25000</v>
      </c>
      <c r="Q15" s="1136">
        <f t="shared" si="2"/>
        <v>8.6535133264105233E-5</v>
      </c>
      <c r="R15" s="5" t="s">
        <v>273</v>
      </c>
      <c r="S15" s="2757">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2">
        <f>'Rent-roll'!K98</f>
        <v>0</v>
      </c>
      <c r="AH15" s="259">
        <f t="shared" si="1"/>
        <v>33</v>
      </c>
      <c r="AT15" s="1106">
        <f t="shared" si="4"/>
        <v>4</v>
      </c>
      <c r="AU15" s="1118" t="str">
        <f t="shared" si="5"/>
        <v>쿠팡</v>
      </c>
      <c r="AV15" s="1116" t="str">
        <f t="shared" si="6"/>
        <v>상온창고</v>
      </c>
      <c r="AW15" s="2073">
        <f t="shared" si="7"/>
        <v>2185.56</v>
      </c>
      <c r="AX15" s="2074">
        <f t="shared" si="8"/>
        <v>360000</v>
      </c>
      <c r="AY15" s="2075">
        <f t="shared" si="14"/>
        <v>786801600</v>
      </c>
      <c r="AZ15" s="2074">
        <f t="shared" si="9"/>
        <v>60000</v>
      </c>
      <c r="BA15" s="2075">
        <f t="shared" si="15"/>
        <v>131133600</v>
      </c>
      <c r="BB15" s="2074">
        <f t="shared" si="10"/>
        <v>3000</v>
      </c>
      <c r="BC15" s="2075">
        <f t="shared" si="16"/>
        <v>6556680</v>
      </c>
      <c r="BD15" s="2076">
        <f t="shared" si="11"/>
        <v>45413</v>
      </c>
      <c r="BE15" s="2076">
        <f t="shared" si="12"/>
        <v>49064</v>
      </c>
      <c r="BF15" s="2077">
        <f t="shared" si="13"/>
        <v>2.5000000000000001E-2</v>
      </c>
      <c r="BG15" s="1116" t="s">
        <v>509</v>
      </c>
    </row>
    <row r="16" spans="1:59" ht="11.25" customHeight="1">
      <c r="B16" s="281" t="s">
        <v>65</v>
      </c>
      <c r="C16" s="282"/>
      <c r="D16" s="282"/>
      <c r="E16" s="282"/>
      <c r="F16" s="282"/>
      <c r="G16" s="282"/>
      <c r="H16" s="282"/>
      <c r="I16" s="282"/>
      <c r="J16" s="282"/>
      <c r="K16" s="283" t="s">
        <v>422</v>
      </c>
      <c r="L16" s="26"/>
      <c r="M16" s="5" t="s">
        <v>245</v>
      </c>
      <c r="N16" s="27"/>
      <c r="O16" s="27"/>
      <c r="P16" s="2659">
        <f>TIC!J26</f>
        <v>76000</v>
      </c>
      <c r="Q16" s="1136">
        <f t="shared" si="2"/>
        <v>2.6306680512287988E-4</v>
      </c>
      <c r="R16" s="5" t="s">
        <v>645</v>
      </c>
      <c r="S16" s="2757">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2">
        <f>'Rent-roll'!K99</f>
        <v>0.58333333333333337</v>
      </c>
      <c r="AH16" s="259">
        <f t="shared" si="1"/>
        <v>90</v>
      </c>
      <c r="AT16" s="1108">
        <f t="shared" si="4"/>
        <v>3</v>
      </c>
      <c r="AU16" s="1120" t="str">
        <f t="shared" si="5"/>
        <v>농심</v>
      </c>
      <c r="AV16" s="1114" t="str">
        <f t="shared" si="6"/>
        <v>상온창고</v>
      </c>
      <c r="AW16" s="2068">
        <f t="shared" si="7"/>
        <v>2185.56</v>
      </c>
      <c r="AX16" s="2069">
        <f t="shared" si="8"/>
        <v>294000</v>
      </c>
      <c r="AY16" s="2070">
        <f t="shared" si="14"/>
        <v>642554640</v>
      </c>
      <c r="AZ16" s="2069">
        <f t="shared" si="9"/>
        <v>49000</v>
      </c>
      <c r="BA16" s="2070">
        <f t="shared" si="15"/>
        <v>107092440</v>
      </c>
      <c r="BB16" s="2069">
        <f t="shared" si="10"/>
        <v>3000</v>
      </c>
      <c r="BC16" s="2070">
        <f t="shared" si="16"/>
        <v>6556680</v>
      </c>
      <c r="BD16" s="2071">
        <f t="shared" si="11"/>
        <v>45503</v>
      </c>
      <c r="BE16" s="2071">
        <f t="shared" si="12"/>
        <v>47328</v>
      </c>
      <c r="BF16" s="2072">
        <f t="shared" si="13"/>
        <v>0</v>
      </c>
      <c r="BG16" s="1114" t="s">
        <v>509</v>
      </c>
    </row>
    <row r="17" spans="1:59" ht="11.25" customHeight="1">
      <c r="B17" s="12" t="s">
        <v>67</v>
      </c>
      <c r="C17" s="5"/>
      <c r="D17" s="5"/>
      <c r="E17" s="5"/>
      <c r="F17" s="5"/>
      <c r="G17" s="5"/>
      <c r="H17" s="5"/>
      <c r="I17" s="5"/>
      <c r="J17" s="5"/>
      <c r="K17" s="284" t="s">
        <v>803</v>
      </c>
      <c r="L17" s="28"/>
      <c r="M17" s="29" t="s">
        <v>44</v>
      </c>
      <c r="N17" s="29"/>
      <c r="O17" s="29"/>
      <c r="P17" s="1137">
        <f>SUM(P11:P16)</f>
        <v>346315.1</v>
      </c>
      <c r="Q17" s="1138">
        <f>SUM(Q11:Q16)</f>
        <v>1.1987369331948774E-3</v>
      </c>
      <c r="R17" s="5" t="s">
        <v>606</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2">
        <f>'Rent-roll'!K100</f>
        <v>1</v>
      </c>
      <c r="AH17" s="259">
        <f t="shared" si="1"/>
        <v>99</v>
      </c>
      <c r="AT17" s="1106">
        <f t="shared" si="4"/>
        <v>2</v>
      </c>
      <c r="AU17" s="1117" t="str">
        <f t="shared" si="5"/>
        <v>쿠팡</v>
      </c>
      <c r="AV17" s="1116" t="str">
        <f t="shared" si="6"/>
        <v>상온창고</v>
      </c>
      <c r="AW17" s="2073">
        <f t="shared" si="7"/>
        <v>2185.56</v>
      </c>
      <c r="AX17" s="2074">
        <f t="shared" si="8"/>
        <v>360000</v>
      </c>
      <c r="AY17" s="2075">
        <f t="shared" si="14"/>
        <v>786801600</v>
      </c>
      <c r="AZ17" s="2074">
        <f t="shared" si="9"/>
        <v>60000</v>
      </c>
      <c r="BA17" s="2075">
        <f t="shared" si="15"/>
        <v>131133600</v>
      </c>
      <c r="BB17" s="2074">
        <f t="shared" si="10"/>
        <v>3000</v>
      </c>
      <c r="BC17" s="2075">
        <f t="shared" si="16"/>
        <v>6556680</v>
      </c>
      <c r="BD17" s="2076">
        <f t="shared" si="11"/>
        <v>45658</v>
      </c>
      <c r="BE17" s="2076">
        <f t="shared" si="12"/>
        <v>49064</v>
      </c>
      <c r="BF17" s="2077">
        <f t="shared" si="13"/>
        <v>2.5000000000000001E-2</v>
      </c>
      <c r="BG17" s="1116" t="s">
        <v>509</v>
      </c>
    </row>
    <row r="18" spans="1:59" ht="11.25" customHeight="1">
      <c r="B18" s="12" t="s">
        <v>70</v>
      </c>
      <c r="C18" s="5"/>
      <c r="D18" s="5"/>
      <c r="E18" s="5"/>
      <c r="F18" s="5"/>
      <c r="G18" s="5"/>
      <c r="H18" s="5"/>
      <c r="I18" s="5"/>
      <c r="J18" s="5"/>
      <c r="K18" s="674" t="s">
        <v>425</v>
      </c>
      <c r="L18" s="31" t="s">
        <v>47</v>
      </c>
      <c r="M18" s="2660" t="s">
        <v>838</v>
      </c>
      <c r="N18" s="33"/>
      <c r="O18" s="33"/>
      <c r="P18" s="1139">
        <f>TIC!J28</f>
        <v>12498030.494600002</v>
      </c>
      <c r="Q18" s="1140">
        <f t="shared" si="2"/>
        <v>4.3260749375562485E-2</v>
      </c>
      <c r="R18" s="5" t="s">
        <v>1082</v>
      </c>
      <c r="S18" s="2034">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2">
        <f>'Rent-roll'!K101</f>
        <v>0.375</v>
      </c>
      <c r="AH18" s="259">
        <f t="shared" si="1"/>
        <v>39</v>
      </c>
      <c r="AK18" s="1683"/>
      <c r="AL18" s="1683"/>
      <c r="AM18" s="1683"/>
      <c r="AN18" s="1683"/>
      <c r="AO18" s="1683"/>
      <c r="AT18" s="1109">
        <f t="shared" si="4"/>
        <v>1</v>
      </c>
      <c r="AU18" s="1119" t="str">
        <f t="shared" si="5"/>
        <v>지오영</v>
      </c>
      <c r="AV18" s="1121" t="str">
        <f t="shared" si="6"/>
        <v>상온창고</v>
      </c>
      <c r="AW18" s="2078">
        <f t="shared" si="7"/>
        <v>1092.94</v>
      </c>
      <c r="AX18" s="2079">
        <f t="shared" si="8"/>
        <v>360000</v>
      </c>
      <c r="AY18" s="2080">
        <f t="shared" si="14"/>
        <v>393458400</v>
      </c>
      <c r="AZ18" s="2081">
        <f t="shared" si="9"/>
        <v>60000</v>
      </c>
      <c r="BA18" s="2080">
        <f t="shared" si="15"/>
        <v>65576400</v>
      </c>
      <c r="BB18" s="2079">
        <f t="shared" si="10"/>
        <v>3000</v>
      </c>
      <c r="BC18" s="2080">
        <f t="shared" si="16"/>
        <v>3278820</v>
      </c>
      <c r="BD18" s="2082">
        <f t="shared" si="11"/>
        <v>45689</v>
      </c>
      <c r="BE18" s="2082">
        <f t="shared" si="12"/>
        <v>49340</v>
      </c>
      <c r="BF18" s="2083">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2661" t="s">
        <v>252</v>
      </c>
      <c r="N19" s="27"/>
      <c r="O19" s="27"/>
      <c r="P19" s="1135">
        <f>TIC!J29</f>
        <v>80269.630531999996</v>
      </c>
      <c r="Q19" s="1136">
        <f t="shared" si="2"/>
        <v>2.7784572700588435E-4</v>
      </c>
      <c r="R19" s="5" t="s">
        <v>1083</v>
      </c>
      <c r="S19" s="2035">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2">
        <f>'Rent-roll'!K102</f>
        <v>0.375</v>
      </c>
      <c r="AH19" s="259">
        <f t="shared" si="1"/>
        <v>42</v>
      </c>
      <c r="AK19" s="1683"/>
      <c r="AL19" s="1683"/>
      <c r="AM19" s="1683"/>
      <c r="AN19" s="1683"/>
      <c r="AO19" s="1683"/>
      <c r="AT19" s="1108">
        <f t="shared" si="4"/>
        <v>1</v>
      </c>
      <c r="AU19" s="1120" t="str">
        <f t="shared" si="5"/>
        <v>용마로지스</v>
      </c>
      <c r="AV19" s="1114" t="str">
        <f t="shared" si="6"/>
        <v>상온창고</v>
      </c>
      <c r="AW19" s="2068">
        <f t="shared" si="7"/>
        <v>856.05</v>
      </c>
      <c r="AX19" s="2069">
        <f t="shared" si="8"/>
        <v>360000</v>
      </c>
      <c r="AY19" s="2070">
        <f t="shared" si="14"/>
        <v>308178000</v>
      </c>
      <c r="AZ19" s="2069">
        <f t="shared" si="9"/>
        <v>60000</v>
      </c>
      <c r="BA19" s="2070">
        <f t="shared" si="15"/>
        <v>51363000</v>
      </c>
      <c r="BB19" s="2069">
        <f t="shared" si="10"/>
        <v>3000</v>
      </c>
      <c r="BC19" s="2070">
        <f t="shared" si="16"/>
        <v>2568150</v>
      </c>
      <c r="BD19" s="2071">
        <f t="shared" si="11"/>
        <v>45612</v>
      </c>
      <c r="BE19" s="2071">
        <f t="shared" si="12"/>
        <v>47514</v>
      </c>
      <c r="BF19" s="2072">
        <f t="shared" si="13"/>
        <v>2.5000000000000001E-2</v>
      </c>
      <c r="BG19" s="1114" t="s">
        <v>509</v>
      </c>
    </row>
    <row r="20" spans="1:59" ht="11.25" customHeight="1">
      <c r="B20" s="12" t="s">
        <v>74</v>
      </c>
      <c r="C20" s="5"/>
      <c r="D20" s="5"/>
      <c r="E20" s="5"/>
      <c r="F20" s="5"/>
      <c r="G20" s="5"/>
      <c r="H20" s="5"/>
      <c r="I20" s="5"/>
      <c r="J20" s="5"/>
      <c r="K20" s="45" t="s">
        <v>423</v>
      </c>
      <c r="L20" s="26"/>
      <c r="M20" s="2661" t="s">
        <v>244</v>
      </c>
      <c r="N20" s="27"/>
      <c r="O20" s="27"/>
      <c r="P20" s="1135">
        <f>TIC!J30</f>
        <v>0</v>
      </c>
      <c r="Q20" s="1136">
        <f t="shared" si="2"/>
        <v>0</v>
      </c>
      <c r="R20" s="5" t="s">
        <v>1087</v>
      </c>
      <c r="S20" s="2035">
        <f>Y54/(P8-T14-T21)</f>
        <v>5.1779395423731903E-2</v>
      </c>
      <c r="T20" s="13">
        <f>P43</f>
        <v>10000000</v>
      </c>
      <c r="U20" s="81">
        <f t="shared" si="17"/>
        <v>3.3456005352960859E-2</v>
      </c>
      <c r="V20" s="1863">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2">
        <f>'Rent-roll'!K103</f>
        <v>0</v>
      </c>
      <c r="AH20" s="259">
        <f t="shared" si="1"/>
        <v>120</v>
      </c>
      <c r="AK20" s="1683"/>
      <c r="AL20" s="1683"/>
      <c r="AM20" s="1683"/>
      <c r="AN20" s="1683"/>
      <c r="AO20" s="1683"/>
      <c r="AT20" s="1108" t="str">
        <f t="shared" si="4"/>
        <v>1F</v>
      </c>
      <c r="AU20" s="1120" t="str">
        <f t="shared" si="5"/>
        <v>아이팜</v>
      </c>
      <c r="AV20" s="1114" t="str">
        <f t="shared" si="6"/>
        <v>근린생활시설</v>
      </c>
      <c r="AW20" s="2068">
        <f t="shared" si="7"/>
        <v>17.29</v>
      </c>
      <c r="AX20" s="2069">
        <f t="shared" si="8"/>
        <v>360000</v>
      </c>
      <c r="AY20" s="2070">
        <f t="shared" si="14"/>
        <v>6224400</v>
      </c>
      <c r="AZ20" s="2069">
        <f t="shared" si="9"/>
        <v>60000</v>
      </c>
      <c r="BA20" s="2070">
        <f t="shared" si="15"/>
        <v>1037400</v>
      </c>
      <c r="BB20" s="2069">
        <f t="shared" si="10"/>
        <v>3000</v>
      </c>
      <c r="BC20" s="2070">
        <f t="shared" si="16"/>
        <v>51870</v>
      </c>
      <c r="BD20" s="2071">
        <f t="shared" si="11"/>
        <v>45778</v>
      </c>
      <c r="BE20" s="2071">
        <f t="shared" si="12"/>
        <v>47603</v>
      </c>
      <c r="BF20" s="2072">
        <f t="shared" si="13"/>
        <v>2.5000000000000001E-2</v>
      </c>
      <c r="BG20" s="1114" t="s">
        <v>509</v>
      </c>
    </row>
    <row r="21" spans="1:59" ht="11.25" customHeight="1">
      <c r="B21" s="12" t="s">
        <v>76</v>
      </c>
      <c r="C21" s="5"/>
      <c r="D21" s="5"/>
      <c r="E21" s="5"/>
      <c r="F21" s="5"/>
      <c r="G21" s="5"/>
      <c r="H21" s="5"/>
      <c r="I21" s="5"/>
      <c r="J21" s="5"/>
      <c r="K21" s="45" t="s">
        <v>426</v>
      </c>
      <c r="L21" s="26"/>
      <c r="M21" s="2661" t="s">
        <v>68</v>
      </c>
      <c r="N21" s="27"/>
      <c r="O21" s="27"/>
      <c r="P21" s="1135">
        <f>TIC!J31</f>
        <v>0</v>
      </c>
      <c r="Q21" s="1136">
        <f t="shared" si="2"/>
        <v>0</v>
      </c>
      <c r="R21" s="5" t="s">
        <v>19</v>
      </c>
      <c r="S21" s="2036">
        <f>Y54/(P8-T14)</f>
        <v>4.8918868912827713E-2</v>
      </c>
      <c r="T21" s="13">
        <f>P44</f>
        <v>14800000</v>
      </c>
      <c r="U21" s="81">
        <f t="shared" si="17"/>
        <v>4.9514887922382067E-2</v>
      </c>
      <c r="V21" s="1863"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2">
        <f>'Rent-roll'!K104</f>
        <v>0.58333333333333337</v>
      </c>
      <c r="AH21" s="259">
        <f t="shared" si="1"/>
        <v>90</v>
      </c>
      <c r="AK21" s="1683"/>
      <c r="AL21" s="1683"/>
      <c r="AM21" s="1683"/>
      <c r="AN21" s="1683"/>
      <c r="AO21" s="1683"/>
      <c r="AT21" s="1108">
        <f t="shared" si="4"/>
        <v>1</v>
      </c>
      <c r="AU21" s="1120" t="str">
        <f t="shared" si="5"/>
        <v>공실</v>
      </c>
      <c r="AV21" s="1114" t="str">
        <f t="shared" si="6"/>
        <v>근린생활시설</v>
      </c>
      <c r="AW21" s="2068">
        <f t="shared" si="7"/>
        <v>141.01000000000002</v>
      </c>
      <c r="AX21" s="2069">
        <f t="shared" si="8"/>
        <v>0</v>
      </c>
      <c r="AY21" s="2070">
        <f t="shared" si="14"/>
        <v>0</v>
      </c>
      <c r="AZ21" s="2069">
        <f t="shared" si="9"/>
        <v>0</v>
      </c>
      <c r="BA21" s="2070">
        <f t="shared" si="15"/>
        <v>0</v>
      </c>
      <c r="BB21" s="2069">
        <f t="shared" si="10"/>
        <v>0</v>
      </c>
      <c r="BC21" s="2070">
        <f t="shared" si="16"/>
        <v>0</v>
      </c>
      <c r="BD21" s="2071">
        <f t="shared" si="11"/>
        <v>46326</v>
      </c>
      <c r="BE21" s="2071">
        <f t="shared" si="12"/>
        <v>49979</v>
      </c>
      <c r="BF21" s="2072">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1033</v>
      </c>
      <c r="S22" s="1938"/>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2">
        <f>'Rent-roll'!K105</f>
        <v>0.58333333333333337</v>
      </c>
      <c r="AH22" s="259">
        <f t="shared" si="1"/>
        <v>90</v>
      </c>
      <c r="AK22" s="783">
        <f>($AI$24*12/(12-$AF26)-$AC26)</f>
        <v>57419.380255767581</v>
      </c>
      <c r="AL22" s="783">
        <f>AK22*(12-AF26)/12+AC26</f>
        <v>58425.651774664548</v>
      </c>
      <c r="AM22" s="1683"/>
      <c r="AN22" s="1683"/>
      <c r="AO22" s="1683"/>
      <c r="AT22" s="1101" t="str">
        <f t="shared" si="4"/>
        <v>B1</v>
      </c>
      <c r="AU22" s="1120" t="str">
        <f t="shared" si="5"/>
        <v>쿠팡</v>
      </c>
      <c r="AV22" s="1114" t="str">
        <f t="shared" si="6"/>
        <v>상온창고</v>
      </c>
      <c r="AW22" s="2068">
        <f t="shared" si="7"/>
        <v>2745.32</v>
      </c>
      <c r="AX22" s="2069">
        <f t="shared" si="8"/>
        <v>360000</v>
      </c>
      <c r="AY22" s="2070">
        <f t="shared" si="14"/>
        <v>988315200</v>
      </c>
      <c r="AZ22" s="2069">
        <f t="shared" si="9"/>
        <v>60000</v>
      </c>
      <c r="BA22" s="2070">
        <f t="shared" si="15"/>
        <v>164719200</v>
      </c>
      <c r="BB22" s="2069">
        <f t="shared" si="10"/>
        <v>3000</v>
      </c>
      <c r="BC22" s="2070">
        <f t="shared" si="16"/>
        <v>8235960.0000000009</v>
      </c>
      <c r="BD22" s="2071">
        <f t="shared" si="11"/>
        <v>45748</v>
      </c>
      <c r="BE22" s="2071">
        <f t="shared" si="12"/>
        <v>49064</v>
      </c>
      <c r="BF22" s="2072">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4390000</v>
      </c>
      <c r="O23" s="90">
        <v>4390000</v>
      </c>
      <c r="P23" s="2659">
        <f>TIC!J33</f>
        <v>4390000</v>
      </c>
      <c r="Q23" s="1136">
        <f t="shared" si="2"/>
        <v>1.5195569401176877E-2</v>
      </c>
      <c r="R23" s="1125" t="s">
        <v>62</v>
      </c>
      <c r="S23" s="1126" t="b">
        <f>T23=SUM(T24:T27)</f>
        <v>1</v>
      </c>
      <c r="T23" s="1127">
        <f>SUM(T14:T22)</f>
        <v>298900000</v>
      </c>
      <c r="U23" s="1128">
        <f>SUM(U14:U22)</f>
        <v>1</v>
      </c>
      <c r="V23" s="1864" t="s">
        <v>59</v>
      </c>
      <c r="W23" s="1878" t="s">
        <v>428</v>
      </c>
      <c r="X23" s="1879" cm="1">
        <f t="array" ref="X23">SUMPRODUCT(($W23=$W$7:$W$22)*($Y$7:$Y$22))/Y23</f>
        <v>6.7500938244372463E-3</v>
      </c>
      <c r="Y23" s="687">
        <f>SUM(Y7:Y22)</f>
        <v>20890.079999999998</v>
      </c>
      <c r="Z23" s="1961">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3">
        <f>SUMPRODUCT(Y7:Y22,AG7:AG22)/Y23</f>
        <v>0.45731391007917005</v>
      </c>
      <c r="AH23" s="1867" t="s">
        <v>1112</v>
      </c>
      <c r="AI23" s="1884">
        <v>1</v>
      </c>
      <c r="AJ23" s="783">
        <v>58321.485107997876</v>
      </c>
      <c r="AK23" s="1683"/>
      <c r="AL23" s="1683"/>
      <c r="AM23" s="1683"/>
      <c r="AN23" s="1683"/>
      <c r="AO23" s="1683"/>
      <c r="AT23" s="1101" t="str">
        <f t="shared" si="4"/>
        <v>B2</v>
      </c>
      <c r="AU23" s="1120" t="str">
        <f t="shared" si="5"/>
        <v>쿠팡</v>
      </c>
      <c r="AV23" s="1114" t="str">
        <f t="shared" si="6"/>
        <v>상온창고</v>
      </c>
      <c r="AW23" s="2068">
        <f t="shared" si="7"/>
        <v>2728.21</v>
      </c>
      <c r="AX23" s="2069">
        <f t="shared" si="8"/>
        <v>360000</v>
      </c>
      <c r="AY23" s="2070">
        <f t="shared" si="14"/>
        <v>982155600</v>
      </c>
      <c r="AZ23" s="2069">
        <f t="shared" si="9"/>
        <v>60000</v>
      </c>
      <c r="BA23" s="2070">
        <f t="shared" si="15"/>
        <v>163692600</v>
      </c>
      <c r="BB23" s="2069">
        <f t="shared" si="10"/>
        <v>3000</v>
      </c>
      <c r="BC23" s="2070">
        <f t="shared" si="16"/>
        <v>8184630</v>
      </c>
      <c r="BD23" s="2071">
        <f t="shared" si="11"/>
        <v>45992</v>
      </c>
      <c r="BE23" s="2071">
        <f t="shared" si="12"/>
        <v>49064</v>
      </c>
      <c r="BF23" s="2072">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41">
        <f>P23</f>
        <v>4390000</v>
      </c>
      <c r="Q24" s="1142">
        <f>Q23</f>
        <v>1.5195569401176877E-2</v>
      </c>
      <c r="R24" s="21" t="s">
        <v>641</v>
      </c>
      <c r="S24" s="21"/>
      <c r="T24" s="1124">
        <f>SUM(P8)</f>
        <v>270000000</v>
      </c>
      <c r="U24" s="1860">
        <f>T24/$T$23</f>
        <v>0.90331214452994313</v>
      </c>
      <c r="V24" s="60" t="s">
        <v>472</v>
      </c>
      <c r="W24" s="697"/>
      <c r="X24" s="697"/>
      <c r="Y24" s="1735" t="s">
        <v>1205</v>
      </c>
      <c r="Z24" s="759"/>
      <c r="AA24" s="1736"/>
      <c r="AB24" s="1735" t="s">
        <v>1204</v>
      </c>
      <c r="AC24" s="759"/>
      <c r="AD24" s="1736"/>
      <c r="AE24" s="759" t="s">
        <v>90</v>
      </c>
      <c r="AF24" s="759"/>
      <c r="AG24" s="1660"/>
      <c r="AH24" s="1867" t="s">
        <v>1111</v>
      </c>
      <c r="AI24" s="1884">
        <f>$AJ$24*(1+$AN$37)</f>
        <v>58321.485107997876</v>
      </c>
      <c r="AJ24" s="783">
        <v>58321.485107997876</v>
      </c>
      <c r="AK24" s="1683">
        <f>$AJ$24*(1+$AN$37)</f>
        <v>58321.485107997876</v>
      </c>
      <c r="AL24" s="1683"/>
      <c r="AM24" s="1683"/>
      <c r="AN24" s="1683"/>
      <c r="AO24" s="1683"/>
      <c r="AT24" s="1110" t="s">
        <v>640</v>
      </c>
      <c r="AU24" s="1111"/>
      <c r="AV24" s="1122"/>
      <c r="AW24" s="2084">
        <f>SUM(AW8:AW23)</f>
        <v>20890.079999999998</v>
      </c>
      <c r="AX24" s="2085"/>
      <c r="AY24" s="2086">
        <f>SUM(AY8:AY23)</f>
        <v>7205114818</v>
      </c>
      <c r="AZ24" s="2085"/>
      <c r="BA24" s="2086">
        <f>SUM(BA8:BA23)</f>
        <v>1203361225</v>
      </c>
      <c r="BB24" s="2085"/>
      <c r="BC24" s="2086">
        <f>SUM(BC8:BC23)</f>
        <v>62086730</v>
      </c>
      <c r="BD24" s="2087"/>
      <c r="BE24" s="2087"/>
      <c r="BF24" s="2088"/>
      <c r="BG24" s="1122"/>
    </row>
    <row r="25" spans="1:59" ht="11.25" customHeight="1">
      <c r="B25" s="12" t="s">
        <v>87</v>
      </c>
      <c r="C25" s="5"/>
      <c r="D25" s="5"/>
      <c r="E25" s="5"/>
      <c r="F25" s="5"/>
      <c r="G25" s="5"/>
      <c r="H25" s="5"/>
      <c r="I25" s="5"/>
      <c r="J25" s="55">
        <f>J22*50.76%</f>
        <v>7623.8981999999987</v>
      </c>
      <c r="K25" s="23">
        <f t="shared" si="18"/>
        <v>2306.2292054999994</v>
      </c>
      <c r="L25" s="26" t="s">
        <v>68</v>
      </c>
      <c r="M25" s="5" t="s">
        <v>587</v>
      </c>
      <c r="N25" s="5"/>
      <c r="O25" s="13"/>
      <c r="P25" s="1135">
        <f>TIC!J35</f>
        <v>0</v>
      </c>
      <c r="Q25" s="1136">
        <f t="shared" si="2"/>
        <v>0</v>
      </c>
      <c r="R25" s="5" t="s">
        <v>642</v>
      </c>
      <c r="S25" s="5"/>
      <c r="T25" s="1082">
        <f>SUM(P10,P17,P22,P27,P24)</f>
        <v>18899999.999999955</v>
      </c>
      <c r="U25" s="1861">
        <f>T25/$T$23</f>
        <v>6.3231850117095867E-2</v>
      </c>
      <c r="V25" s="698" t="s">
        <v>24</v>
      </c>
      <c r="W25" s="20"/>
      <c r="X25" s="16" t="s">
        <v>482</v>
      </c>
      <c r="Y25" s="698" t="s">
        <v>478</v>
      </c>
      <c r="Z25" s="20" t="s">
        <v>479</v>
      </c>
      <c r="AA25" s="686" t="s">
        <v>480</v>
      </c>
      <c r="AB25" s="698" t="s">
        <v>478</v>
      </c>
      <c r="AC25" s="20" t="s">
        <v>839</v>
      </c>
      <c r="AD25" s="686" t="s">
        <v>480</v>
      </c>
      <c r="AE25" s="20"/>
      <c r="AF25" s="20"/>
      <c r="AG25" s="1661" t="s">
        <v>1027</v>
      </c>
      <c r="AH25" s="1661" t="s">
        <v>1042</v>
      </c>
      <c r="AI25" s="1866" t="s">
        <v>1107</v>
      </c>
      <c r="AW25" s="1404">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3">
        <f>TIC!J36</f>
        <v>235384.77486795187</v>
      </c>
      <c r="Q26" s="1144">
        <f t="shared" si="2"/>
        <v>8.1476211446158487E-4</v>
      </c>
      <c r="R26" s="5" t="s">
        <v>72</v>
      </c>
      <c r="S26" s="5"/>
      <c r="T26" s="1082"/>
      <c r="U26" s="1861">
        <f>T26/$T$23</f>
        <v>0</v>
      </c>
      <c r="V26" s="261" t="s">
        <v>429</v>
      </c>
      <c r="W26" s="783" cm="1">
        <f t="array" ref="W26">(SUMPRODUCT(($V26=$W$7:$W$22)*($Y$7:$Y$22)))</f>
        <v>479.38</v>
      </c>
      <c r="X26" s="760">
        <v>1</v>
      </c>
      <c r="Y26" s="1737" cm="1">
        <f t="array" ref="Y26">SUMPRODUCT(($V26=$W$7:$W$22)*($Y$7:$Y$22)*($AC$7:$AC$22))/(SUMPRODUCT(($V26=$W$7:$W$22)*($Y$7:$Y$22)))</f>
        <v>40000</v>
      </c>
      <c r="Z26" s="783" cm="1">
        <f t="array" ref="Z26">SUMPRODUCT(($V26=$W$7:$W$22)*($Y$7:$Y$22)*($AD$7:$AD$22))/(SUMPRODUCT(($V26=$W$7:$W$22)*($Y$7:$Y$22)))</f>
        <v>3000</v>
      </c>
      <c r="AA26" s="1738" cm="1">
        <f t="array" ref="AA26">SUMPRODUCT(($V26=$W$7:$W$22)*($Y$7:$Y$22)*($AE$7:$AE$22))/(SUMPRODUCT(($V26=$W$7:$W$22)*($Y$7:$Y$22)))</f>
        <v>208600</v>
      </c>
      <c r="AB26" s="1740">
        <f>(($AI$24-$AC26)*(12/(12-$AF26))*($AI$23=1)+($AI$23=0)*40000)</f>
        <v>57311.466586702838</v>
      </c>
      <c r="AC26" s="1734">
        <f t="shared" ref="AC26:AC31" si="19">Z26*($X26=1)</f>
        <v>3000</v>
      </c>
      <c r="AD26" s="1738">
        <f t="shared" ref="AD26:AD31" si="20">AA26*($X26=1)</f>
        <v>208600</v>
      </c>
      <c r="AE26" s="879" t="s">
        <v>493</v>
      </c>
      <c r="AF26" s="1865">
        <f>AG9</f>
        <v>0.41666666666666669</v>
      </c>
      <c r="AG26" s="1662" cm="1">
        <f t="array" ref="AG26">SUMPRODUCT(($V26=$W$7:$W$22)*($Y$7:$Y$22))/$Y$23</f>
        <v>2.2947734044101317E-2</v>
      </c>
      <c r="AH26" s="1685">
        <f>(Y26*(12-$AF26))/12+Z26</f>
        <v>41611.111111111117</v>
      </c>
      <c r="AI26" s="1685">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9" t="s">
        <v>29</v>
      </c>
      <c r="C27" s="56"/>
      <c r="D27" s="56"/>
      <c r="E27" s="56"/>
      <c r="F27" s="56"/>
      <c r="G27" s="56"/>
      <c r="H27" s="56"/>
      <c r="I27" s="56"/>
      <c r="J27" s="1722">
        <f>'A&amp;R'!T59</f>
        <v>69058.085578024868</v>
      </c>
      <c r="K27" s="1723">
        <f t="shared" si="18"/>
        <v>20890.070887352522</v>
      </c>
      <c r="L27" s="26"/>
      <c r="M27" s="56" t="s">
        <v>44</v>
      </c>
      <c r="N27" s="57"/>
      <c r="O27" s="57"/>
      <c r="P27" s="1145">
        <f>SUM(P25:P26)</f>
        <v>235384.77486795187</v>
      </c>
      <c r="Q27" s="1146">
        <f>SUM(Q25:Q26)</f>
        <v>8.1476211446158487E-4</v>
      </c>
      <c r="R27" s="180" t="s">
        <v>77</v>
      </c>
      <c r="S27" s="884" t="s">
        <v>847</v>
      </c>
      <c r="T27" s="1129">
        <f>T12</f>
        <v>10000000</v>
      </c>
      <c r="U27" s="1862">
        <f>T27/$T$23</f>
        <v>3.3456005352960859E-2</v>
      </c>
      <c r="V27" s="261" t="s">
        <v>334</v>
      </c>
      <c r="W27" s="783" cm="1">
        <f t="array" ref="W27">(SUMPRODUCT(($V27=$W$7:$W$22)*($Y$7:$Y$22)))</f>
        <v>16117.849999999999</v>
      </c>
      <c r="X27" s="760">
        <v>1</v>
      </c>
      <c r="Y27" s="1737" cm="1">
        <f t="array" ref="Y27">SUMPRODUCT(($V27=$W$7:$W$22)*($Y$7:$Y$22)*($AC$7:$AC$22))/(SUMPRODUCT(($V27=$W$7:$W$22)*($Y$7:$Y$22)))</f>
        <v>59506.496524040122</v>
      </c>
      <c r="Z27" s="783" cm="1">
        <f t="array" ref="Z27">SUMPRODUCT(($V27=$W$7:$W$22)*($Y$7:$Y$22)*($AD$7:$AD$22))/(SUMPRODUCT(($V27=$W$7:$W$22)*($Y$7:$Y$22)))</f>
        <v>2990.0433370455739</v>
      </c>
      <c r="AA27" s="1738" cm="1">
        <f t="array" ref="AA27">SUMPRODUCT(($V27=$W$7:$W$22)*($Y$7:$Y$22)*($AE$7:$AE$22))/(SUMPRODUCT(($V27=$W$7:$W$22)*($Y$7:$Y$22)))</f>
        <v>357038.97914424073</v>
      </c>
      <c r="AB27" s="1740">
        <f>(($AI$24-$AC27)*(12/(12-$AF27))*($AI$23=1)+($AI$23=0)*60000)</f>
        <v>57698.001860542106</v>
      </c>
      <c r="AC27" s="1734">
        <f t="shared" si="19"/>
        <v>2990.0433370455739</v>
      </c>
      <c r="AD27" s="1738">
        <f t="shared" si="20"/>
        <v>357038.97914424073</v>
      </c>
      <c r="AE27" s="879" t="s">
        <v>492</v>
      </c>
      <c r="AF27" s="1865" cm="1">
        <f t="array" ref="AF27">SUMPRODUCT(($V27=$W$7:$W$22)*($Y$7:$Y$22)*($AG$7:$AG$22))/(SUMPRODUCT(($V27=$W$7:$W$22)*($Y$7:$Y$22)))</f>
        <v>0.4921959194309416</v>
      </c>
      <c r="AG27" s="1662" cm="1">
        <f t="array" ref="AG27">SUMPRODUCT(($V27=$W$7:$W$22)*($Y$7:$Y$22))/$Y$23</f>
        <v>0.77155520706478864</v>
      </c>
      <c r="AH27" s="1685">
        <f t="shared" ref="AH27:AH32" si="23">(Y27*(12-$AF27))/12+Z27</f>
        <v>60055.801963688697</v>
      </c>
      <c r="AI27" s="1685">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3"/>
      <c r="L28" s="58" t="s">
        <v>1071</v>
      </c>
      <c r="M28" s="1969"/>
      <c r="N28" s="59">
        <f>P28/K31</f>
        <v>10003.094250669728</v>
      </c>
      <c r="O28" s="968">
        <f>Y54/(P28-T14)</f>
        <v>4.5695135919618358E-2</v>
      </c>
      <c r="P28" s="1147">
        <f>SUM(P8,P10,P17,P22,P24,P27)</f>
        <v>288900000</v>
      </c>
      <c r="Q28" s="1148">
        <f>SUM(Q8,Q10,Q17,Q22,Q24,Q27)</f>
        <v>0.99999999999999978</v>
      </c>
      <c r="R28" s="5" t="s">
        <v>585</v>
      </c>
      <c r="S28" s="1006">
        <v>45323</v>
      </c>
      <c r="T28" s="90">
        <v>273000000</v>
      </c>
      <c r="U28" s="1309">
        <v>334500000</v>
      </c>
      <c r="V28" s="261" t="s">
        <v>341</v>
      </c>
      <c r="W28" s="783" cm="1">
        <f t="array" ref="W28">(SUMPRODUCT(($V28=$W$7:$W$22)*($Y$7:$Y$22)))</f>
        <v>2185.56</v>
      </c>
      <c r="X28" s="270">
        <v>1</v>
      </c>
      <c r="Y28" s="1737" cm="1">
        <f t="array" ref="Y28">SUMPRODUCT(($V28=$W$7:$W$22)*($Y$7:$Y$22)*($AC$7:$AC$22))/(SUMPRODUCT(($V28=$W$7:$W$22)*($Y$7:$Y$22)))</f>
        <v>49000</v>
      </c>
      <c r="Z28" s="783" cm="1">
        <f t="array" ref="Z28">SUMPRODUCT(($V28=$W$7:$W$22)*($Y$7:$Y$22)*($AD$7:$AD$22))/(SUMPRODUCT(($V28=$W$7:$W$22)*($Y$7:$Y$22)))</f>
        <v>3000</v>
      </c>
      <c r="AA28" s="1738" cm="1">
        <f t="array" ref="AA28">SUMPRODUCT(($V28=$W$7:$W$22)*($Y$7:$Y$22)*($AE$7:$AE$22))/(SUMPRODUCT(($V28=$W$7:$W$22)*($Y$7:$Y$22)))</f>
        <v>294000</v>
      </c>
      <c r="AB28" s="1741">
        <f>(($AI$24-$AC28)*(12/(12-$AF28))*($AI$23=1)+($AI$23=0)*60000)</f>
        <v>55321.485107997876</v>
      </c>
      <c r="AC28" s="1734">
        <f t="shared" si="19"/>
        <v>3000</v>
      </c>
      <c r="AD28" s="1738">
        <f t="shared" si="20"/>
        <v>294000</v>
      </c>
      <c r="AE28" s="879" t="s">
        <v>492</v>
      </c>
      <c r="AF28" s="1865" cm="1">
        <f t="array" ref="AF28">SUMPRODUCT(($V28=$W$7:$W$22)*($Y$7:$Y$22)*($AG$7:$AG$22))/(SUMPRODUCT(($V28=$W$7:$W$22)*($Y$7:$Y$22)))</f>
        <v>0</v>
      </c>
      <c r="AG28" s="1662" cm="1">
        <f t="array" ref="AG28">SUMPRODUCT(($V28=$W$7:$W$22)*($Y$7:$Y$22))/$Y$23</f>
        <v>0.10462190666574758</v>
      </c>
      <c r="AH28" s="1685">
        <f t="shared" si="23"/>
        <v>52000</v>
      </c>
      <c r="AI28" s="1685">
        <f t="shared" si="24"/>
        <v>58321.485107997876</v>
      </c>
      <c r="AJ28" s="783">
        <v>59750</v>
      </c>
      <c r="AK28" s="783">
        <v>60000</v>
      </c>
      <c r="AL28" s="259">
        <f t="shared" si="21"/>
        <v>58071.485107997876</v>
      </c>
      <c r="AM28" s="259" t="b">
        <f t="shared" si="22"/>
        <v>0</v>
      </c>
    </row>
    <row r="29" spans="1:59" ht="11.25" customHeight="1">
      <c r="A29" s="1304" t="s">
        <v>1206</v>
      </c>
      <c r="B29" s="12"/>
      <c r="C29" s="1714" t="s">
        <v>100</v>
      </c>
      <c r="D29" s="664"/>
      <c r="E29" s="664"/>
      <c r="F29" s="664"/>
      <c r="G29" s="664"/>
      <c r="H29" s="664"/>
      <c r="I29" s="664"/>
      <c r="J29" s="665">
        <f>SUM('A&amp;R'!U49:U56)</f>
        <v>70802.16</v>
      </c>
      <c r="K29" s="1715">
        <f>J29*py</f>
        <v>21417.653399999999</v>
      </c>
      <c r="L29" s="60" t="s">
        <v>85</v>
      </c>
      <c r="M29" s="61"/>
      <c r="N29" s="61"/>
      <c r="O29" s="61"/>
      <c r="P29" s="1311">
        <f>P44/2</f>
        <v>7400000</v>
      </c>
      <c r="Q29" s="61"/>
      <c r="R29" s="7"/>
      <c r="S29" s="7"/>
      <c r="T29" s="7"/>
      <c r="U29" s="7"/>
      <c r="V29" s="261" t="s">
        <v>473</v>
      </c>
      <c r="W29" s="783" cm="1">
        <f t="array" ref="W29">(SUMPRODUCT(($V29=$W$7:$W$22)*($Y$7:$Y$22)))</f>
        <v>1092.94</v>
      </c>
      <c r="X29" s="270">
        <v>1</v>
      </c>
      <c r="Y29" s="1737" cm="1">
        <f t="array" ref="Y29">SUMPRODUCT(($V29=$W$7:$W$22)*($Y$7:$Y$22)*($AC$7:$AC$22))/(SUMPRODUCT(($V29=$W$7:$W$22)*($Y$7:$Y$22)))</f>
        <v>60000</v>
      </c>
      <c r="Z29" s="783" cm="1">
        <f t="array" ref="Z29">SUMPRODUCT(($V29=$W$7:$W$22)*($Y$7:$Y$22)*($AD$7:$AD$22))/(SUMPRODUCT(($V29=$W$7:$W$22)*($Y$7:$Y$22)))</f>
        <v>3000</v>
      </c>
      <c r="AA29" s="1738" cm="1">
        <f t="array" ref="AA29">SUMPRODUCT(($V29=$W$7:$W$22)*($Y$7:$Y$22)*($AE$7:$AE$22))/(SUMPRODUCT(($V29=$W$7:$W$22)*($Y$7:$Y$22)))</f>
        <v>360000</v>
      </c>
      <c r="AB29" s="1742">
        <f>(($AI$24-$AC29)*(12/(12-$AF29))*($AI$23=1)+($AI$23=0)*60000)</f>
        <v>60350.711026906771</v>
      </c>
      <c r="AC29" s="1734">
        <f t="shared" si="19"/>
        <v>3000</v>
      </c>
      <c r="AD29" s="1738">
        <f t="shared" si="20"/>
        <v>360000</v>
      </c>
      <c r="AE29" s="879" t="s">
        <v>492</v>
      </c>
      <c r="AF29" s="1865" cm="1">
        <f t="array" ref="AF29">SUMPRODUCT(($V29=$W$7:$W$22)*($Y$7:$Y$22)*($AG$7:$AG$22))/(SUMPRODUCT(($V29=$W$7:$W$22)*($Y$7:$Y$22)))</f>
        <v>1</v>
      </c>
      <c r="AG29" s="1662" cm="1">
        <f t="array" ref="AG29">SUMPRODUCT(($V29=$W$7:$W$22)*($Y$7:$Y$22))/$Y$23</f>
        <v>5.2318612470608067E-2</v>
      </c>
      <c r="AH29" s="1685">
        <f t="shared" si="23"/>
        <v>58000</v>
      </c>
      <c r="AI29" s="1685">
        <f t="shared" si="24"/>
        <v>58321.485107997869</v>
      </c>
      <c r="AJ29" s="783">
        <v>65181.818181818184</v>
      </c>
      <c r="AK29" s="783">
        <v>60000</v>
      </c>
      <c r="AL29" s="259">
        <f t="shared" si="21"/>
        <v>63350.711026906778</v>
      </c>
      <c r="AM29" s="259" t="b">
        <f t="shared" si="22"/>
        <v>0</v>
      </c>
    </row>
    <row r="30" spans="1:59" ht="11.25" customHeight="1">
      <c r="B30" s="12"/>
      <c r="C30" s="1716"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1013</v>
      </c>
      <c r="U30" s="16" t="s">
        <v>1012</v>
      </c>
      <c r="V30" s="261" t="s">
        <v>491</v>
      </c>
      <c r="W30" s="783" cm="1">
        <f t="array" ref="W30">(SUMPRODUCT(($V30=$W$7:$W$22)*($Y$7:$Y$22)))</f>
        <v>856.05</v>
      </c>
      <c r="X30" s="270">
        <v>1</v>
      </c>
      <c r="Y30" s="1737" cm="1">
        <f t="array" ref="Y30">SUMPRODUCT(($V30=$W$7:$W$22)*($Y$7:$Y$22)*($AC$7:$AC$22))/(SUMPRODUCT(($V30=$W$7:$W$22)*($Y$7:$Y$22)))</f>
        <v>60000</v>
      </c>
      <c r="Z30" s="783" cm="1">
        <f t="array" ref="Z30">SUMPRODUCT(($V30=$W$7:$W$22)*($Y$7:$Y$22)*($AD$7:$AD$22))/(SUMPRODUCT(($V30=$W$7:$W$22)*($Y$7:$Y$22)))</f>
        <v>3000</v>
      </c>
      <c r="AA30" s="1738" cm="1">
        <f t="array" ref="AA30">SUMPRODUCT(($V30=$W$7:$W$22)*($Y$7:$Y$22)*($AE$7:$AE$22))/(SUMPRODUCT(($V30=$W$7:$W$22)*($Y$7:$Y$22)))</f>
        <v>360000</v>
      </c>
      <c r="AB30" s="1742">
        <f>(($AI$24-$AC30)*(12/(12-$AF30))*($AI$23=1)+($AI$23=0)*60000)</f>
        <v>57106.049143739743</v>
      </c>
      <c r="AC30" s="1734">
        <f t="shared" si="19"/>
        <v>3000</v>
      </c>
      <c r="AD30" s="1738">
        <f t="shared" si="20"/>
        <v>360000</v>
      </c>
      <c r="AE30" s="879" t="s">
        <v>492</v>
      </c>
      <c r="AF30" s="1865" cm="1">
        <f t="array" ref="AF30">SUMPRODUCT(($V30=$W$7:$W$22)*($Y$7:$Y$22)*($AG$7:$AG$22))/(SUMPRODUCT(($V30=$W$7:$W$22)*($Y$7:$Y$22)))</f>
        <v>0.37499999999999994</v>
      </c>
      <c r="AG30" s="1662" cm="1">
        <f t="array" ref="AG30">SUMPRODUCT(($V30=$W$7:$W$22)*($Y$7:$Y$22))/$Y$23</f>
        <v>4.0978780358907195E-2</v>
      </c>
      <c r="AH30" s="1685">
        <f t="shared" si="23"/>
        <v>61125</v>
      </c>
      <c r="AI30" s="1685">
        <f t="shared" si="24"/>
        <v>58321.485107997876</v>
      </c>
      <c r="AJ30" s="783">
        <v>61677.419354838712</v>
      </c>
      <c r="AK30" s="783">
        <v>60000</v>
      </c>
      <c r="AL30" s="259">
        <f t="shared" si="21"/>
        <v>59944.758821159099</v>
      </c>
      <c r="AM30" s="259" t="b">
        <f t="shared" si="22"/>
        <v>0</v>
      </c>
    </row>
    <row r="31" spans="1:59" ht="11.25" customHeight="1">
      <c r="B31" s="668"/>
      <c r="C31" s="1720" t="s">
        <v>104</v>
      </c>
      <c r="D31" s="1721"/>
      <c r="E31" s="1721"/>
      <c r="F31" s="1721"/>
      <c r="G31" s="1721"/>
      <c r="H31" s="1721"/>
      <c r="I31" s="1721"/>
      <c r="J31" s="1724">
        <f>SUM(J29:J30)</f>
        <v>95474.59</v>
      </c>
      <c r="K31" s="1725">
        <f>J31*py</f>
        <v>28881.063474999999</v>
      </c>
      <c r="L31" s="66" t="s">
        <v>205</v>
      </c>
      <c r="M31" s="67">
        <f>D37</f>
        <v>46326</v>
      </c>
      <c r="N31" s="24">
        <f>$E$37</f>
        <v>49979</v>
      </c>
      <c r="O31" s="68">
        <f>DATEDIF(M31-1,N31+1,"m")</f>
        <v>120</v>
      </c>
      <c r="P31" s="2032">
        <f>AE33/1000</f>
        <v>2100000</v>
      </c>
      <c r="Q31" s="691"/>
      <c r="R31" s="69"/>
      <c r="S31" s="69"/>
      <c r="T31" s="25">
        <f>(P32*S32+P35*S35)/SUM(P32,P35)</f>
        <v>5.6919191919191918E-2</v>
      </c>
      <c r="U31" s="13"/>
      <c r="V31" s="261" t="s">
        <v>437</v>
      </c>
      <c r="W31" s="783" cm="1">
        <f t="array" ref="W31">(SUMPRODUCT(($V31=$W$7:$W$22)*($Y$7:$Y$22)))</f>
        <v>17.29</v>
      </c>
      <c r="X31" s="270">
        <v>1</v>
      </c>
      <c r="Y31" s="1737" cm="1">
        <f t="array" ref="Y31">SUMPRODUCT(($V31=$W$7:$W$22)*($Y$7:$Y$22)*($AC$7:$AC$22))/(SUMPRODUCT(($V31=$W$7:$W$22)*($Y$7:$Y$22)))</f>
        <v>60000</v>
      </c>
      <c r="Z31" s="783" cm="1">
        <f t="array" ref="Z31">SUMPRODUCT(($V31=$W$7:$W$22)*($Y$7:$Y$22)*($AD$7:$AD$22))/(SUMPRODUCT(($V31=$W$7:$W$22)*($Y$7:$Y$22)))</f>
        <v>3000</v>
      </c>
      <c r="AA31" s="1738" cm="1">
        <f t="array" ref="AA31">SUMPRODUCT(($V31=$W$7:$W$22)*($Y$7:$Y$22)*($AE$7:$AE$22))/(SUMPRODUCT(($V31=$W$7:$W$22)*($Y$7:$Y$22)))</f>
        <v>360000</v>
      </c>
      <c r="AB31" s="1742">
        <f>(($AI$24-$AC31)*(12/(12-$AF31))*($AI$23=1)+($AI$23=0)*60000)</f>
        <v>57106.049143739743</v>
      </c>
      <c r="AC31" s="1734">
        <f t="shared" si="19"/>
        <v>3000</v>
      </c>
      <c r="AD31" s="1738">
        <f t="shared" si="20"/>
        <v>360000</v>
      </c>
      <c r="AE31" s="879" t="s">
        <v>492</v>
      </c>
      <c r="AF31" s="1865" cm="1">
        <f t="array" ref="AF31">SUMPRODUCT(($V31=$W$7:$W$22)*($Y$7:$Y$22)*($AG$7:$AG$22))/(SUMPRODUCT(($V31=$W$7:$W$22)*($Y$7:$Y$22)))</f>
        <v>0.375</v>
      </c>
      <c r="AG31" s="1662" cm="1">
        <f t="array" ref="AG31">SUMPRODUCT(($V31=$W$7:$W$22)*($Y$7:$Y$22))/$Y$23</f>
        <v>8.2766557140997066E-4</v>
      </c>
      <c r="AH31" s="1685">
        <f t="shared" si="23"/>
        <v>61125</v>
      </c>
      <c r="AI31" s="1685">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7" t="s">
        <v>273</v>
      </c>
      <c r="M32" s="71">
        <f>D37</f>
        <v>46326</v>
      </c>
      <c r="N32" s="72">
        <f>EOMONTH(M32-1,O32)</f>
        <v>47057</v>
      </c>
      <c r="O32" s="1628">
        <v>24</v>
      </c>
      <c r="P32" s="1638">
        <v>160000000</v>
      </c>
      <c r="Q32" s="2065">
        <f>AN39</f>
        <v>4.7750000000000001E-2</v>
      </c>
      <c r="R32" s="2066">
        <f>T112</f>
        <v>1.4500000000000001E-2</v>
      </c>
      <c r="S32" s="1642">
        <f t="shared" ref="S32:S39" si="25">Q32+R32*(12/O32)</f>
        <v>5.5E-2</v>
      </c>
      <c r="T32" s="2755">
        <f>SUM(P32,P31)/$U$28</f>
        <v>0.48460388639760837</v>
      </c>
      <c r="U32" s="1647">
        <f>SUM(P32,P31)/$P$8</f>
        <v>0.60037037037037033</v>
      </c>
      <c r="V32" s="261" t="s">
        <v>428</v>
      </c>
      <c r="W32" s="783" cm="1">
        <f t="array" ref="W32">(SUMPRODUCT(($V32=$W$7:$W$22)*($Y$7:$Y$22)))</f>
        <v>141.01000000000002</v>
      </c>
      <c r="X32" s="760">
        <v>1</v>
      </c>
      <c r="Y32" s="1737" cm="1">
        <f t="array" ref="Y32">SUMPRODUCT(($V32=$W$7:$W$22)*($Y$7:$Y$22)*($AC$7:$AC$22))/(SUMPRODUCT(($V32=$W$7:$W$22)*($Y$7:$Y$22)))</f>
        <v>0</v>
      </c>
      <c r="Z32" s="783" cm="1">
        <f t="array" ref="Z32">SUMPRODUCT(($V32=$W$7:$W$22)*($Y$7:$Y$22)*($AD$7:$AD$22))/(SUMPRODUCT(($V32=$W$7:$W$22)*($Y$7:$Y$22)))</f>
        <v>0</v>
      </c>
      <c r="AA32" s="1738" cm="1">
        <f t="array" ref="AA32">SUMPRODUCT(($V32=$W$7:$W$22)*($Y$7:$Y$22)*($AE$7:$AE$22))/(SUMPRODUCT(($V32=$W$7:$W$22)*($Y$7:$Y$22)))</f>
        <v>0</v>
      </c>
      <c r="AB32" s="1742">
        <f>(($AI$24-$AC32)*(12/(12-$AF32))*($AI$23=1)+($AI$23=0)*0)</f>
        <v>55321.485107997876</v>
      </c>
      <c r="AC32" s="783">
        <f>3000*($AI$23=1)+0*($AI$23=0)</f>
        <v>3000</v>
      </c>
      <c r="AD32" s="1738">
        <f>AB32*6</f>
        <v>331928.91064798727</v>
      </c>
      <c r="AF32" s="1865" cm="1">
        <f t="array" ref="AF32">SUMPRODUCT(($V32=$W$7:$W$22)*($Y$7:$Y$22)*($AG$7:$AG$22))/(SUMPRODUCT(($V32=$W$7:$W$22)*($Y$7:$Y$22)))</f>
        <v>0</v>
      </c>
      <c r="AG32" s="1662" cm="1">
        <f t="array" ref="AG32">SUMPRODUCT(($V32=$W$7:$W$22)*($Y$7:$Y$22))/$Y$23</f>
        <v>6.7500938244372463E-3</v>
      </c>
      <c r="AH32" s="1685">
        <f t="shared" si="23"/>
        <v>0</v>
      </c>
      <c r="AI32" s="1685">
        <f t="shared" si="24"/>
        <v>58321.485107997876</v>
      </c>
      <c r="AJ32" s="259">
        <v>59750</v>
      </c>
    </row>
    <row r="33" spans="1:66" ht="11.25" customHeight="1" thickBot="1">
      <c r="B33" s="6" t="s">
        <v>117</v>
      </c>
      <c r="C33" s="7"/>
      <c r="D33" s="7"/>
      <c r="E33" s="7"/>
      <c r="F33" s="7"/>
      <c r="G33" s="7"/>
      <c r="H33" s="7"/>
      <c r="I33" s="7"/>
      <c r="J33" s="7"/>
      <c r="K33" s="7"/>
      <c r="L33" s="66" t="s">
        <v>1014</v>
      </c>
      <c r="M33" s="67">
        <f>N32</f>
        <v>47057</v>
      </c>
      <c r="N33" s="24">
        <f>EOMONTH(M33-1,O33)</f>
        <v>48152</v>
      </c>
      <c r="O33" s="278">
        <v>36</v>
      </c>
      <c r="P33" s="2033">
        <f>P32+$P$43+10000000+33000000</f>
        <v>213000000</v>
      </c>
      <c r="Q33" s="1629">
        <f>AN41</f>
        <v>4.8000000000000001E-2</v>
      </c>
      <c r="R33" s="1630">
        <v>0</v>
      </c>
      <c r="S33" s="1643">
        <f t="shared" si="25"/>
        <v>4.8000000000000001E-2</v>
      </c>
      <c r="T33" s="1631">
        <f>SUM(P33,$P$31)/($U$28*(1+2%)^(SUM(O$32:O32)/12))</f>
        <v>0.61807893824900051</v>
      </c>
      <c r="U33" s="1645">
        <f>SUM(P33,P31)/$P$8</f>
        <v>0.79666666666666663</v>
      </c>
      <c r="V33" s="757" t="s">
        <v>59</v>
      </c>
      <c r="W33" s="1869">
        <f>SUM(W26:W32)</f>
        <v>20890.079999999998</v>
      </c>
      <c r="X33" s="758"/>
      <c r="Y33" s="1876">
        <f>SUMPRODUCT($W$26:$W$32,$Y$26:$Y$32)/$W$33</f>
        <v>57604.4335397471</v>
      </c>
      <c r="Z33" s="1869">
        <f>SUMPRODUCT($W$26:$W$32,$Z$26:$Z$32)/$W$33</f>
        <v>2972.067603379212</v>
      </c>
      <c r="AA33" s="1739"/>
      <c r="AB33" s="2488"/>
      <c r="AC33" s="758"/>
      <c r="AD33" s="1739">
        <f>AB33*6</f>
        <v>0</v>
      </c>
      <c r="AE33" s="1332">
        <v>2100000000</v>
      </c>
      <c r="AF33" s="1871">
        <f>SUMPRODUCT($W$26:$W$32,$AF$26:$AF$32)/$W$33</f>
        <v>0.45731391007917005</v>
      </c>
      <c r="AG33" s="1663"/>
      <c r="AH33" s="1870">
        <f>SUMPRODUCT($W$26:$W$32,$AH$26:$AH$32)/$W$33</f>
        <v>58321.485107997876</v>
      </c>
      <c r="AI33" s="1870">
        <f>SUMPRODUCT($W$26:$W$32,$AI$26:$AI$32)/$W$33</f>
        <v>58321.485107997876</v>
      </c>
      <c r="AL33" s="1944" t="s">
        <v>1149</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1015</v>
      </c>
      <c r="M34" s="1632">
        <f>N33</f>
        <v>48152</v>
      </c>
      <c r="N34" s="1633">
        <f>E37</f>
        <v>49979</v>
      </c>
      <c r="O34" s="1634">
        <f t="shared" ref="O34:O39" si="26">DATEDIF(M34-1,N34+1,"m")</f>
        <v>60</v>
      </c>
      <c r="P34" s="1639">
        <f>P33</f>
        <v>213000000</v>
      </c>
      <c r="Q34" s="1635">
        <v>4.4999999999999998E-2</v>
      </c>
      <c r="R34" s="1636">
        <v>0</v>
      </c>
      <c r="S34" s="1644">
        <f t="shared" si="25"/>
        <v>4.4999999999999998E-2</v>
      </c>
      <c r="T34" s="1637">
        <f>SUM(P34,$P$31)/($U$28*(1+2%)^(SUM(O$32:O33)/12))</f>
        <v>0.58242958802515665</v>
      </c>
      <c r="U34" s="1646">
        <f>SUM(P34,P31)/$P$8</f>
        <v>0.79666666666666663</v>
      </c>
      <c r="V34" s="80" t="s">
        <v>56</v>
      </c>
      <c r="W34" s="10"/>
      <c r="X34" s="1872" t="s">
        <v>1114</v>
      </c>
      <c r="Y34" s="1883">
        <f>AN38</f>
        <v>0</v>
      </c>
      <c r="Z34" s="1749">
        <f>$Y$34</f>
        <v>0</v>
      </c>
      <c r="AA34" s="1749">
        <f t="shared" ref="AA34:AH34" si="27">$Y$34</f>
        <v>0</v>
      </c>
      <c r="AB34" s="1749">
        <f t="shared" si="27"/>
        <v>0</v>
      </c>
      <c r="AC34" s="1749">
        <f t="shared" si="27"/>
        <v>0</v>
      </c>
      <c r="AD34" s="1749">
        <f t="shared" si="27"/>
        <v>0</v>
      </c>
      <c r="AE34" s="1749">
        <f t="shared" si="27"/>
        <v>0</v>
      </c>
      <c r="AF34" s="1749">
        <f t="shared" si="27"/>
        <v>0</v>
      </c>
      <c r="AG34" s="1873">
        <f t="shared" si="27"/>
        <v>0</v>
      </c>
      <c r="AH34" s="1749">
        <f t="shared" si="27"/>
        <v>0</v>
      </c>
      <c r="AI34" s="10"/>
      <c r="AJ34" s="838"/>
      <c r="AL34" s="1944" t="s">
        <v>1150</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7">
        <f>P41/SUM($P$41:$P$45)</f>
        <v>0.24291497975708501</v>
      </c>
      <c r="L35" s="1627" t="s">
        <v>645</v>
      </c>
      <c r="M35" s="71">
        <f t="shared" ref="M35:N37" si="28">M32</f>
        <v>46326</v>
      </c>
      <c r="N35" s="72">
        <f t="shared" si="28"/>
        <v>47057</v>
      </c>
      <c r="O35" s="73">
        <f t="shared" si="26"/>
        <v>24</v>
      </c>
      <c r="P35" s="1638">
        <v>38000000</v>
      </c>
      <c r="Q35" s="2065">
        <f>AN40</f>
        <v>0.06</v>
      </c>
      <c r="R35" s="2066">
        <v>0.01</v>
      </c>
      <c r="S35" s="1642">
        <f t="shared" si="25"/>
        <v>6.5000000000000002E-2</v>
      </c>
      <c r="T35" s="2756">
        <f>SUM($P$31,P32,P35)/($U$28)</f>
        <v>0.59820627802690585</v>
      </c>
      <c r="U35" s="1750">
        <f>SUM($P$31,P35,P32)/$P$8</f>
        <v>0.74111111111111116</v>
      </c>
      <c r="V35" s="19" t="s">
        <v>58</v>
      </c>
      <c r="W35" s="20"/>
      <c r="X35" s="839" t="s">
        <v>486</v>
      </c>
      <c r="Y35" s="1877">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40" t="s">
        <v>1203</v>
      </c>
      <c r="AP35" s="2040"/>
      <c r="AQ35" s="2040"/>
      <c r="AR35" s="2040"/>
      <c r="AS35" s="2040"/>
      <c r="AT35" s="2040"/>
      <c r="AU35" s="2052"/>
      <c r="AV35" s="2194" t="s">
        <v>1238</v>
      </c>
      <c r="AW35" s="2039"/>
      <c r="AX35" s="2039"/>
      <c r="AY35" s="2039"/>
      <c r="AZ35" s="2039"/>
      <c r="BA35" s="2060"/>
      <c r="BB35" s="2038" t="s">
        <v>1202</v>
      </c>
      <c r="BC35" s="2037"/>
      <c r="BD35" s="2037"/>
      <c r="BE35" s="2037"/>
      <c r="BF35" s="2037"/>
      <c r="BG35" s="2037"/>
      <c r="BH35" s="2037"/>
      <c r="BI35" s="2721" t="s">
        <v>1887</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10">
        <f>P44/SUM($P$41:$P$45)</f>
        <v>0.14979757085020243</v>
      </c>
      <c r="L36" s="66" t="s">
        <v>1016</v>
      </c>
      <c r="M36" s="67">
        <f t="shared" si="28"/>
        <v>47057</v>
      </c>
      <c r="N36" s="24">
        <f t="shared" si="28"/>
        <v>48152</v>
      </c>
      <c r="O36" s="68">
        <f t="shared" si="26"/>
        <v>36</v>
      </c>
      <c r="P36" s="1762">
        <v>0</v>
      </c>
      <c r="Q36" s="1629">
        <v>5.7000000000000002E-2</v>
      </c>
      <c r="R36" s="1630">
        <v>0</v>
      </c>
      <c r="S36" s="1643">
        <f t="shared" si="25"/>
        <v>5.7000000000000002E-2</v>
      </c>
      <c r="T36" s="1631">
        <f>SUM($P$31,P33,P36)/($U$28*(1+2%)^(SUM(O$35:O35)/12))</f>
        <v>0.61807893824900051</v>
      </c>
      <c r="U36" s="1640">
        <f>SUM($P$31,P36,P33)/$P$8</f>
        <v>0.79666666666666663</v>
      </c>
      <c r="V36" s="12" t="s">
        <v>269</v>
      </c>
      <c r="W36" s="5"/>
      <c r="X36" s="1252">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5" t="s">
        <v>24</v>
      </c>
      <c r="AM36" s="1946"/>
      <c r="AN36" s="1943">
        <v>1</v>
      </c>
      <c r="AO36" s="1945">
        <v>1</v>
      </c>
      <c r="AP36" s="1946">
        <f>AO36+1</f>
        <v>2</v>
      </c>
      <c r="AQ36" s="1946">
        <f t="shared" ref="AQ36:AW36" si="30">AP36+1</f>
        <v>3</v>
      </c>
      <c r="AR36" s="1946">
        <f t="shared" si="30"/>
        <v>4</v>
      </c>
      <c r="AS36" s="1946">
        <f t="shared" si="30"/>
        <v>5</v>
      </c>
      <c r="AT36" s="1946">
        <f t="shared" si="30"/>
        <v>6</v>
      </c>
      <c r="AU36" s="2053">
        <f t="shared" si="30"/>
        <v>7</v>
      </c>
      <c r="AV36" s="1946">
        <f t="shared" si="30"/>
        <v>8</v>
      </c>
      <c r="AW36" s="1947">
        <f t="shared" si="30"/>
        <v>9</v>
      </c>
      <c r="AX36" s="1947">
        <f t="shared" ref="AX36:BF36" si="31">AW36+1</f>
        <v>10</v>
      </c>
      <c r="AY36" s="1947">
        <f t="shared" si="31"/>
        <v>11</v>
      </c>
      <c r="AZ36" s="1947">
        <f t="shared" si="31"/>
        <v>12</v>
      </c>
      <c r="BA36" s="2061">
        <f t="shared" si="31"/>
        <v>13</v>
      </c>
      <c r="BB36" s="1947">
        <f t="shared" si="31"/>
        <v>14</v>
      </c>
      <c r="BC36" s="1947">
        <f t="shared" si="31"/>
        <v>15</v>
      </c>
      <c r="BD36" s="1947">
        <f t="shared" si="31"/>
        <v>16</v>
      </c>
      <c r="BE36" s="1947">
        <f t="shared" si="31"/>
        <v>17</v>
      </c>
      <c r="BF36" s="1947">
        <f t="shared" si="31"/>
        <v>18</v>
      </c>
      <c r="BG36" s="1947">
        <v>19</v>
      </c>
      <c r="BH36" s="1948">
        <v>20</v>
      </c>
      <c r="BI36" s="1947">
        <f>BH36+1</f>
        <v>21</v>
      </c>
      <c r="BJ36" s="1947">
        <f t="shared" ref="BJ36:BM36" si="32">BI36+1</f>
        <v>22</v>
      </c>
      <c r="BK36" s="1947">
        <f t="shared" si="32"/>
        <v>23</v>
      </c>
      <c r="BL36" s="1947">
        <f t="shared" si="32"/>
        <v>24</v>
      </c>
      <c r="BM36" s="1947">
        <f t="shared" si="32"/>
        <v>25</v>
      </c>
      <c r="BN36" s="1948">
        <f t="shared" ref="BN36" si="33">BM36+1</f>
        <v>26</v>
      </c>
    </row>
    <row r="37" spans="1:66" ht="11.25" customHeight="1" thickBot="1">
      <c r="B37" s="119" t="s">
        <v>5</v>
      </c>
      <c r="C37" s="5"/>
      <c r="D37" s="24">
        <f>E36</f>
        <v>46326</v>
      </c>
      <c r="E37" s="24">
        <f>EOMONTH(D37-1,F37)</f>
        <v>49979</v>
      </c>
      <c r="F37" s="95">
        <v>120</v>
      </c>
      <c r="G37" s="134"/>
      <c r="H37" s="932"/>
      <c r="I37" s="24"/>
      <c r="K37" s="1310">
        <f>P45/SUM($P$41:$P$45)</f>
        <v>0</v>
      </c>
      <c r="L37" s="1092" t="s">
        <v>1017</v>
      </c>
      <c r="M37" s="1632">
        <f t="shared" si="28"/>
        <v>48152</v>
      </c>
      <c r="N37" s="1633">
        <f t="shared" si="28"/>
        <v>49979</v>
      </c>
      <c r="O37" s="1634">
        <f t="shared" si="26"/>
        <v>60</v>
      </c>
      <c r="P37" s="1639">
        <f>P36</f>
        <v>0</v>
      </c>
      <c r="Q37" s="1635">
        <v>5.7000000000000002E-2</v>
      </c>
      <c r="R37" s="1636">
        <v>0</v>
      </c>
      <c r="S37" s="1644">
        <f t="shared" si="25"/>
        <v>5.7000000000000002E-2</v>
      </c>
      <c r="T37" s="1637">
        <f>SUM($P$31,P34,P37)/($U$28*(1+2%)^(SUM(O$35:O36)/12))</f>
        <v>0.58242958802515665</v>
      </c>
      <c r="U37" s="1641">
        <f>SUM($P$31,P37,P34)/$P$8</f>
        <v>0.79666666666666663</v>
      </c>
      <c r="V37" s="12" t="s">
        <v>446</v>
      </c>
      <c r="W37" s="5"/>
      <c r="X37" s="1252">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2" t="s">
        <v>1151</v>
      </c>
      <c r="AN37" s="1940" cm="1">
        <f t="array" ref="AN37">INDEX(AO37:BN37,1,$AN$36)</f>
        <v>0</v>
      </c>
      <c r="AO37" s="1955">
        <v>0</v>
      </c>
      <c r="AP37" s="1949">
        <v>-0.15</v>
      </c>
      <c r="AQ37" s="1949">
        <v>-0.1</v>
      </c>
      <c r="AR37" s="1949">
        <v>-0.05</v>
      </c>
      <c r="AS37" s="1949">
        <v>0.05</v>
      </c>
      <c r="AT37" s="1949">
        <v>0.1</v>
      </c>
      <c r="AU37" s="2054">
        <v>0.15</v>
      </c>
      <c r="AV37" s="1887">
        <f>$AO37</f>
        <v>0</v>
      </c>
      <c r="AW37" s="1905">
        <f t="shared" ref="AW37:BL38" si="36">$AO37</f>
        <v>0</v>
      </c>
      <c r="AX37" s="1905">
        <f t="shared" si="36"/>
        <v>0</v>
      </c>
      <c r="AY37" s="1905">
        <f t="shared" si="36"/>
        <v>0</v>
      </c>
      <c r="AZ37" s="1905">
        <f t="shared" si="36"/>
        <v>0</v>
      </c>
      <c r="BA37" s="2062">
        <f t="shared" si="36"/>
        <v>0</v>
      </c>
      <c r="BB37" s="1905">
        <f t="shared" si="36"/>
        <v>0</v>
      </c>
      <c r="BC37" s="1905">
        <f t="shared" si="36"/>
        <v>0</v>
      </c>
      <c r="BD37" s="1905">
        <f t="shared" si="36"/>
        <v>0</v>
      </c>
      <c r="BE37" s="1905">
        <f t="shared" si="36"/>
        <v>0</v>
      </c>
      <c r="BF37" s="1905">
        <f t="shared" si="36"/>
        <v>0</v>
      </c>
      <c r="BG37" s="1905">
        <f t="shared" si="36"/>
        <v>0</v>
      </c>
      <c r="BH37" s="1950">
        <f t="shared" si="36"/>
        <v>0</v>
      </c>
      <c r="BI37" s="2722">
        <f t="shared" si="36"/>
        <v>0</v>
      </c>
      <c r="BJ37" s="2722">
        <f t="shared" si="36"/>
        <v>0</v>
      </c>
      <c r="BK37" s="2722">
        <f t="shared" si="36"/>
        <v>0</v>
      </c>
      <c r="BL37" s="2722">
        <f t="shared" si="36"/>
        <v>0</v>
      </c>
      <c r="BM37" s="2722">
        <f t="shared" ref="BI37:BN40" si="37">$AO37</f>
        <v>0</v>
      </c>
      <c r="BN37" s="2723">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3">
        <f>(P7+SUM(P9,P11:P16)*TIC!$H$17+'A&amp;R'!P20)*10%</f>
        <v>12856669.630531998</v>
      </c>
      <c r="Q38" s="857">
        <v>4.4999999999999998E-2</v>
      </c>
      <c r="R38" s="25">
        <v>0</v>
      </c>
      <c r="S38" s="25">
        <f t="shared" si="25"/>
        <v>4.4999999999999998E-2</v>
      </c>
      <c r="T38" s="1044" t="s">
        <v>609</v>
      </c>
      <c r="U38" s="1049">
        <v>5000</v>
      </c>
      <c r="V38" s="12" t="s">
        <v>64</v>
      </c>
      <c r="W38" s="5"/>
      <c r="X38" s="1252">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2" t="s">
        <v>1148</v>
      </c>
      <c r="AN38" s="1940" cm="1">
        <f t="array" ref="AN38">INDEX(AO38:BN38,1,$AN$36)</f>
        <v>0</v>
      </c>
      <c r="AO38" s="2230">
        <v>0</v>
      </c>
      <c r="AP38" s="1887">
        <f>$AO38</f>
        <v>0</v>
      </c>
      <c r="AQ38" s="1887">
        <f t="shared" ref="AQ38:BA40" si="38">$AO38</f>
        <v>0</v>
      </c>
      <c r="AR38" s="1887">
        <f t="shared" si="38"/>
        <v>0</v>
      </c>
      <c r="AS38" s="1887">
        <f t="shared" si="38"/>
        <v>0</v>
      </c>
      <c r="AT38" s="1887">
        <f t="shared" si="38"/>
        <v>0</v>
      </c>
      <c r="AU38" s="2055">
        <f t="shared" si="38"/>
        <v>0</v>
      </c>
      <c r="AV38" s="1949">
        <v>0.02</v>
      </c>
      <c r="AW38" s="1951">
        <v>0.04</v>
      </c>
      <c r="AX38" s="1951">
        <v>0.06</v>
      </c>
      <c r="AY38" s="1951">
        <v>0.08</v>
      </c>
      <c r="AZ38" s="1951">
        <v>0.1</v>
      </c>
      <c r="BA38" s="2063">
        <v>0.12</v>
      </c>
      <c r="BB38" s="1905">
        <f t="shared" si="36"/>
        <v>0</v>
      </c>
      <c r="BC38" s="1905">
        <f t="shared" si="36"/>
        <v>0</v>
      </c>
      <c r="BD38" s="1905">
        <f t="shared" si="36"/>
        <v>0</v>
      </c>
      <c r="BE38" s="1905">
        <f t="shared" si="36"/>
        <v>0</v>
      </c>
      <c r="BF38" s="1905">
        <f t="shared" si="36"/>
        <v>0</v>
      </c>
      <c r="BG38" s="1905">
        <f t="shared" si="36"/>
        <v>0</v>
      </c>
      <c r="BH38" s="1950">
        <f t="shared" si="36"/>
        <v>0</v>
      </c>
      <c r="BI38" s="2722">
        <f t="shared" si="37"/>
        <v>0</v>
      </c>
      <c r="BJ38" s="2722">
        <f t="shared" si="37"/>
        <v>0</v>
      </c>
      <c r="BK38" s="2722">
        <f t="shared" si="37"/>
        <v>0</v>
      </c>
      <c r="BL38" s="2722">
        <f t="shared" si="37"/>
        <v>0</v>
      </c>
      <c r="BM38" s="2722">
        <f t="shared" si="37"/>
        <v>0</v>
      </c>
      <c r="BN38" s="2723">
        <f t="shared" si="37"/>
        <v>0</v>
      </c>
    </row>
    <row r="39" spans="1:66" ht="11.25" customHeight="1" thickBot="1">
      <c r="B39" s="119" t="s">
        <v>128</v>
      </c>
      <c r="C39" s="5"/>
      <c r="D39" s="24">
        <f>D35</f>
        <v>46326</v>
      </c>
      <c r="E39" s="24">
        <f>E38</f>
        <v>49979</v>
      </c>
      <c r="F39" s="680">
        <f>DATEDIF(D39-1,E39+1,"M")</f>
        <v>120</v>
      </c>
      <c r="G39" s="54"/>
      <c r="H39" s="24"/>
      <c r="I39" s="24"/>
      <c r="K39" s="1310">
        <v>4.1000000000000002E-2</v>
      </c>
      <c r="L39" s="66" t="s">
        <v>615</v>
      </c>
      <c r="M39" s="67">
        <f>D37</f>
        <v>46326</v>
      </c>
      <c r="N39" s="24">
        <f>N41</f>
        <v>49979</v>
      </c>
      <c r="O39" s="68">
        <f t="shared" si="26"/>
        <v>120</v>
      </c>
      <c r="P39" s="1762">
        <v>0</v>
      </c>
      <c r="Q39" s="857">
        <v>4.4999999999999998E-2</v>
      </c>
      <c r="R39" s="25">
        <v>1.4999999999999999E-2</v>
      </c>
      <c r="S39" s="25">
        <f t="shared" si="25"/>
        <v>4.65E-2</v>
      </c>
      <c r="T39" s="1044" t="s">
        <v>605</v>
      </c>
      <c r="U39" s="1050">
        <v>5000</v>
      </c>
      <c r="V39" s="12" t="s">
        <v>66</v>
      </c>
      <c r="W39" s="5"/>
      <c r="X39" s="1252">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2" t="s">
        <v>1145</v>
      </c>
      <c r="AM39" s="259" t="s">
        <v>1146</v>
      </c>
      <c r="AN39" s="1940" cm="1">
        <f t="array" ref="AN39">INDEX(AO39:BN39,1,$AN$36)</f>
        <v>4.7750000000000001E-2</v>
      </c>
      <c r="AO39" s="2230">
        <f>S112</f>
        <v>4.7750000000000001E-2</v>
      </c>
      <c r="AP39" s="1887">
        <f>$AO39</f>
        <v>4.7750000000000001E-2</v>
      </c>
      <c r="AQ39" s="1887">
        <f t="shared" si="38"/>
        <v>4.7750000000000001E-2</v>
      </c>
      <c r="AR39" s="1887">
        <f t="shared" si="38"/>
        <v>4.7750000000000001E-2</v>
      </c>
      <c r="AS39" s="1887">
        <f t="shared" si="38"/>
        <v>4.7750000000000001E-2</v>
      </c>
      <c r="AT39" s="1887">
        <f t="shared" si="38"/>
        <v>4.7750000000000001E-2</v>
      </c>
      <c r="AU39" s="2055">
        <f t="shared" si="38"/>
        <v>4.7750000000000001E-2</v>
      </c>
      <c r="AV39" s="1887">
        <f t="shared" si="38"/>
        <v>4.7750000000000001E-2</v>
      </c>
      <c r="AW39" s="1905">
        <f t="shared" si="38"/>
        <v>4.7750000000000001E-2</v>
      </c>
      <c r="AX39" s="1905">
        <f t="shared" si="38"/>
        <v>4.7750000000000001E-2</v>
      </c>
      <c r="AY39" s="1905">
        <f t="shared" si="38"/>
        <v>4.7750000000000001E-2</v>
      </c>
      <c r="AZ39" s="1905">
        <f t="shared" si="38"/>
        <v>4.7750000000000001E-2</v>
      </c>
      <c r="BA39" s="2062">
        <f t="shared" si="38"/>
        <v>4.7750000000000001E-2</v>
      </c>
      <c r="BB39" s="1951">
        <f>$AO39+0.2%*(BB$36-13)</f>
        <v>4.9750000000000003E-2</v>
      </c>
      <c r="BC39" s="1951">
        <f t="shared" ref="BC39:BH39" si="39">$AO39+0.2%*(BC$36-13)</f>
        <v>5.1750000000000004E-2</v>
      </c>
      <c r="BD39" s="1951">
        <f t="shared" si="39"/>
        <v>5.3749999999999999E-2</v>
      </c>
      <c r="BE39" s="1951">
        <f t="shared" si="39"/>
        <v>5.5750000000000001E-2</v>
      </c>
      <c r="BF39" s="1951">
        <f t="shared" si="39"/>
        <v>5.7750000000000003E-2</v>
      </c>
      <c r="BG39" s="1951">
        <f t="shared" si="39"/>
        <v>5.9749999999999998E-2</v>
      </c>
      <c r="BH39" s="1952">
        <f t="shared" si="39"/>
        <v>6.1749999999999999E-2</v>
      </c>
      <c r="BI39" s="2722">
        <f t="shared" si="37"/>
        <v>4.7750000000000001E-2</v>
      </c>
      <c r="BJ39" s="2722">
        <f t="shared" si="37"/>
        <v>4.7750000000000001E-2</v>
      </c>
      <c r="BK39" s="2722">
        <f t="shared" si="37"/>
        <v>4.7750000000000001E-2</v>
      </c>
      <c r="BL39" s="2722">
        <f t="shared" si="37"/>
        <v>4.7750000000000001E-2</v>
      </c>
      <c r="BM39" s="2722">
        <f t="shared" si="37"/>
        <v>4.7750000000000001E-2</v>
      </c>
      <c r="BN39" s="2723">
        <f t="shared" si="37"/>
        <v>4.7750000000000001E-2</v>
      </c>
    </row>
    <row r="40" spans="1:66" ht="11.25" customHeight="1">
      <c r="B40" s="6" t="s">
        <v>274</v>
      </c>
      <c r="C40" s="1359"/>
      <c r="D40" s="1360" t="s">
        <v>1082</v>
      </c>
      <c r="E40" s="1360"/>
      <c r="F40" s="1360"/>
      <c r="G40" s="1360"/>
      <c r="H40" s="1810" t="s">
        <v>1083</v>
      </c>
      <c r="I40" s="1811"/>
      <c r="J40" s="1811"/>
      <c r="K40" s="1812"/>
      <c r="L40" s="62" t="s">
        <v>88</v>
      </c>
      <c r="M40" s="70" t="s">
        <v>11</v>
      </c>
      <c r="N40" s="18" t="s">
        <v>18</v>
      </c>
      <c r="O40" s="18" t="s">
        <v>12</v>
      </c>
      <c r="P40" s="18" t="s">
        <v>96</v>
      </c>
      <c r="Q40" s="18" t="s">
        <v>89</v>
      </c>
      <c r="R40" s="18" t="s">
        <v>28</v>
      </c>
      <c r="S40" s="18" t="s">
        <v>450</v>
      </c>
      <c r="T40" s="18" t="s">
        <v>451</v>
      </c>
      <c r="U40" s="18" t="s">
        <v>602</v>
      </c>
      <c r="V40" s="12" t="s">
        <v>69</v>
      </c>
      <c r="W40" s="5"/>
      <c r="X40" s="1252">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5"/>
      <c r="AM40" s="675" t="s">
        <v>1147</v>
      </c>
      <c r="AN40" s="2046" cm="1">
        <f t="array" ref="AN40">INDEX(AO40:BN40,1,$AN$36)</f>
        <v>0.06</v>
      </c>
      <c r="AO40" s="2047">
        <v>0.06</v>
      </c>
      <c r="AP40" s="2048">
        <f t="shared" ref="AP40:BE41" si="40">$AO40</f>
        <v>0.06</v>
      </c>
      <c r="AQ40" s="2048">
        <f t="shared" si="38"/>
        <v>0.06</v>
      </c>
      <c r="AR40" s="2048">
        <f t="shared" si="38"/>
        <v>0.06</v>
      </c>
      <c r="AS40" s="2048">
        <f t="shared" si="38"/>
        <v>0.06</v>
      </c>
      <c r="AT40" s="2048">
        <f t="shared" si="38"/>
        <v>0.06</v>
      </c>
      <c r="AU40" s="2056">
        <f t="shared" si="38"/>
        <v>0.06</v>
      </c>
      <c r="AV40" s="2048">
        <f t="shared" si="38"/>
        <v>0.06</v>
      </c>
      <c r="AW40" s="2049">
        <f t="shared" si="38"/>
        <v>0.06</v>
      </c>
      <c r="AX40" s="2049">
        <f t="shared" si="38"/>
        <v>0.06</v>
      </c>
      <c r="AY40" s="2049">
        <f t="shared" si="38"/>
        <v>0.06</v>
      </c>
      <c r="AZ40" s="2049">
        <f t="shared" si="38"/>
        <v>0.06</v>
      </c>
      <c r="BA40" s="2064">
        <f t="shared" si="38"/>
        <v>0.06</v>
      </c>
      <c r="BB40" s="2050">
        <f t="shared" ref="BB40:BH40" si="41">$AO40+0.2%*(BB$36-13)</f>
        <v>6.2E-2</v>
      </c>
      <c r="BC40" s="2050">
        <f t="shared" si="41"/>
        <v>6.4000000000000001E-2</v>
      </c>
      <c r="BD40" s="2050">
        <f t="shared" si="41"/>
        <v>6.6000000000000003E-2</v>
      </c>
      <c r="BE40" s="2050">
        <f t="shared" si="41"/>
        <v>6.8000000000000005E-2</v>
      </c>
      <c r="BF40" s="2050">
        <f t="shared" si="41"/>
        <v>6.9999999999999993E-2</v>
      </c>
      <c r="BG40" s="2050">
        <f t="shared" si="41"/>
        <v>7.1999999999999995E-2</v>
      </c>
      <c r="BH40" s="2051">
        <f t="shared" si="41"/>
        <v>7.3999999999999996E-2</v>
      </c>
      <c r="BI40" s="2724">
        <f t="shared" si="37"/>
        <v>0.06</v>
      </c>
      <c r="BJ40" s="2724">
        <f t="shared" si="37"/>
        <v>0.06</v>
      </c>
      <c r="BK40" s="2724">
        <f t="shared" si="37"/>
        <v>0.06</v>
      </c>
      <c r="BL40" s="2724">
        <f t="shared" si="37"/>
        <v>0.06</v>
      </c>
      <c r="BM40" s="2724">
        <f t="shared" si="37"/>
        <v>0.06</v>
      </c>
      <c r="BN40" s="2725">
        <f t="shared" si="37"/>
        <v>0.06</v>
      </c>
    </row>
    <row r="41" spans="1:66" ht="11.25" customHeight="1">
      <c r="B41" s="101" t="s">
        <v>24</v>
      </c>
      <c r="C41" s="1364"/>
      <c r="D41" s="285" t="s">
        <v>259</v>
      </c>
      <c r="E41" s="16" t="s">
        <v>261</v>
      </c>
      <c r="F41" s="16" t="s">
        <v>262</v>
      </c>
      <c r="G41" s="16" t="s">
        <v>263</v>
      </c>
      <c r="H41" s="945" t="s">
        <v>260</v>
      </c>
      <c r="I41" s="18" t="s">
        <v>261</v>
      </c>
      <c r="J41" s="18" t="s">
        <v>262</v>
      </c>
      <c r="K41" s="1365" t="s">
        <v>263</v>
      </c>
      <c r="L41" s="32" t="s">
        <v>1082</v>
      </c>
      <c r="M41" s="71">
        <f>$D$37</f>
        <v>46326</v>
      </c>
      <c r="N41" s="72">
        <f>$E$37</f>
        <v>49979</v>
      </c>
      <c r="O41" s="73">
        <f>DATEDIF(M41-1,N41+1,"m")</f>
        <v>120</v>
      </c>
      <c r="P41" s="1098">
        <v>24000000</v>
      </c>
      <c r="Q41" s="33">
        <f>P41</f>
        <v>24000000</v>
      </c>
      <c r="R41" s="1880">
        <f>P41/SUM($P$41:$P$44)</f>
        <v>0.24291497975708501</v>
      </c>
      <c r="S41" s="1385">
        <v>7.0000000000000007E-2</v>
      </c>
      <c r="T41" s="74">
        <v>0</v>
      </c>
      <c r="U41" s="273">
        <v>0.02</v>
      </c>
      <c r="V41" s="47" t="s">
        <v>71</v>
      </c>
      <c r="W41" s="36"/>
      <c r="X41" s="1253">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5" t="s">
        <v>1888</v>
      </c>
      <c r="AM41" s="675"/>
      <c r="AN41" s="2046" cm="1">
        <f t="array" ref="AN41">INDEX(AO41:BN41,1,$AN$36)</f>
        <v>4.8000000000000001E-2</v>
      </c>
      <c r="AO41" s="2726">
        <v>4.8000000000000001E-2</v>
      </c>
      <c r="AP41" s="2727">
        <f t="shared" si="40"/>
        <v>4.8000000000000001E-2</v>
      </c>
      <c r="AQ41" s="2727">
        <f t="shared" si="40"/>
        <v>4.8000000000000001E-2</v>
      </c>
      <c r="AR41" s="2727">
        <f t="shared" si="40"/>
        <v>4.8000000000000001E-2</v>
      </c>
      <c r="AS41" s="2727">
        <f t="shared" si="40"/>
        <v>4.8000000000000001E-2</v>
      </c>
      <c r="AT41" s="2727">
        <f t="shared" si="40"/>
        <v>4.8000000000000001E-2</v>
      </c>
      <c r="AU41" s="2728">
        <f t="shared" si="40"/>
        <v>4.8000000000000001E-2</v>
      </c>
      <c r="AV41" s="2727">
        <f t="shared" si="40"/>
        <v>4.8000000000000001E-2</v>
      </c>
      <c r="AW41" s="2724">
        <f t="shared" si="40"/>
        <v>4.8000000000000001E-2</v>
      </c>
      <c r="AX41" s="2724">
        <f t="shared" si="40"/>
        <v>4.8000000000000001E-2</v>
      </c>
      <c r="AY41" s="2724">
        <f t="shared" si="40"/>
        <v>4.8000000000000001E-2</v>
      </c>
      <c r="AZ41" s="2724">
        <f t="shared" si="40"/>
        <v>4.8000000000000001E-2</v>
      </c>
      <c r="BA41" s="2729">
        <f t="shared" si="40"/>
        <v>4.8000000000000001E-2</v>
      </c>
      <c r="BB41" s="2724">
        <f t="shared" si="40"/>
        <v>4.8000000000000001E-2</v>
      </c>
      <c r="BC41" s="2724">
        <f t="shared" si="40"/>
        <v>4.8000000000000001E-2</v>
      </c>
      <c r="BD41" s="2724">
        <f t="shared" si="40"/>
        <v>4.8000000000000001E-2</v>
      </c>
      <c r="BE41" s="2724">
        <f t="shared" si="40"/>
        <v>4.8000000000000001E-2</v>
      </c>
      <c r="BF41" s="2724">
        <f t="shared" ref="BF41:BH41" si="43">$AO41</f>
        <v>4.8000000000000001E-2</v>
      </c>
      <c r="BG41" s="2724">
        <f t="shared" si="43"/>
        <v>4.8000000000000001E-2</v>
      </c>
      <c r="BH41" s="2725">
        <f t="shared" si="43"/>
        <v>4.8000000000000001E-2</v>
      </c>
      <c r="BI41" s="2050">
        <f>BH41+0.5%</f>
        <v>5.2999999999999999E-2</v>
      </c>
      <c r="BJ41" s="2050">
        <f t="shared" ref="BJ41:BN41" si="44">BI41+0.5%</f>
        <v>5.7999999999999996E-2</v>
      </c>
      <c r="BK41" s="2050">
        <f t="shared" si="44"/>
        <v>6.3E-2</v>
      </c>
      <c r="BL41" s="2050">
        <f t="shared" si="44"/>
        <v>6.8000000000000005E-2</v>
      </c>
      <c r="BM41" s="2050">
        <f t="shared" si="44"/>
        <v>7.3000000000000009E-2</v>
      </c>
      <c r="BN41" s="2051">
        <f t="shared" si="44"/>
        <v>7.8000000000000014E-2</v>
      </c>
    </row>
    <row r="42" spans="1:66" ht="11.25" customHeight="1" thickBot="1">
      <c r="A42" s="1769">
        <f>IFERROR(IFERROR(SUMIF('FS_Detail(M)'!$L$10:$EQ$10,$C42,'FS_Detail(M)'!$L$79:$EQ$79)/COUNTIF('FS_Detail(M)'!$L$10:$EQ$10,'A&amp;R'!$C42),)/H72,)</f>
        <v>0</v>
      </c>
      <c r="B42" s="105"/>
      <c r="C42" s="1366">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7"/>
      <c r="L42" s="5" t="s">
        <v>1085</v>
      </c>
      <c r="M42" s="67">
        <f>$D$37</f>
        <v>46326</v>
      </c>
      <c r="N42" s="24">
        <f>$E$37</f>
        <v>49979</v>
      </c>
      <c r="O42" s="68">
        <f>DATEDIF(M42-1,N42+1,"m")</f>
        <v>120</v>
      </c>
      <c r="P42" s="27">
        <v>50000000</v>
      </c>
      <c r="Q42" s="27">
        <f>P42</f>
        <v>50000000</v>
      </c>
      <c r="R42" s="1881">
        <f>P42/SUM($P$41:$P$44)</f>
        <v>0.50607287449392713</v>
      </c>
      <c r="S42" s="1813">
        <v>7.4999999999999997E-2</v>
      </c>
      <c r="T42" s="25">
        <v>0.2</v>
      </c>
      <c r="U42" s="793">
        <v>0.02</v>
      </c>
      <c r="V42" s="12" t="s">
        <v>73</v>
      </c>
      <c r="W42" s="5"/>
      <c r="X42" s="1252">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2" t="s">
        <v>271</v>
      </c>
      <c r="AN42" s="2041">
        <f>AI33/1000</f>
        <v>58.321485107997873</v>
      </c>
      <c r="AO42" s="2042">
        <v>58.321485107997873</v>
      </c>
      <c r="AP42" s="2043">
        <v>49.573262341798191</v>
      </c>
      <c r="AQ42" s="2043">
        <v>52.48933659719809</v>
      </c>
      <c r="AR42" s="2043">
        <v>55.405410852597988</v>
      </c>
      <c r="AS42" s="2043">
        <v>61.237559363397764</v>
      </c>
      <c r="AT42" s="2043">
        <v>64.15363361879767</v>
      </c>
      <c r="AU42" s="2057">
        <v>67.069707874197562</v>
      </c>
      <c r="AV42" s="2043">
        <v>58.321485107997873</v>
      </c>
      <c r="AW42" s="2043">
        <v>58.321485107997873</v>
      </c>
      <c r="AX42" s="2043">
        <v>58.321485107997873</v>
      </c>
      <c r="AY42" s="2043">
        <v>58.321485107997873</v>
      </c>
      <c r="AZ42" s="2043">
        <v>58.321485107997873</v>
      </c>
      <c r="BA42" s="2057">
        <v>58.321485107997873</v>
      </c>
      <c r="BB42" s="2043">
        <v>58.321485107997873</v>
      </c>
      <c r="BC42" s="2043">
        <v>58.321485107997873</v>
      </c>
      <c r="BD42" s="2043">
        <v>58.321485107997873</v>
      </c>
      <c r="BE42" s="2043">
        <v>58.321485107997873</v>
      </c>
      <c r="BF42" s="2043">
        <v>58.321485107997873</v>
      </c>
      <c r="BG42" s="2043">
        <v>58.321485107997873</v>
      </c>
      <c r="BH42" s="2044">
        <v>58.321485107997873</v>
      </c>
      <c r="BI42" s="2043">
        <v>58.321485107997873</v>
      </c>
      <c r="BJ42" s="2043">
        <v>58.321485107997873</v>
      </c>
      <c r="BK42" s="2043">
        <v>58.321485107997873</v>
      </c>
      <c r="BL42" s="2043">
        <v>58.321485107997873</v>
      </c>
      <c r="BM42" s="2043">
        <v>58.321485107997873</v>
      </c>
      <c r="BN42" s="2044">
        <v>58.321485107997873</v>
      </c>
    </row>
    <row r="43" spans="1:66" ht="11.25" customHeight="1">
      <c r="A43" s="1769">
        <f>IFERROR(IFERROR(SUMIF('FS_Detail(M)'!$L$10:$EQ$10,$C43,'FS_Detail(M)'!$L$79:$EQ$79)/COUNTIF('FS_Detail(M)'!$L$10:$EQ$10,'A&amp;R'!$C43),)/H73,)</f>
        <v>1</v>
      </c>
      <c r="B43" s="870"/>
      <c r="C43" s="1368">
        <f t="shared" ref="C43:C62" si="45">C42+1</f>
        <v>1</v>
      </c>
      <c r="D43" s="1728">
        <f>IFERROR(SUMIF('FS_Detail(M)'!$L$10:$EQ$10,$C43,'FS_Detail(M)'!$L$61:$EQ$61)/COUNTIF('FS_Detail(M)'!$L$10:$EQ$10,'A&amp;R'!$C43),)</f>
        <v>24000000</v>
      </c>
      <c r="E43" s="1729">
        <f ca="1">-SUMIF('CF(M)'!$L$10:$EQ$10,$C43,'CF(M)'!$L$98:$EQ$98)</f>
        <v>840000.00000000012</v>
      </c>
      <c r="F43" s="1729">
        <f>-SUMIF('CF(M)'!$L$10:$EQ$10,$C43,'CF(M)'!$L$99:$EQ$99)</f>
        <v>0</v>
      </c>
      <c r="G43" s="1730">
        <f ca="1">IFERROR(SUM(E43:F43)/D43*(12/6),)</f>
        <v>7.0000000000000007E-2</v>
      </c>
      <c r="H43" s="1671">
        <f>IFERROR(SUMIF('FS_Detail(M)'!$L$10:$EQ$10,$C43,'FS_Detail(M)'!$L$66:$EQ$66)/COUNTIF('FS_Detail(M)'!$L$10:$EQ$10,'A&amp;R'!$C43),)</f>
        <v>50000000</v>
      </c>
      <c r="I43" s="1671">
        <f ca="1">-SUMIF('CF(M)'!$L$10:$EQ$10,$C43,'CF(M)'!$L$103:$EQ$103)</f>
        <v>1875000</v>
      </c>
      <c r="J43" s="1671">
        <f>-SUMIF('CF(M)'!$L$10:$EQ$10,$C43,'CF(M)'!$L$104:$EQ$104)</f>
        <v>0</v>
      </c>
      <c r="K43" s="1726">
        <f ca="1">IFERROR(SUM(I43:J43)/H43*(12/6),)</f>
        <v>7.4999999999999997E-2</v>
      </c>
      <c r="L43" s="1793" t="s">
        <v>1084</v>
      </c>
      <c r="M43" s="67">
        <f>$D$37</f>
        <v>46326</v>
      </c>
      <c r="N43" s="24">
        <f>EOMONTH(M43-1,O43)</f>
        <v>47057</v>
      </c>
      <c r="O43" s="278">
        <v>24</v>
      </c>
      <c r="P43" s="27">
        <v>10000000</v>
      </c>
      <c r="Q43" s="27">
        <f>P43</f>
        <v>10000000</v>
      </c>
      <c r="R43" s="1881">
        <f>P43/SUM($P$41:$P$44)</f>
        <v>0.10121457489878542</v>
      </c>
      <c r="S43" s="25">
        <v>0</v>
      </c>
      <c r="T43" s="25">
        <v>0</v>
      </c>
      <c r="U43" s="1794">
        <v>0</v>
      </c>
      <c r="V43" s="12" t="s">
        <v>75</v>
      </c>
      <c r="W43" s="5"/>
      <c r="X43" s="1252">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2" t="s">
        <v>694</v>
      </c>
      <c r="AM43" s="259" t="s">
        <v>1116</v>
      </c>
      <c r="AN43" s="1940">
        <f ca="1">BD81</f>
        <v>7.122499999999965E-2</v>
      </c>
      <c r="AO43" s="1955">
        <v>7.122499999999965E-2</v>
      </c>
      <c r="AP43" s="1887">
        <v>7.122499999999965E-2</v>
      </c>
      <c r="AQ43" s="1887">
        <v>7.122499999999965E-2</v>
      </c>
      <c r="AR43" s="1887">
        <v>7.122499999999965E-2</v>
      </c>
      <c r="AS43" s="1887">
        <v>7.122499999999965E-2</v>
      </c>
      <c r="AT43" s="1887">
        <v>7.122499999999965E-2</v>
      </c>
      <c r="AU43" s="2055">
        <v>7.122499999999965E-2</v>
      </c>
      <c r="AV43" s="1887">
        <v>7.122499999999965E-2</v>
      </c>
      <c r="AW43" s="1887">
        <v>7.122499999999965E-2</v>
      </c>
      <c r="AX43" s="1887">
        <v>7.122499999999965E-2</v>
      </c>
      <c r="AY43" s="1887">
        <v>7.122499999999965E-2</v>
      </c>
      <c r="AZ43" s="1887">
        <v>7.122499999999965E-2</v>
      </c>
      <c r="BA43" s="2055">
        <v>7.102990812886012E-2</v>
      </c>
      <c r="BB43" s="1887">
        <v>7.122499999999965E-2</v>
      </c>
      <c r="BC43" s="1887">
        <v>7.122499999999965E-2</v>
      </c>
      <c r="BD43" s="1887">
        <v>7.122499999999965E-2</v>
      </c>
      <c r="BE43" s="1887">
        <v>7.122499999999965E-2</v>
      </c>
      <c r="BF43" s="1887">
        <v>7.122499999999965E-2</v>
      </c>
      <c r="BG43" s="1887">
        <v>7.1171411039087085E-2</v>
      </c>
      <c r="BH43" s="1959">
        <v>7.1061821313548545E-2</v>
      </c>
      <c r="BI43" s="1887">
        <v>7.122499999999965E-2</v>
      </c>
      <c r="BJ43" s="1887">
        <v>7.1218293699611079E-2</v>
      </c>
      <c r="BK43" s="1887">
        <v>7.078127957399083E-2</v>
      </c>
      <c r="BL43" s="1887">
        <v>6.9222959269739315E-2</v>
      </c>
      <c r="BM43" s="1887">
        <v>6.8205355357688013E-2</v>
      </c>
      <c r="BN43" s="1959">
        <v>6.7211637917608202E-2</v>
      </c>
    </row>
    <row r="44" spans="1:66" ht="11.25" customHeight="1" thickBot="1">
      <c r="A44" s="1769">
        <f>IFERROR(IFERROR(SUMIF('FS_Detail(M)'!$L$10:$EQ$10,$C44,'FS_Detail(M)'!$L$79:$EQ$79)/COUNTIF('FS_Detail(M)'!$L$10:$EQ$10,'A&amp;R'!$C44),)/H74,)</f>
        <v>1</v>
      </c>
      <c r="B44" s="99"/>
      <c r="C44" s="1368">
        <f t="shared" si="45"/>
        <v>2</v>
      </c>
      <c r="D44" s="1731">
        <f>IFERROR(SUMIF('FS_Detail(M)'!$L$10:$EQ$10,$C44,'FS_Detail(M)'!$L$61:$EQ$61)/COUNTIF('FS_Detail(M)'!$L$10:$EQ$10,'A&amp;R'!$C44),)</f>
        <v>24000000</v>
      </c>
      <c r="E44" s="1732">
        <f ca="1">-SUMIF('CF(M)'!$L$10:$EQ$10,$C44,'CF(M)'!$L$98:$EQ$98)</f>
        <v>840000.00000000012</v>
      </c>
      <c r="F44" s="1732">
        <f>-SUMIF('CF(M)'!$L$10:$EQ$10,$C44,'CF(M)'!$L$99:$EQ$99)</f>
        <v>0</v>
      </c>
      <c r="G44" s="1733">
        <f t="shared" ref="G44:G62" ca="1" si="46">IFERROR(SUM(E44:F44)/D44*(12/6),)</f>
        <v>7.0000000000000007E-2</v>
      </c>
      <c r="H44" s="1673">
        <f>IFERROR(SUMIF('FS_Detail(M)'!$L$10:$EQ$10,$C44,'FS_Detail(M)'!$L$66:$EQ$66)/COUNTIF('FS_Detail(M)'!$L$10:$EQ$10,'A&amp;R'!$C44),)</f>
        <v>50000000</v>
      </c>
      <c r="I44" s="1673">
        <f ca="1">-SUMIF('CF(M)'!$L$10:$EQ$10,$C44,'CF(M)'!$L$103:$EQ$103)</f>
        <v>1875000</v>
      </c>
      <c r="J44" s="1673">
        <f>-SUMIF('CF(M)'!$L$10:$EQ$10,$C44,'CF(M)'!$L$104:$EQ$104)</f>
        <v>0</v>
      </c>
      <c r="K44" s="1727">
        <f t="shared" ref="K44:K62" ca="1" si="47">IFERROR(SUM(I44:J44)/H44*(12/6),)</f>
        <v>7.4999999999999997E-2</v>
      </c>
      <c r="L44" s="1795" t="s">
        <v>1024</v>
      </c>
      <c r="M44" s="1796">
        <f>D39</f>
        <v>46326</v>
      </c>
      <c r="N44" s="1797">
        <f>E39</f>
        <v>49979</v>
      </c>
      <c r="O44" s="1798">
        <f>DATEDIF(M44-1,N44+1,"m")</f>
        <v>120</v>
      </c>
      <c r="P44" s="1799">
        <f>T13-P32-P41-P39-P35-P31-P45-P42-P43</f>
        <v>14800000</v>
      </c>
      <c r="Q44" s="1799">
        <f>P44</f>
        <v>14800000</v>
      </c>
      <c r="R44" s="1882">
        <f>P44/SUM($P$41:$P$44)</f>
        <v>0.14979757085020243</v>
      </c>
      <c r="S44" s="1801"/>
      <c r="T44" s="1800">
        <f>1-T41-T42-T43</f>
        <v>0.8</v>
      </c>
      <c r="U44" s="1802">
        <v>1.4E-2</v>
      </c>
      <c r="V44" s="12" t="s">
        <v>78</v>
      </c>
      <c r="W44" s="5"/>
      <c r="X44" s="1252">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2"/>
      <c r="AM44" s="259" t="s">
        <v>1117</v>
      </c>
      <c r="AN44" s="1940">
        <f ca="1">BD82</f>
        <v>9.2431551034658277E-2</v>
      </c>
      <c r="AO44" s="1955">
        <v>9.2431551034658277E-2</v>
      </c>
      <c r="AP44" s="1887">
        <v>7.480826378550498E-2</v>
      </c>
      <c r="AQ44" s="1887">
        <v>8.1178036181138724E-2</v>
      </c>
      <c r="AR44" s="1887">
        <v>8.7084483609695118E-2</v>
      </c>
      <c r="AS44" s="1887">
        <v>9.747188761077008E-2</v>
      </c>
      <c r="AT44" s="1887">
        <v>0.10219894330578883</v>
      </c>
      <c r="AU44" s="2055">
        <v>0.10609039661465514</v>
      </c>
      <c r="AV44" s="1887">
        <v>8.9074240167156704E-2</v>
      </c>
      <c r="AW44" s="1887">
        <v>8.496388775545749E-2</v>
      </c>
      <c r="AX44" s="1887">
        <v>8.0827873055221655E-2</v>
      </c>
      <c r="AY44" s="1887">
        <v>7.6537795320307245E-2</v>
      </c>
      <c r="AZ44" s="1887">
        <v>7.2054238683268323E-2</v>
      </c>
      <c r="BA44" s="2055">
        <v>6.7710609850734294E-2</v>
      </c>
      <c r="BB44" s="1887">
        <v>9.2186163502107288E-2</v>
      </c>
      <c r="BC44" s="1887">
        <v>9.1870127664643197E-2</v>
      </c>
      <c r="BD44" s="1887">
        <v>9.1416388931911507E-2</v>
      </c>
      <c r="BE44" s="1887">
        <v>9.0494166303934254E-2</v>
      </c>
      <c r="BF44" s="1887">
        <v>8.9500986069670274E-2</v>
      </c>
      <c r="BG44" s="1887">
        <v>8.8506108866873046E-2</v>
      </c>
      <c r="BH44" s="1959">
        <v>8.7550473408644747E-2</v>
      </c>
      <c r="BI44" s="1887">
        <v>8.970891575382689E-2</v>
      </c>
      <c r="BJ44" s="1887">
        <v>8.6280416310697827E-2</v>
      </c>
      <c r="BK44" s="1887">
        <v>8.3150917248576262E-2</v>
      </c>
      <c r="BL44" s="1887">
        <v>8.0707229747482234E-2</v>
      </c>
      <c r="BM44" s="1887">
        <v>7.8634742352302389E-2</v>
      </c>
      <c r="BN44" s="1959">
        <v>7.6823642927469349E-2</v>
      </c>
    </row>
    <row r="45" spans="1:66" ht="11.25" customHeight="1">
      <c r="A45" s="1769">
        <f>IFERROR(IFERROR(SUMIF('FS_Detail(M)'!$L$10:$EQ$10,$C45,'FS_Detail(M)'!$L$79:$EQ$79)/COUNTIF('FS_Detail(M)'!$L$10:$EQ$10,'A&amp;R'!$C45),)/H75,)</f>
        <v>1</v>
      </c>
      <c r="B45" s="99"/>
      <c r="C45" s="1368">
        <f t="shared" si="45"/>
        <v>3</v>
      </c>
      <c r="D45" s="836">
        <f>IFERROR(SUMIF('FS_Detail(M)'!$L$10:$EQ$10,$C45,'FS_Detail(M)'!$L$61:$EQ$61)/COUNTIF('FS_Detail(M)'!$L$10:$EQ$10,'A&amp;R'!$C45),)</f>
        <v>24000000</v>
      </c>
      <c r="E45" s="13">
        <f ca="1">-SUMIF('CF(M)'!$L$10:$EQ$10,$C45,'CF(M)'!$L$98:$EQ$98)</f>
        <v>840000.00000000012</v>
      </c>
      <c r="F45" s="13">
        <f>-SUMIF('CF(M)'!$L$10:$EQ$10,$C45,'CF(M)'!$L$99:$EQ$99)</f>
        <v>0</v>
      </c>
      <c r="G45" s="1369">
        <f t="shared" ca="1" si="46"/>
        <v>7.0000000000000007E-2</v>
      </c>
      <c r="H45" s="1672">
        <f>IFERROR(SUMIF('FS_Detail(M)'!$L$10:$EQ$10,$C45,'FS_Detail(M)'!$L$66:$EQ$66)/COUNTIF('FS_Detail(M)'!$L$10:$EQ$10,'A&amp;R'!$C45),)</f>
        <v>50000000</v>
      </c>
      <c r="I45" s="1673">
        <f ca="1">-SUMIF('CF(M)'!$L$10:$EQ$10,$C45,'CF(M)'!$L$103:$EQ$103)</f>
        <v>1875000</v>
      </c>
      <c r="J45" s="1673">
        <f>-SUMIF('CF(M)'!$L$10:$EQ$10,$C45,'CF(M)'!$L$104:$EQ$104)</f>
        <v>0</v>
      </c>
      <c r="K45" s="1705">
        <f t="shared" ca="1" si="47"/>
        <v>7.4999999999999997E-2</v>
      </c>
      <c r="L45" s="1803" t="s">
        <v>1086</v>
      </c>
      <c r="M45" s="76">
        <f>M32</f>
        <v>46326</v>
      </c>
      <c r="N45" s="77">
        <f>EOMONTH(M45-1,O45)</f>
        <v>47057</v>
      </c>
      <c r="O45" s="78">
        <f>SUM(O32)</f>
        <v>24</v>
      </c>
      <c r="P45" s="1804">
        <v>0</v>
      </c>
      <c r="Q45" s="135">
        <f>P45</f>
        <v>0</v>
      </c>
      <c r="R45" s="856"/>
      <c r="S45" s="79">
        <v>0</v>
      </c>
      <c r="T45" s="856">
        <v>0</v>
      </c>
      <c r="U45" s="1805">
        <v>0</v>
      </c>
      <c r="V45" s="12" t="s">
        <v>80</v>
      </c>
      <c r="W45" s="5"/>
      <c r="X45" s="1252">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2"/>
      <c r="AM45" s="259" t="s">
        <v>1118</v>
      </c>
      <c r="AN45" s="1940">
        <f>BD83</f>
        <v>0</v>
      </c>
      <c r="AO45" s="1955">
        <v>0</v>
      </c>
      <c r="AP45" s="1887">
        <v>0</v>
      </c>
      <c r="AQ45" s="1887">
        <v>0</v>
      </c>
      <c r="AR45" s="1887">
        <v>0</v>
      </c>
      <c r="AS45" s="1887">
        <v>0</v>
      </c>
      <c r="AT45" s="1887">
        <v>0</v>
      </c>
      <c r="AU45" s="2055">
        <v>0</v>
      </c>
      <c r="AV45" s="1887">
        <v>0</v>
      </c>
      <c r="AW45" s="1887">
        <v>0</v>
      </c>
      <c r="AX45" s="1887">
        <v>0</v>
      </c>
      <c r="AY45" s="1887">
        <v>0</v>
      </c>
      <c r="AZ45" s="1887">
        <v>0</v>
      </c>
      <c r="BA45" s="2055">
        <v>0</v>
      </c>
      <c r="BB45" s="1887">
        <v>0</v>
      </c>
      <c r="BC45" s="1887">
        <v>0</v>
      </c>
      <c r="BD45" s="1887">
        <v>0</v>
      </c>
      <c r="BE45" s="1887">
        <v>0</v>
      </c>
      <c r="BF45" s="1887">
        <v>0</v>
      </c>
      <c r="BG45" s="1887">
        <v>0</v>
      </c>
      <c r="BH45" s="1959">
        <v>0</v>
      </c>
      <c r="BI45" s="1887">
        <v>0</v>
      </c>
      <c r="BJ45" s="1887">
        <v>0</v>
      </c>
      <c r="BK45" s="1887">
        <v>0</v>
      </c>
      <c r="BL45" s="1887">
        <v>0</v>
      </c>
      <c r="BM45" s="1887">
        <v>0</v>
      </c>
      <c r="BN45" s="1959">
        <v>0</v>
      </c>
    </row>
    <row r="46" spans="1:66" ht="11.25" customHeight="1">
      <c r="A46" s="1769">
        <f>IFERROR(IFERROR(SUMIF('FS_Detail(M)'!$L$10:$EQ$10,$C46,'FS_Detail(M)'!$L$79:$EQ$79)/COUNTIF('FS_Detail(M)'!$L$10:$EQ$10,'A&amp;R'!$C46),)/H76,)</f>
        <v>1</v>
      </c>
      <c r="B46" s="99"/>
      <c r="C46" s="1368">
        <f t="shared" si="45"/>
        <v>4</v>
      </c>
      <c r="D46" s="836">
        <f>IFERROR(SUMIF('FS_Detail(M)'!$L$10:$EQ$10,$C46,'FS_Detail(M)'!$L$61:$EQ$61)/COUNTIF('FS_Detail(M)'!$L$10:$EQ$10,'A&amp;R'!$C46),)</f>
        <v>24000000</v>
      </c>
      <c r="E46" s="13">
        <f ca="1">-SUMIF('CF(M)'!$L$10:$EQ$10,$C46,'CF(M)'!$L$98:$EQ$98)</f>
        <v>840000.00000000012</v>
      </c>
      <c r="F46" s="13">
        <f>-SUMIF('CF(M)'!$L$10:$EQ$10,$C46,'CF(M)'!$L$99:$EQ$99)</f>
        <v>0</v>
      </c>
      <c r="G46" s="1369">
        <f t="shared" ca="1" si="46"/>
        <v>7.0000000000000007E-2</v>
      </c>
      <c r="H46" s="1672">
        <f>IFERROR(SUMIF('FS_Detail(M)'!$L$10:$EQ$10,$C46,'FS_Detail(M)'!$L$66:$EQ$66)/COUNTIF('FS_Detail(M)'!$L$10:$EQ$10,'A&amp;R'!$C46),)</f>
        <v>50000000</v>
      </c>
      <c r="I46" s="1673">
        <f ca="1">-SUMIF('CF(M)'!$L$10:$EQ$10,$C46,'CF(M)'!$L$103:$EQ$103)</f>
        <v>1875000</v>
      </c>
      <c r="J46" s="1673">
        <f>-SUMIF('CF(M)'!$L$10:$EQ$10,$C46,'CF(M)'!$L$104:$EQ$104)</f>
        <v>0</v>
      </c>
      <c r="K46" s="1705">
        <f t="shared" ca="1" si="47"/>
        <v>7.4999999999999997E-2</v>
      </c>
      <c r="L46" s="7" t="s">
        <v>105</v>
      </c>
      <c r="M46" s="7"/>
      <c r="N46" s="7"/>
      <c r="O46" s="7"/>
      <c r="P46" s="7"/>
      <c r="Q46" s="7"/>
      <c r="R46" s="7"/>
      <c r="S46" s="7"/>
      <c r="T46" s="7"/>
      <c r="U46" s="7"/>
      <c r="V46" s="12" t="s">
        <v>83</v>
      </c>
      <c r="W46" s="5"/>
      <c r="X46" s="1252">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2"/>
      <c r="AM46" s="259" t="s">
        <v>225</v>
      </c>
      <c r="AN46" s="1940">
        <f ca="1">BD84</f>
        <v>0.16438586395039967</v>
      </c>
      <c r="AO46" s="1955">
        <v>0.16438586395039967</v>
      </c>
      <c r="AP46" s="1887">
        <v>-1.6472791432630141E-3</v>
      </c>
      <c r="AQ46" s="1887">
        <v>8.1119895795661368E-2</v>
      </c>
      <c r="AR46" s="1887">
        <v>0.1294957505348211</v>
      </c>
      <c r="AS46" s="1887">
        <v>0.19181680502850984</v>
      </c>
      <c r="AT46" s="1887">
        <v>0.2145860765382992</v>
      </c>
      <c r="AU46" s="2055">
        <v>0.23476570153328402</v>
      </c>
      <c r="AV46" s="1887">
        <v>0.14584193293003511</v>
      </c>
      <c r="AW46" s="1887">
        <v>0.12540918912420818</v>
      </c>
      <c r="AX46" s="1887">
        <v>0.10194424447774342</v>
      </c>
      <c r="AY46" s="1887">
        <v>7.4486387589138836E-2</v>
      </c>
      <c r="AZ46" s="1887">
        <v>4.0207490912293142E-2</v>
      </c>
      <c r="BA46" s="2055">
        <v>-8.8226804699635952E-3</v>
      </c>
      <c r="BB46" s="1887">
        <v>0.16070911093588958</v>
      </c>
      <c r="BC46" s="1887">
        <v>0.15712702940326362</v>
      </c>
      <c r="BD46" s="1887">
        <v>0.1540624323766604</v>
      </c>
      <c r="BE46" s="1887">
        <v>0.15272054596714058</v>
      </c>
      <c r="BF46" s="1887">
        <v>0.15140263735954695</v>
      </c>
      <c r="BG46" s="1887">
        <v>0.15009528896727509</v>
      </c>
      <c r="BH46" s="1959">
        <v>0.14878103982436475</v>
      </c>
      <c r="BI46" s="1887">
        <v>0.1591577589183768</v>
      </c>
      <c r="BJ46" s="1887">
        <v>0.15412338698742434</v>
      </c>
      <c r="BK46" s="1887">
        <v>0.14891088390102558</v>
      </c>
      <c r="BL46" s="1887">
        <v>0.14346528576652395</v>
      </c>
      <c r="BM46" s="1887">
        <v>0.13745277955564039</v>
      </c>
      <c r="BN46" s="1959">
        <v>0.13098444296773382</v>
      </c>
    </row>
    <row r="47" spans="1:66" ht="11.25" customHeight="1">
      <c r="A47" s="1769">
        <f>IFERROR(IFERROR(SUMIF('FS_Detail(M)'!$L$10:$EQ$10,$C47,'FS_Detail(M)'!$L$79:$EQ$79)/COUNTIF('FS_Detail(M)'!$L$10:$EQ$10,'A&amp;R'!$C47),)/H77,)</f>
        <v>1</v>
      </c>
      <c r="B47" s="99"/>
      <c r="C47" s="1368">
        <f t="shared" si="45"/>
        <v>5</v>
      </c>
      <c r="D47" s="836">
        <f>IFERROR(SUMIF('FS_Detail(M)'!$L$10:$EQ$10,$C47,'FS_Detail(M)'!$L$61:$EQ$61)/COUNTIF('FS_Detail(M)'!$L$10:$EQ$10,'A&amp;R'!$C47),)</f>
        <v>24000000</v>
      </c>
      <c r="E47" s="13">
        <f ca="1">-SUMIF('CF(M)'!$L$10:$EQ$10,$C47,'CF(M)'!$L$98:$EQ$98)</f>
        <v>840000.00000000012</v>
      </c>
      <c r="F47" s="13">
        <f>-SUMIF('CF(M)'!$L$10:$EQ$10,$C47,'CF(M)'!$L$99:$EQ$99)</f>
        <v>0</v>
      </c>
      <c r="G47" s="1369">
        <f t="shared" ca="1" si="46"/>
        <v>7.0000000000000007E-2</v>
      </c>
      <c r="H47" s="1672">
        <f>IFERROR(SUMIF('FS_Detail(M)'!$L$10:$EQ$10,$C47,'FS_Detail(M)'!$L$66:$EQ$66)/COUNTIF('FS_Detail(M)'!$L$10:$EQ$10,'A&amp;R'!$C47),)</f>
        <v>50000000</v>
      </c>
      <c r="I47" s="1673">
        <f ca="1">-SUMIF('CF(M)'!$L$10:$EQ$10,$C47,'CF(M)'!$L$103:$EQ$103)</f>
        <v>1875000</v>
      </c>
      <c r="J47" s="1673">
        <f>-SUMIF('CF(M)'!$L$10:$EQ$10,$C47,'CF(M)'!$L$104:$EQ$104)</f>
        <v>0</v>
      </c>
      <c r="K47" s="1705">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2">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2"/>
      <c r="AM47" s="259" t="s">
        <v>1126</v>
      </c>
      <c r="AN47" s="1940">
        <f ca="1">BD85</f>
        <v>0.10338270163662822</v>
      </c>
      <c r="AO47" s="1955">
        <v>0.10338270163662822</v>
      </c>
      <c r="AP47" s="1887">
        <v>6.004916109955305E-2</v>
      </c>
      <c r="AQ47" s="1887">
        <v>7.6499522188419267E-2</v>
      </c>
      <c r="AR47" s="1887">
        <v>9.0799173395823995E-2</v>
      </c>
      <c r="AS47" s="1887">
        <v>0.1146642546741421</v>
      </c>
      <c r="AT47" s="1887">
        <v>0.12490668847220299</v>
      </c>
      <c r="AU47" s="2055">
        <v>0.13431942965020993</v>
      </c>
      <c r="AV47" s="1887">
        <v>9.644973287291192E-2</v>
      </c>
      <c r="AW47" s="1887">
        <v>8.8929984625462088E-2</v>
      </c>
      <c r="AX47" s="1887">
        <v>8.1075159005310038E-2</v>
      </c>
      <c r="AY47" s="1887">
        <v>7.2865836415147101E-2</v>
      </c>
      <c r="AZ47" s="1887">
        <v>6.4273742296912628E-2</v>
      </c>
      <c r="BA47" s="2055">
        <v>5.5222159709774399E-2</v>
      </c>
      <c r="BB47" s="1887">
        <v>0.10247181232277125</v>
      </c>
      <c r="BC47" s="1887">
        <v>0.10153459491307992</v>
      </c>
      <c r="BD47" s="1887">
        <v>0.10060506465423047</v>
      </c>
      <c r="BE47" s="1887">
        <v>9.9718236724021692E-2</v>
      </c>
      <c r="BF47" s="1887">
        <v>9.880101434252242E-2</v>
      </c>
      <c r="BG47" s="1887">
        <v>9.7870319456340171E-2</v>
      </c>
      <c r="BH47" s="1959">
        <v>9.6943156222570437E-2</v>
      </c>
      <c r="BI47" s="1887">
        <v>0.10037642522132861</v>
      </c>
      <c r="BJ47" s="1887">
        <v>9.705816290057534E-2</v>
      </c>
      <c r="BK47" s="1887">
        <v>9.3738831339837736E-2</v>
      </c>
      <c r="BL47" s="1887">
        <v>9.0454576652012175E-2</v>
      </c>
      <c r="BM47" s="1887">
        <v>8.7433140284492339E-2</v>
      </c>
      <c r="BN47" s="1959">
        <v>8.4501194406697122E-2</v>
      </c>
    </row>
    <row r="48" spans="1:66" ht="11.25" customHeight="1" thickBot="1">
      <c r="A48" s="1769">
        <f>IFERROR(IFERROR(SUMIF('FS_Detail(M)'!$L$10:$EQ$10,$C48,'FS_Detail(M)'!$L$79:$EQ$79)/COUNTIF('FS_Detail(M)'!$L$10:$EQ$10,'A&amp;R'!$C48),)/H78,)</f>
        <v>1</v>
      </c>
      <c r="B48" s="99"/>
      <c r="C48" s="1368">
        <f t="shared" si="45"/>
        <v>6</v>
      </c>
      <c r="D48" s="836">
        <f>IFERROR(SUMIF('FS_Detail(M)'!$L$10:$EQ$10,$C48,'FS_Detail(M)'!$L$61:$EQ$61)/COUNTIF('FS_Detail(M)'!$L$10:$EQ$10,'A&amp;R'!$C48),)</f>
        <v>24000000</v>
      </c>
      <c r="E48" s="13">
        <f ca="1">-SUMIF('CF(M)'!$L$10:$EQ$10,$C48,'CF(M)'!$L$98:$EQ$98)</f>
        <v>840000.00000000012</v>
      </c>
      <c r="F48" s="13">
        <f>-SUMIF('CF(M)'!$L$10:$EQ$10,$C48,'CF(M)'!$L$99:$EQ$99)</f>
        <v>0</v>
      </c>
      <c r="G48" s="1369">
        <f t="shared" ca="1" si="46"/>
        <v>7.0000000000000007E-2</v>
      </c>
      <c r="H48" s="1674">
        <f>IFERROR(SUMIF('FS_Detail(M)'!$L$10:$EQ$10,$C48,'FS_Detail(M)'!$L$66:$EQ$66)/COUNTIF('FS_Detail(M)'!$L$10:$EQ$10,'A&amp;R'!$C48),)</f>
        <v>50000000</v>
      </c>
      <c r="I48" s="1675">
        <f ca="1">-SUMIF('CF(M)'!$L$10:$EQ$10,$C48,'CF(M)'!$L$103:$EQ$103)</f>
        <v>1875000</v>
      </c>
      <c r="J48" s="1675">
        <f>-SUMIF('CF(M)'!$L$10:$EQ$10,$C48,'CF(M)'!$L$104:$EQ$104)</f>
        <v>0</v>
      </c>
      <c r="K48" s="1706">
        <f t="shared" ca="1" si="47"/>
        <v>7.4999999999999997E-2</v>
      </c>
      <c r="L48" s="679" t="s">
        <v>114</v>
      </c>
      <c r="M48" s="85"/>
      <c r="N48" s="86">
        <v>1</v>
      </c>
      <c r="O48" s="86">
        <v>1</v>
      </c>
      <c r="P48" s="86">
        <v>1</v>
      </c>
      <c r="Q48" s="86">
        <v>1</v>
      </c>
      <c r="R48" s="86">
        <v>1</v>
      </c>
      <c r="S48" s="86">
        <v>0</v>
      </c>
      <c r="T48" s="87"/>
      <c r="U48" s="274"/>
      <c r="V48" s="12" t="s">
        <v>91</v>
      </c>
      <c r="W48" s="5"/>
      <c r="X48" s="1252">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3" t="s">
        <v>1248</v>
      </c>
      <c r="AM48" s="2114" t="s">
        <v>1135</v>
      </c>
      <c r="AN48" s="2115">
        <f>MIN('DSCR(선,중)'!F33:M33)</f>
        <v>1.6366367583310473</v>
      </c>
      <c r="AO48" s="2116">
        <v>1.6366367583310473</v>
      </c>
      <c r="AP48" s="2117">
        <v>1.6366367583310473</v>
      </c>
      <c r="AQ48" s="2117">
        <v>1.6366367583310473</v>
      </c>
      <c r="AR48" s="2117">
        <v>1.6366367583310473</v>
      </c>
      <c r="AS48" s="2117">
        <v>1.6366367583310473</v>
      </c>
      <c r="AT48" s="2117">
        <v>1.6366367583310473</v>
      </c>
      <c r="AU48" s="2118">
        <v>1.6366367583310473</v>
      </c>
      <c r="AV48" s="2117">
        <v>1.5984644455397514</v>
      </c>
      <c r="AW48" s="2117">
        <v>1.5602921327484554</v>
      </c>
      <c r="AX48" s="2117">
        <v>1.5221198199571591</v>
      </c>
      <c r="AY48" s="2117">
        <v>1.4839475071658643</v>
      </c>
      <c r="AZ48" s="2117">
        <v>1.4457751943745685</v>
      </c>
      <c r="BA48" s="2118">
        <v>1.4076028815832722</v>
      </c>
      <c r="BB48" s="2117">
        <v>1.5708423157850755</v>
      </c>
      <c r="BC48" s="2117">
        <v>1.5101334340156036</v>
      </c>
      <c r="BD48" s="2117">
        <v>1.453942422517349</v>
      </c>
      <c r="BE48" s="2117">
        <v>1.4017830530996862</v>
      </c>
      <c r="BF48" s="2117">
        <v>1.3532364538581387</v>
      </c>
      <c r="BG48" s="2117">
        <v>1.3079398361557741</v>
      </c>
      <c r="BH48" s="2119">
        <v>1.2655774123126722</v>
      </c>
      <c r="BI48" s="2117">
        <v>1.6366367583310473</v>
      </c>
      <c r="BJ48" s="2117">
        <v>1.6366367583310473</v>
      </c>
      <c r="BK48" s="2117">
        <v>1.6366367583310473</v>
      </c>
      <c r="BL48" s="2117">
        <v>1.6366367583310473</v>
      </c>
      <c r="BM48" s="2117">
        <v>1.6366367583310473</v>
      </c>
      <c r="BN48" s="2119">
        <v>1.6366367583310473</v>
      </c>
    </row>
    <row r="49" spans="1:66" ht="11.25" customHeight="1">
      <c r="A49" s="1769">
        <f>IFERROR(IFERROR(SUMIF('FS_Detail(M)'!$L$10:$EQ$10,$C49,'FS_Detail(M)'!$L$79:$EQ$79)/COUNTIF('FS_Detail(M)'!$L$10:$EQ$10,'A&amp;R'!$C49),)/H79,)</f>
        <v>1</v>
      </c>
      <c r="B49" s="99"/>
      <c r="C49" s="1368">
        <f t="shared" si="45"/>
        <v>7</v>
      </c>
      <c r="D49" s="836">
        <f>IFERROR(SUMIF('FS_Detail(M)'!$L$10:$EQ$10,$C49,'FS_Detail(M)'!$L$61:$EQ$61)/COUNTIF('FS_Detail(M)'!$L$10:$EQ$10,'A&amp;R'!$C49),)</f>
        <v>24000000</v>
      </c>
      <c r="E49" s="13">
        <f ca="1">-SUMIF('CF(M)'!$L$10:$EQ$10,$C49,'CF(M)'!$L$98:$EQ$98)</f>
        <v>840000.00000000012</v>
      </c>
      <c r="F49" s="13">
        <f>-SUMIF('CF(M)'!$L$10:$EQ$10,$C49,'CF(M)'!$L$99:$EQ$99)</f>
        <v>0</v>
      </c>
      <c r="G49" s="1369">
        <f t="shared" ca="1" si="46"/>
        <v>7.0000000000000007E-2</v>
      </c>
      <c r="H49" s="948">
        <f>IFERROR(SUMIF('FS_Detail(M)'!$L$10:$EQ$10,$C49,'FS_Detail(M)'!$L$66:$EQ$66)/COUNTIF('FS_Detail(M)'!$L$10:$EQ$10,'A&amp;R'!$C49),)</f>
        <v>50000000</v>
      </c>
      <c r="I49" s="13">
        <f ca="1">-SUMIF('CF(M)'!$L$10:$EQ$10,$C49,'CF(M)'!$L$103:$EQ$103)</f>
        <v>1875000</v>
      </c>
      <c r="J49" s="13">
        <f>-SUMIF('CF(M)'!$L$10:$EQ$10,$C49,'CF(M)'!$L$104:$EQ$104)</f>
        <v>0</v>
      </c>
      <c r="K49" s="1707">
        <f t="shared" ca="1" si="47"/>
        <v>7.4999999999999997E-2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2">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2" t="s">
        <v>1245</v>
      </c>
      <c r="AM49" s="259" t="s">
        <v>1136</v>
      </c>
      <c r="AN49" s="1941">
        <f>MIN('DSCR(선,중)'!F35:M35)</f>
        <v>1.260474277585605</v>
      </c>
      <c r="AO49" s="1956">
        <v>1.260474277585605</v>
      </c>
      <c r="AP49" s="1404">
        <v>1.260474277585605</v>
      </c>
      <c r="AQ49" s="1404">
        <v>1.260474277585605</v>
      </c>
      <c r="AR49" s="1404">
        <v>1.260474277585605</v>
      </c>
      <c r="AS49" s="1404">
        <v>1.260474277585605</v>
      </c>
      <c r="AT49" s="1404">
        <v>1.260474277585605</v>
      </c>
      <c r="AU49" s="2058">
        <v>1.260474277585605</v>
      </c>
      <c r="AV49" s="1404">
        <v>1.2310754399116632</v>
      </c>
      <c r="AW49" s="1404">
        <v>1.2016766022377217</v>
      </c>
      <c r="AX49" s="1404">
        <v>1.1722777645637799</v>
      </c>
      <c r="AY49" s="1404">
        <v>1.1428789268898392</v>
      </c>
      <c r="AZ49" s="1404">
        <v>1.1134800892158974</v>
      </c>
      <c r="BA49" s="2058">
        <v>1.0840812515419556</v>
      </c>
      <c r="BB49" s="1404">
        <v>1.2120884871703375</v>
      </c>
      <c r="BC49" s="1404">
        <v>1.1672801375699402</v>
      </c>
      <c r="BD49" s="1404">
        <v>1.1256666216824993</v>
      </c>
      <c r="BE49" s="1404">
        <v>1.0869180140515649</v>
      </c>
      <c r="BF49" s="1404">
        <v>1.0507483053486724</v>
      </c>
      <c r="BG49" s="1404">
        <v>1.0169083306481133</v>
      </c>
      <c r="BH49" s="1845">
        <v>0.98518002156076279</v>
      </c>
      <c r="BI49" s="1404">
        <v>1.260474277585605</v>
      </c>
      <c r="BJ49" s="1404">
        <v>1.260474277585605</v>
      </c>
      <c r="BK49" s="1404">
        <v>1.260474277585605</v>
      </c>
      <c r="BL49" s="1404">
        <v>1.260474277585605</v>
      </c>
      <c r="BM49" s="1404">
        <v>1.260474277585605</v>
      </c>
      <c r="BN49" s="1845">
        <v>1.260474277585605</v>
      </c>
    </row>
    <row r="50" spans="1:66" ht="11.25" customHeight="1">
      <c r="A50" s="1769">
        <f>IFERROR(IFERROR(SUMIF('FS_Detail(M)'!$L$10:$EQ$10,$C50,'FS_Detail(M)'!$L$79:$EQ$79)/COUNTIF('FS_Detail(M)'!$L$10:$EQ$10,'A&amp;R'!$C50),)/H80,)</f>
        <v>1</v>
      </c>
      <c r="B50" s="99"/>
      <c r="C50" s="1368">
        <f t="shared" si="45"/>
        <v>8</v>
      </c>
      <c r="D50" s="836">
        <f>IFERROR(SUMIF('FS_Detail(M)'!$L$10:$EQ$10,$C50,'FS_Detail(M)'!$L$61:$EQ$61)/COUNTIF('FS_Detail(M)'!$L$10:$EQ$10,'A&amp;R'!$C50),)</f>
        <v>24000000</v>
      </c>
      <c r="E50" s="13">
        <f ca="1">-SUMIF('CF(M)'!$L$10:$EQ$10,$C50,'CF(M)'!$L$98:$EQ$98)</f>
        <v>840000.00000000012</v>
      </c>
      <c r="F50" s="13">
        <f>-SUMIF('CF(M)'!$L$10:$EQ$10,$C50,'CF(M)'!$L$99:$EQ$99)</f>
        <v>0</v>
      </c>
      <c r="G50" s="1369">
        <f t="shared" ca="1" si="46"/>
        <v>7.0000000000000007E-2</v>
      </c>
      <c r="H50" s="948">
        <f>IFERROR(SUMIF('FS_Detail(M)'!$L$10:$EQ$10,$C50,'FS_Detail(M)'!$L$66:$EQ$66)/COUNTIF('FS_Detail(M)'!$L$10:$EQ$10,'A&amp;R'!$C50),)</f>
        <v>50000000</v>
      </c>
      <c r="I50" s="13">
        <f ca="1">-SUMIF('CF(M)'!$L$10:$EQ$10,$C50,'CF(M)'!$L$103:$EQ$103)</f>
        <v>1875000</v>
      </c>
      <c r="J50" s="13">
        <f>-SUMIF('CF(M)'!$L$10:$EQ$10,$C50,'CF(M)'!$L$104:$EQ$104)</f>
        <v>0</v>
      </c>
      <c r="K50" s="1707">
        <f t="shared" ca="1" si="47"/>
        <v>7.4999999999999997E-2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2">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3" t="s">
        <v>1248</v>
      </c>
      <c r="AM50" s="2114" t="s">
        <v>1135</v>
      </c>
      <c r="AN50" s="2115">
        <f>'DSCR(선,중)'!E33</f>
        <v>1.7386879167284843</v>
      </c>
      <c r="AO50" s="2116">
        <v>1.7386879167284843</v>
      </c>
      <c r="AP50" s="2117">
        <v>1.7386879167284843</v>
      </c>
      <c r="AQ50" s="2117">
        <v>1.7386879167284843</v>
      </c>
      <c r="AR50" s="2117">
        <v>1.7386879167284843</v>
      </c>
      <c r="AS50" s="2117">
        <v>1.7386879167284843</v>
      </c>
      <c r="AT50" s="2117">
        <v>1.7386879167284843</v>
      </c>
      <c r="AU50" s="2118">
        <v>1.7386879167284843</v>
      </c>
      <c r="AV50" s="2117">
        <v>1.6984743043883617</v>
      </c>
      <c r="AW50" s="2117">
        <v>1.6582606920482377</v>
      </c>
      <c r="AX50" s="2117">
        <v>1.6180470797081152</v>
      </c>
      <c r="AY50" s="2117">
        <v>1.5778334673679923</v>
      </c>
      <c r="AZ50" s="2117">
        <v>1.5376198550278692</v>
      </c>
      <c r="BA50" s="2118">
        <v>1.4974062426877464</v>
      </c>
      <c r="BB50" s="2117">
        <v>1.6687909150509574</v>
      </c>
      <c r="BC50" s="2117">
        <v>1.6042965801697606</v>
      </c>
      <c r="BD50" s="2117">
        <v>1.5446018236983279</v>
      </c>
      <c r="BE50" s="2117">
        <v>1.4891900990813476</v>
      </c>
      <c r="BF50" s="2117">
        <v>1.4376164159962792</v>
      </c>
      <c r="BG50" s="2117">
        <v>1.3894953644148138</v>
      </c>
      <c r="BH50" s="2119">
        <v>1.3444914659722287</v>
      </c>
      <c r="BI50" s="2117">
        <v>1.7386879167284843</v>
      </c>
      <c r="BJ50" s="2117">
        <v>1.7386879167284843</v>
      </c>
      <c r="BK50" s="2117">
        <v>1.7386879167284843</v>
      </c>
      <c r="BL50" s="2117">
        <v>1.7386879167284843</v>
      </c>
      <c r="BM50" s="2117">
        <v>1.7386879167284843</v>
      </c>
      <c r="BN50" s="2119">
        <v>1.7386879167284843</v>
      </c>
    </row>
    <row r="51" spans="1:66" ht="11.25" customHeight="1">
      <c r="A51" s="1769">
        <f>IFERROR(IFERROR(SUMIF('FS_Detail(M)'!$L$10:$EQ$10,$C51,'FS_Detail(M)'!$L$79:$EQ$79)/COUNTIF('FS_Detail(M)'!$L$10:$EQ$10,'A&amp;R'!$C51),)/H81,)</f>
        <v>1</v>
      </c>
      <c r="B51" s="66"/>
      <c r="C51" s="1368">
        <f t="shared" si="45"/>
        <v>9</v>
      </c>
      <c r="D51" s="836">
        <f>IFERROR(SUMIF('FS_Detail(M)'!$L$10:$EQ$10,$C51,'FS_Detail(M)'!$L$61:$EQ$61)/COUNTIF('FS_Detail(M)'!$L$10:$EQ$10,'A&amp;R'!$C51),)</f>
        <v>24000000</v>
      </c>
      <c r="E51" s="13">
        <f ca="1">-SUMIF('CF(M)'!$L$10:$EQ$10,$C51,'CF(M)'!$L$98:$EQ$98)</f>
        <v>840000.00000000012</v>
      </c>
      <c r="F51" s="13">
        <f>-SUMIF('CF(M)'!$L$10:$EQ$10,$C51,'CF(M)'!$L$99:$EQ$99)</f>
        <v>0</v>
      </c>
      <c r="G51" s="1369">
        <f t="shared" ca="1" si="46"/>
        <v>7.0000000000000007E-2</v>
      </c>
      <c r="H51" s="948">
        <f>IFERROR(SUMIF('FS_Detail(M)'!$L$10:$EQ$10,$C51,'FS_Detail(M)'!$L$66:$EQ$66)/COUNTIF('FS_Detail(M)'!$L$10:$EQ$10,'A&amp;R'!$C51),)</f>
        <v>50000000</v>
      </c>
      <c r="I51" s="13">
        <f ca="1">-SUMIF('CF(M)'!$L$10:$EQ$10,$C51,'CF(M)'!$L$103:$EQ$103)</f>
        <v>1856056.3038810929</v>
      </c>
      <c r="J51" s="13">
        <f>-SUMIF('CF(M)'!$L$10:$EQ$10,$C51,'CF(M)'!$L$104:$EQ$104)</f>
        <v>0</v>
      </c>
      <c r="K51" s="1707">
        <f t="shared" ca="1" si="47"/>
        <v>7.4242252155243715E-2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2">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20" t="s">
        <v>1247</v>
      </c>
      <c r="AM51" s="2121" t="s">
        <v>1136</v>
      </c>
      <c r="AN51" s="2122">
        <f>'DSCR(선,중)'!E35</f>
        <v>1.3390701294158891</v>
      </c>
      <c r="AO51" s="2123">
        <v>1.3390701294158891</v>
      </c>
      <c r="AP51" s="2124">
        <v>1.3390701294158891</v>
      </c>
      <c r="AQ51" s="2124">
        <v>1.3390701294158891</v>
      </c>
      <c r="AR51" s="2124">
        <v>1.3390701294158891</v>
      </c>
      <c r="AS51" s="2124">
        <v>1.3390701294158891</v>
      </c>
      <c r="AT51" s="2124">
        <v>1.3390701294158891</v>
      </c>
      <c r="AU51" s="2125">
        <v>1.3390701294158891</v>
      </c>
      <c r="AV51" s="2124">
        <v>1.308099161847488</v>
      </c>
      <c r="AW51" s="2124">
        <v>1.2771281942790864</v>
      </c>
      <c r="AX51" s="2124">
        <v>1.2461572267106855</v>
      </c>
      <c r="AY51" s="2124">
        <v>1.2151862591422844</v>
      </c>
      <c r="AZ51" s="2124">
        <v>1.1842152915738833</v>
      </c>
      <c r="BA51" s="2125">
        <v>1.1532443240054819</v>
      </c>
      <c r="BB51" s="2124">
        <v>1.287667282261111</v>
      </c>
      <c r="BC51" s="2124">
        <v>1.2400649443433178</v>
      </c>
      <c r="BD51" s="2124">
        <v>1.1958566514048994</v>
      </c>
      <c r="BE51" s="2124">
        <v>1.1546919057550087</v>
      </c>
      <c r="BF51" s="2124">
        <v>1.1162668641853462</v>
      </c>
      <c r="BG51" s="2124">
        <v>1.0803168252932354</v>
      </c>
      <c r="BH51" s="2126">
        <v>1.0466101232119149</v>
      </c>
      <c r="BI51" s="2124">
        <v>1.3390701294158891</v>
      </c>
      <c r="BJ51" s="2124">
        <v>1.3390701294158891</v>
      </c>
      <c r="BK51" s="2124">
        <v>1.3390701294158891</v>
      </c>
      <c r="BL51" s="2124">
        <v>1.3390701294158891</v>
      </c>
      <c r="BM51" s="2124">
        <v>1.3390701294158891</v>
      </c>
      <c r="BN51" s="2126">
        <v>1.3390701294158891</v>
      </c>
    </row>
    <row r="52" spans="1:66" ht="11.25" customHeight="1">
      <c r="A52" s="1769">
        <f>IFERROR(IFERROR(SUMIF('FS_Detail(M)'!$L$10:$EQ$10,$C52,'FS_Detail(M)'!$L$79:$EQ$79)/COUNTIF('FS_Detail(M)'!$L$10:$EQ$10,'A&amp;R'!$C52),)/H82,)</f>
        <v>1</v>
      </c>
      <c r="B52" s="66"/>
      <c r="C52" s="1368">
        <f t="shared" si="45"/>
        <v>10</v>
      </c>
      <c r="D52" s="836">
        <f>IFERROR(SUMIF('FS_Detail(M)'!$L$10:$EQ$10,$C52,'FS_Detail(M)'!$L$61:$EQ$61)/COUNTIF('FS_Detail(M)'!$L$10:$EQ$10,'A&amp;R'!$C52),)</f>
        <v>24000000</v>
      </c>
      <c r="E52" s="13">
        <f ca="1">-SUMIF('CF(M)'!$L$10:$EQ$10,$C52,'CF(M)'!$L$98:$EQ$98)</f>
        <v>840000.00000000012</v>
      </c>
      <c r="F52" s="13">
        <f>-SUMIF('CF(M)'!$L$10:$EQ$10,$C52,'CF(M)'!$L$99:$EQ$99)</f>
        <v>0</v>
      </c>
      <c r="G52" s="1369">
        <f t="shared" ca="1" si="46"/>
        <v>7.0000000000000007E-2</v>
      </c>
      <c r="H52" s="948">
        <f>IFERROR(SUMIF('FS_Detail(M)'!$L$10:$EQ$10,$C52,'FS_Detail(M)'!$L$66:$EQ$66)/COUNTIF('FS_Detail(M)'!$L$10:$EQ$10,'A&amp;R'!$C52),)</f>
        <v>50000000</v>
      </c>
      <c r="I52" s="13">
        <f ca="1">-SUMIF('CF(M)'!$L$10:$EQ$10,$C52,'CF(M)'!$L$103:$EQ$103)</f>
        <v>1761729.2937996686</v>
      </c>
      <c r="J52" s="13">
        <f>-SUMIF('CF(M)'!$L$10:$EQ$10,$C52,'CF(M)'!$L$104:$EQ$104)</f>
        <v>0</v>
      </c>
      <c r="K52" s="1707">
        <f t="shared" ca="1" si="47"/>
        <v>7.0469171751986748E-2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2">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2" t="s">
        <v>1275</v>
      </c>
      <c r="AM52" s="259" t="s">
        <v>1135</v>
      </c>
      <c r="AN52" s="1941">
        <f ca="1">MIN('DSCR(선,중)'!F34:M34)</f>
        <v>5.6151603536920911</v>
      </c>
      <c r="AO52" s="1956">
        <v>5.6151603536920911</v>
      </c>
      <c r="AP52" s="1404">
        <v>5.6151603536920911</v>
      </c>
      <c r="AQ52" s="1404">
        <v>5.6151603536920911</v>
      </c>
      <c r="AR52" s="1404">
        <v>5.6151603536920911</v>
      </c>
      <c r="AS52" s="1404">
        <v>5.6151603536920911</v>
      </c>
      <c r="AT52" s="1404">
        <v>5.6151603536920911</v>
      </c>
      <c r="AU52" s="2058">
        <v>5.6151603536920911</v>
      </c>
      <c r="AV52" s="1404">
        <v>5.4645899668324631</v>
      </c>
      <c r="AW52" s="1404">
        <v>5.3140195799728316</v>
      </c>
      <c r="AX52" s="1404">
        <v>5.163449193113208</v>
      </c>
      <c r="AY52" s="1404">
        <v>4.951512972653501</v>
      </c>
      <c r="AZ52" s="1404">
        <v>4.6355775451866812</v>
      </c>
      <c r="BA52" s="2058">
        <v>4.3196421177198623</v>
      </c>
      <c r="BB52" s="1404">
        <v>5.2889074054722363</v>
      </c>
      <c r="BC52" s="1404">
        <v>4.9878720764384532</v>
      </c>
      <c r="BD52" s="1404">
        <v>4.6692742741745406</v>
      </c>
      <c r="BE52" s="1404">
        <v>4.2278957121504313</v>
      </c>
      <c r="BF52" s="1404">
        <v>3.8170888254180357</v>
      </c>
      <c r="BG52" s="1404">
        <v>3.4337836549522427</v>
      </c>
      <c r="BH52" s="1845">
        <v>3.0753079692129797</v>
      </c>
      <c r="BI52" s="1404">
        <v>5.6151603536920911</v>
      </c>
      <c r="BJ52" s="1404">
        <v>5.6151603536920911</v>
      </c>
      <c r="BK52" s="1404">
        <v>5.6151603536920911</v>
      </c>
      <c r="BL52" s="1404">
        <v>5.6151603536920911</v>
      </c>
      <c r="BM52" s="1404">
        <v>5.6151603536920911</v>
      </c>
      <c r="BN52" s="1845">
        <v>5.6151603536920911</v>
      </c>
    </row>
    <row r="53" spans="1:66" ht="11.25" customHeight="1">
      <c r="A53" s="1769">
        <f>IFERROR(IFERROR(SUMIF('FS_Detail(M)'!$L$10:$EQ$10,$C53,'FS_Detail(M)'!$L$79:$EQ$79)/COUNTIF('FS_Detail(M)'!$L$10:$EQ$10,'A&amp;R'!$C53),)/H83,)</f>
        <v>1</v>
      </c>
      <c r="B53" s="66"/>
      <c r="C53" s="1368">
        <f t="shared" si="45"/>
        <v>11</v>
      </c>
      <c r="D53" s="836">
        <f>IFERROR(SUMIF('FS_Detail(M)'!$L$10:$EQ$10,$C53,'FS_Detail(M)'!$L$61:$EQ$61)/COUNTIF('FS_Detail(M)'!$L$10:$EQ$10,'A&amp;R'!$C53),)</f>
        <v>24000000</v>
      </c>
      <c r="E53" s="13">
        <f ca="1">-SUMIF('CF(M)'!$L$10:$EQ$10,$C53,'CF(M)'!$L$98:$EQ$98)</f>
        <v>840000.00000000012</v>
      </c>
      <c r="F53" s="13">
        <f>-SUMIF('CF(M)'!$L$10:$EQ$10,$C53,'CF(M)'!$L$99:$EQ$99)</f>
        <v>0</v>
      </c>
      <c r="G53" s="1369">
        <f t="shared" ca="1" si="46"/>
        <v>7.0000000000000007E-2</v>
      </c>
      <c r="H53" s="948">
        <f>IFERROR(SUMIF('FS_Detail(M)'!$L$10:$EQ$10,$C53,'FS_Detail(M)'!$L$66:$EQ$66)/COUNTIF('FS_Detail(M)'!$L$10:$EQ$10,'A&amp;R'!$C53),)</f>
        <v>50000000</v>
      </c>
      <c r="I53" s="13">
        <f ca="1">-SUMIF('CF(M)'!$L$10:$EQ$10,$C53,'CF(M)'!$L$103:$EQ$103)</f>
        <v>1838082.375135636</v>
      </c>
      <c r="J53" s="13">
        <f>-SUMIF('CF(M)'!$L$10:$EQ$10,$C53,'CF(M)'!$L$104:$EQ$104)</f>
        <v>0</v>
      </c>
      <c r="K53" s="1707">
        <f t="shared" ca="1" si="47"/>
        <v>7.352329500542544E-2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3">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2" t="s">
        <v>1246</v>
      </c>
      <c r="AM53" s="259" t="s">
        <v>1136</v>
      </c>
      <c r="AN53" s="1941">
        <f ca="1">MIN('DSCR(선,중)'!F36:M36)</f>
        <v>4.324579143367699</v>
      </c>
      <c r="AO53" s="1956">
        <v>4.324579143367699</v>
      </c>
      <c r="AP53" s="1404">
        <v>4.324579143367699</v>
      </c>
      <c r="AQ53" s="1404">
        <v>4.324579143367699</v>
      </c>
      <c r="AR53" s="1404">
        <v>4.324579143367699</v>
      </c>
      <c r="AS53" s="1404">
        <v>4.324579143367699</v>
      </c>
      <c r="AT53" s="1404">
        <v>4.324579143367699</v>
      </c>
      <c r="AU53" s="2058">
        <v>4.324579143367699</v>
      </c>
      <c r="AV53" s="1404">
        <v>4.2086156599395181</v>
      </c>
      <c r="AW53" s="1404">
        <v>4.0926521765113337</v>
      </c>
      <c r="AX53" s="1404">
        <v>3.976688693083156</v>
      </c>
      <c r="AY53" s="1404">
        <v>3.8134636200678171</v>
      </c>
      <c r="AZ53" s="1404">
        <v>3.5701423835913548</v>
      </c>
      <c r="BA53" s="2058">
        <v>3.3268211471148943</v>
      </c>
      <c r="BB53" s="1404">
        <v>4.0810103671538389</v>
      </c>
      <c r="BC53" s="1404">
        <v>3.855450036679462</v>
      </c>
      <c r="BD53" s="1404">
        <v>3.6150304967501845</v>
      </c>
      <c r="BE53" s="1404">
        <v>3.2782362441222053</v>
      </c>
      <c r="BF53" s="1404">
        <v>2.96385720561871</v>
      </c>
      <c r="BG53" s="1404">
        <v>2.6697276952946845</v>
      </c>
      <c r="BH53" s="1845">
        <v>2.3939523113633974</v>
      </c>
      <c r="BI53" s="1404">
        <v>4.324579143367699</v>
      </c>
      <c r="BJ53" s="1404">
        <v>4.324579143367699</v>
      </c>
      <c r="BK53" s="1404">
        <v>4.324579143367699</v>
      </c>
      <c r="BL53" s="1404">
        <v>4.324579143367699</v>
      </c>
      <c r="BM53" s="1404">
        <v>4.324579143367699</v>
      </c>
      <c r="BN53" s="1845">
        <v>4.324579143367699</v>
      </c>
    </row>
    <row r="54" spans="1:66" ht="11.25" customHeight="1" thickBot="1">
      <c r="A54" s="1769">
        <f>IFERROR(IFERROR(SUMIF('FS_Detail(M)'!$L$10:$EQ$10,$C54,'FS_Detail(M)'!$L$79:$EQ$79)/COUNTIF('FS_Detail(M)'!$L$10:$EQ$10,'A&amp;R'!$C54),)/H84,)</f>
        <v>1</v>
      </c>
      <c r="B54" s="66"/>
      <c r="C54" s="1368">
        <f t="shared" si="45"/>
        <v>12</v>
      </c>
      <c r="D54" s="836">
        <f>IFERROR(SUMIF('FS_Detail(M)'!$L$10:$EQ$10,$C54,'FS_Detail(M)'!$L$61:$EQ$61)/COUNTIF('FS_Detail(M)'!$L$10:$EQ$10,'A&amp;R'!$C54),)</f>
        <v>24000000</v>
      </c>
      <c r="E54" s="13">
        <f ca="1">-SUMIF('CF(M)'!$L$10:$EQ$10,$C54,'CF(M)'!$L$98:$EQ$98)</f>
        <v>840000.00000000012</v>
      </c>
      <c r="F54" s="13">
        <f>-SUMIF('CF(M)'!$L$10:$EQ$10,$C54,'CF(M)'!$L$99:$EQ$99)</f>
        <v>0</v>
      </c>
      <c r="G54" s="1369">
        <f t="shared" ca="1" si="46"/>
        <v>7.0000000000000007E-2</v>
      </c>
      <c r="H54" s="948">
        <f>IFERROR(SUMIF('FS_Detail(M)'!$L$10:$EQ$10,$C54,'FS_Detail(M)'!$L$66:$EQ$66)/COUNTIF('FS_Detail(M)'!$L$10:$EQ$10,'A&amp;R'!$C54),)</f>
        <v>50000000</v>
      </c>
      <c r="I54" s="13">
        <f ca="1">-SUMIF('CF(M)'!$L$10:$EQ$10,$C54,'CF(M)'!$L$103:$EQ$103)</f>
        <v>2044132.0271836026</v>
      </c>
      <c r="J54" s="13">
        <f>-SUMIF('CF(M)'!$L$10:$EQ$10,$C54,'CF(M)'!$L$104:$EQ$104)</f>
        <v>0</v>
      </c>
      <c r="K54" s="1707">
        <f t="shared" ca="1" si="47"/>
        <v>8.1765281087344099E-2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4">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3" t="s">
        <v>1275</v>
      </c>
      <c r="AM54" s="2114" t="s">
        <v>1135</v>
      </c>
      <c r="AN54" s="2115">
        <f ca="1">'DSCR(선,중)'!E34</f>
        <v>6.8915849153289503</v>
      </c>
      <c r="AO54" s="2116">
        <v>6.8915849153289503</v>
      </c>
      <c r="AP54" s="2117">
        <v>6.8915849153289503</v>
      </c>
      <c r="AQ54" s="2117">
        <v>6.8915849153289503</v>
      </c>
      <c r="AR54" s="2117">
        <v>6.8915849153289503</v>
      </c>
      <c r="AS54" s="2117">
        <v>6.8915849153289503</v>
      </c>
      <c r="AT54" s="2117">
        <v>6.8915849153289503</v>
      </c>
      <c r="AU54" s="2118">
        <v>6.8915849153289503</v>
      </c>
      <c r="AV54" s="2117">
        <v>6.7816282317188561</v>
      </c>
      <c r="AW54" s="2117">
        <v>6.6716715481087592</v>
      </c>
      <c r="AX54" s="2117">
        <v>6.5617148644986667</v>
      </c>
      <c r="AY54" s="2117">
        <v>6.4159127669742713</v>
      </c>
      <c r="AZ54" s="2117">
        <v>6.2039591192844457</v>
      </c>
      <c r="BA54" s="2118">
        <v>5.9920054715946192</v>
      </c>
      <c r="BB54" s="2117">
        <v>6.5642768645119096</v>
      </c>
      <c r="BC54" s="2117">
        <v>6.2622679867048792</v>
      </c>
      <c r="BD54" s="2117">
        <v>5.9579502332355743</v>
      </c>
      <c r="BE54" s="2117">
        <v>5.5851498882742634</v>
      </c>
      <c r="BF54" s="2117">
        <v>5.2381712122280231</v>
      </c>
      <c r="BG54" s="2117">
        <v>4.9144212341597742</v>
      </c>
      <c r="BH54" s="2119">
        <v>4.6116429145898712</v>
      </c>
      <c r="BI54" s="2117">
        <v>6.8915849153289503</v>
      </c>
      <c r="BJ54" s="2117">
        <v>6.8915849153289503</v>
      </c>
      <c r="BK54" s="2117">
        <v>6.8915849153289503</v>
      </c>
      <c r="BL54" s="2117">
        <v>6.8915849153289503</v>
      </c>
      <c r="BM54" s="2117">
        <v>6.8915849153289503</v>
      </c>
      <c r="BN54" s="2119">
        <v>6.8915849153289503</v>
      </c>
    </row>
    <row r="55" spans="1:66" ht="11.25" customHeight="1">
      <c r="A55" s="1769">
        <f>IFERROR(IFERROR(SUMIF('FS_Detail(M)'!$L$10:$EQ$10,$C55,'FS_Detail(M)'!$L$79:$EQ$79)/COUNTIF('FS_Detail(M)'!$L$10:$EQ$10,'A&amp;R'!$C55),)/H85,)</f>
        <v>1</v>
      </c>
      <c r="B55" s="66"/>
      <c r="C55" s="1368">
        <f t="shared" si="45"/>
        <v>13</v>
      </c>
      <c r="D55" s="836">
        <f>IFERROR(SUMIF('FS_Detail(M)'!$L$10:$EQ$10,$C55,'FS_Detail(M)'!$L$61:$EQ$61)/COUNTIF('FS_Detail(M)'!$L$10:$EQ$10,'A&amp;R'!$C55),)</f>
        <v>24000000</v>
      </c>
      <c r="E55" s="13">
        <f ca="1">-SUMIF('CF(M)'!$L$10:$EQ$10,$C55,'CF(M)'!$L$98:$EQ$98)</f>
        <v>840000.00000000012</v>
      </c>
      <c r="F55" s="13">
        <f>-SUMIF('CF(M)'!$L$10:$EQ$10,$C55,'CF(M)'!$L$99:$EQ$99)</f>
        <v>0</v>
      </c>
      <c r="G55" s="1369">
        <f t="shared" ca="1" si="46"/>
        <v>7.0000000000000007E-2</v>
      </c>
      <c r="H55" s="948">
        <f>IFERROR(SUMIF('FS_Detail(M)'!$L$10:$EQ$10,$C55,'FS_Detail(M)'!$L$66:$EQ$66)/COUNTIF('FS_Detail(M)'!$L$10:$EQ$10,'A&amp;R'!$C55),)</f>
        <v>50000000</v>
      </c>
      <c r="I55" s="13">
        <f ca="1">-SUMIF('CF(M)'!$L$10:$EQ$10,$C55,'CF(M)'!$L$103:$EQ$103)</f>
        <v>1875000</v>
      </c>
      <c r="J55" s="13">
        <f>-SUMIF('CF(M)'!$L$10:$EQ$10,$C55,'CF(M)'!$L$104:$EQ$104)</f>
        <v>0</v>
      </c>
      <c r="K55" s="1707">
        <f t="shared" ca="1" si="47"/>
        <v>7.4999999999999997E-2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2">
        <f>X54/$P$8</f>
        <v>5.5631432518720665E-2</v>
      </c>
      <c r="Y55" s="1623">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2" t="s">
        <v>486</v>
      </c>
      <c r="AM55" s="259" t="s">
        <v>1136</v>
      </c>
      <c r="AN55" s="1941">
        <f ca="1">'DSCR(선,중)'!E36</f>
        <v>5.3076319307573776</v>
      </c>
      <c r="AO55" s="1956">
        <v>5.3076319307573776</v>
      </c>
      <c r="AP55" s="1404">
        <v>5.3076319307573776</v>
      </c>
      <c r="AQ55" s="1404">
        <v>5.3076319307573776</v>
      </c>
      <c r="AR55" s="1404">
        <v>5.3076319307573776</v>
      </c>
      <c r="AS55" s="1404">
        <v>5.3076319307573776</v>
      </c>
      <c r="AT55" s="1404">
        <v>5.3076319307573776</v>
      </c>
      <c r="AU55" s="2058">
        <v>5.3076319307573776</v>
      </c>
      <c r="AV55" s="1404">
        <v>5.2229475494286355</v>
      </c>
      <c r="AW55" s="1404">
        <v>5.1382631680998907</v>
      </c>
      <c r="AX55" s="1404">
        <v>5.0535787867711512</v>
      </c>
      <c r="AY55" s="1404">
        <v>4.9412876552100231</v>
      </c>
      <c r="AZ55" s="1404">
        <v>4.7780491604166491</v>
      </c>
      <c r="BA55" s="2058">
        <v>4.614810665623275</v>
      </c>
      <c r="BB55" s="1404">
        <v>5.0651070028610699</v>
      </c>
      <c r="BC55" s="1404">
        <v>4.8405133429720317</v>
      </c>
      <c r="BD55" s="1404">
        <v>4.6127450491380939</v>
      </c>
      <c r="BE55" s="1404">
        <v>4.3306273473058452</v>
      </c>
      <c r="BF55" s="1404">
        <v>4.0672858824358773</v>
      </c>
      <c r="BG55" s="1404">
        <v>3.8209065548607217</v>
      </c>
      <c r="BH55" s="1845">
        <v>3.5899016700400188</v>
      </c>
      <c r="BI55" s="1404">
        <v>5.3076319307573776</v>
      </c>
      <c r="BJ55" s="1404">
        <v>5.3076319307573776</v>
      </c>
      <c r="BK55" s="1404">
        <v>5.3076319307573776</v>
      </c>
      <c r="BL55" s="1404">
        <v>5.3076319307573776</v>
      </c>
      <c r="BM55" s="1404">
        <v>5.3076319307573776</v>
      </c>
      <c r="BN55" s="1845">
        <v>5.3076319307573776</v>
      </c>
    </row>
    <row r="56" spans="1:66" ht="13.5" customHeight="1">
      <c r="A56" s="1769">
        <f>IFERROR(IFERROR(SUMIF('FS_Detail(M)'!$L$10:$EQ$10,$C56,'FS_Detail(M)'!$L$79:$EQ$79)/COUNTIF('FS_Detail(M)'!$L$10:$EQ$10,'A&amp;R'!$C56),)/H86,)</f>
        <v>1</v>
      </c>
      <c r="B56" s="66"/>
      <c r="C56" s="1368">
        <f t="shared" si="45"/>
        <v>14</v>
      </c>
      <c r="D56" s="836">
        <f>IFERROR(SUMIF('FS_Detail(M)'!$L$10:$EQ$10,$C56,'FS_Detail(M)'!$L$61:$EQ$61)/COUNTIF('FS_Detail(M)'!$L$10:$EQ$10,'A&amp;R'!$C56),)</f>
        <v>24000000</v>
      </c>
      <c r="E56" s="13">
        <f ca="1">-SUMIF('CF(M)'!$L$10:$EQ$10,$C56,'CF(M)'!$L$98:$EQ$98)</f>
        <v>840000.00000000012</v>
      </c>
      <c r="F56" s="13">
        <f>-SUMIF('CF(M)'!$L$10:$EQ$10,$C56,'CF(M)'!$L$99:$EQ$99)</f>
        <v>0</v>
      </c>
      <c r="G56" s="1369">
        <f t="shared" ca="1" si="46"/>
        <v>7.0000000000000007E-2</v>
      </c>
      <c r="H56" s="948">
        <f>IFERROR(SUMIF('FS_Detail(M)'!$L$10:$EQ$10,$C56,'FS_Detail(M)'!$L$66:$EQ$66)/COUNTIF('FS_Detail(M)'!$L$10:$EQ$10,'A&amp;R'!$C56),)</f>
        <v>50000000</v>
      </c>
      <c r="I56" s="13">
        <f ca="1">-SUMIF('CF(M)'!$L$10:$EQ$10,$C56,'CF(M)'!$L$103:$EQ$103)</f>
        <v>1875000</v>
      </c>
      <c r="J56" s="13">
        <f>-SUMIF('CF(M)'!$L$10:$EQ$10,$C56,'CF(M)'!$L$104:$EQ$104)</f>
        <v>0</v>
      </c>
      <c r="K56" s="1707">
        <f t="shared" ca="1" si="47"/>
        <v>7.4999999999999997E-2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8">
        <v>2.9000000000000001E-2</v>
      </c>
      <c r="X56" s="1688" t="s">
        <v>1041</v>
      </c>
      <c r="Y56" s="1686">
        <f>(((Y41-AC6/1000*12-Y$39)/$Y$23*1000)/12)/(1+$W$56)^Y$35</f>
        <v>58205.527443968997</v>
      </c>
      <c r="Z56" s="1687">
        <f t="shared" ref="Z56:AH56" si="53">(((Z41-AD6/1000*12-Z$39)/$Y$23*1000)/12)/(1+$W$56)^Z$35</f>
        <v>58545.911729265848</v>
      </c>
      <c r="AA56" s="1687">
        <f t="shared" si="53"/>
        <v>41093.174703449775</v>
      </c>
      <c r="AB56" s="1687">
        <f t="shared" si="53"/>
        <v>61696.700462715868</v>
      </c>
      <c r="AC56" s="1687">
        <f t="shared" si="53"/>
        <v>61484.265177895308</v>
      </c>
      <c r="AD56" s="1687">
        <f t="shared" si="53"/>
        <v>61238.644598436775</v>
      </c>
      <c r="AE56" s="1687">
        <f t="shared" si="53"/>
        <v>60994.174754778156</v>
      </c>
      <c r="AF56" s="1687">
        <f t="shared" si="53"/>
        <v>60049.619077992771</v>
      </c>
      <c r="AG56" s="1687">
        <f t="shared" si="53"/>
        <v>59522.60703691571</v>
      </c>
      <c r="AH56" s="1687">
        <f t="shared" si="53"/>
        <v>59289.742960984739</v>
      </c>
      <c r="AI56" s="84"/>
      <c r="AJ56" s="843"/>
      <c r="AL56" s="1842"/>
      <c r="AM56" s="259" t="s">
        <v>1431</v>
      </c>
      <c r="AN56" s="1941">
        <f ca="1">'DSCR(선,중)'!E47</f>
        <v>4.6124565936833193</v>
      </c>
      <c r="AO56" s="1956">
        <v>4.6124565936833193</v>
      </c>
      <c r="AP56" s="1404">
        <v>4.6124565936833193</v>
      </c>
      <c r="AQ56" s="1404">
        <v>4.6124565936833193</v>
      </c>
      <c r="AR56" s="1404">
        <v>4.6124565936833193</v>
      </c>
      <c r="AS56" s="1404">
        <v>4.6124565936833193</v>
      </c>
      <c r="AT56" s="1404">
        <v>4.6124565936833193</v>
      </c>
      <c r="AU56" s="2058">
        <v>4.6124565936833193</v>
      </c>
      <c r="AV56" s="1404">
        <v>4.5405174768417229</v>
      </c>
      <c r="AW56" s="1404">
        <v>4.4685783600001256</v>
      </c>
      <c r="AX56" s="1404">
        <v>4.3966392431585319</v>
      </c>
      <c r="AY56" s="1404">
        <v>4.3006010532968952</v>
      </c>
      <c r="AZ56" s="1404">
        <v>4.160088804867069</v>
      </c>
      <c r="BA56" s="2058">
        <v>4.0195765564372454</v>
      </c>
      <c r="BB56" s="1404">
        <v>4.4231200009025073</v>
      </c>
      <c r="BC56" s="1404">
        <v>4.246345675486995</v>
      </c>
      <c r="BD56" s="1404">
        <v>4.0639535074541246</v>
      </c>
      <c r="BE56" s="1404">
        <v>3.8307929561382501</v>
      </c>
      <c r="BF56" s="1404">
        <v>3.6116417968507752</v>
      </c>
      <c r="BG56" s="1404">
        <v>3.4052572693370355</v>
      </c>
      <c r="BH56" s="1845">
        <v>3.2105411227591714</v>
      </c>
      <c r="BI56" s="1404">
        <v>4.6124565936833193</v>
      </c>
      <c r="BJ56" s="1404">
        <v>4.6124565936833193</v>
      </c>
      <c r="BK56" s="1404">
        <v>4.6124565936833193</v>
      </c>
      <c r="BL56" s="1404">
        <v>4.6124565936833193</v>
      </c>
      <c r="BM56" s="1404">
        <v>4.6124565936833193</v>
      </c>
      <c r="BN56" s="1845">
        <v>4.6124565936833193</v>
      </c>
    </row>
    <row r="57" spans="1:66" ht="11.25" customHeight="1" thickBot="1">
      <c r="A57" s="1769">
        <f>IFERROR(IFERROR(SUMIF('FS_Detail(M)'!$L$10:$EQ$10,$C57,'FS_Detail(M)'!$L$79:$EQ$79)/COUNTIF('FS_Detail(M)'!$L$10:$EQ$10,'A&amp;R'!$C57),)/H87,)</f>
        <v>1</v>
      </c>
      <c r="B57" s="66"/>
      <c r="C57" s="1368">
        <f t="shared" si="45"/>
        <v>15</v>
      </c>
      <c r="D57" s="836">
        <f>IFERROR(SUMIF('FS_Detail(M)'!$L$10:$EQ$10,$C57,'FS_Detail(M)'!$L$61:$EQ$61)/COUNTIF('FS_Detail(M)'!$L$10:$EQ$10,'A&amp;R'!$C57),)</f>
        <v>24000000</v>
      </c>
      <c r="E57" s="13">
        <f ca="1">-SUMIF('CF(M)'!$L$10:$EQ$10,$C57,'CF(M)'!$L$98:$EQ$98)</f>
        <v>840000.00000000012</v>
      </c>
      <c r="F57" s="13">
        <f>-SUMIF('CF(M)'!$L$10:$EQ$10,$C57,'CF(M)'!$L$99:$EQ$99)</f>
        <v>0</v>
      </c>
      <c r="G57" s="1369">
        <f t="shared" ca="1" si="46"/>
        <v>7.0000000000000007E-2</v>
      </c>
      <c r="H57" s="948">
        <f>IFERROR(SUMIF('FS_Detail(M)'!$L$10:$EQ$10,$C57,'FS_Detail(M)'!$L$66:$EQ$66)/COUNTIF('FS_Detail(M)'!$L$10:$EQ$10,'A&amp;R'!$C57),)</f>
        <v>50000000</v>
      </c>
      <c r="I57" s="13">
        <f ca="1">-SUMIF('CF(M)'!$L$10:$EQ$10,$C57,'CF(M)'!$L$103:$EQ$103)</f>
        <v>1875000</v>
      </c>
      <c r="J57" s="13">
        <f>-SUMIF('CF(M)'!$L$10:$EQ$10,$C57,'CF(M)'!$L$104:$EQ$104)</f>
        <v>0</v>
      </c>
      <c r="K57" s="1707">
        <f t="shared" ca="1" si="47"/>
        <v>7.4999999999999997E-2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3"/>
      <c r="AM57" s="1954" t="s">
        <v>1432</v>
      </c>
      <c r="AN57" s="1942">
        <f ca="1">'DSCR(선,중)'!E48</f>
        <v>3.871688153930267</v>
      </c>
      <c r="AO57" s="1957">
        <v>3.871688153930267</v>
      </c>
      <c r="AP57" s="1958">
        <v>3.871688153930267</v>
      </c>
      <c r="AQ57" s="1958">
        <v>3.871688153930267</v>
      </c>
      <c r="AR57" s="1958">
        <v>3.871688153930267</v>
      </c>
      <c r="AS57" s="1958">
        <v>3.871688153930267</v>
      </c>
      <c r="AT57" s="1958">
        <v>3.871688153930267</v>
      </c>
      <c r="AU57" s="2059">
        <v>3.871688153930267</v>
      </c>
      <c r="AV57" s="1958">
        <v>3.8133302002641667</v>
      </c>
      <c r="AW57" s="1958">
        <v>3.7549722465980659</v>
      </c>
      <c r="AX57" s="1958">
        <v>3.6966142929319679</v>
      </c>
      <c r="AY57" s="1958">
        <v>3.6178949946104182</v>
      </c>
      <c r="AZ57" s="1958">
        <v>3.5015994943336937</v>
      </c>
      <c r="BA57" s="2059">
        <v>3.3853039940569705</v>
      </c>
      <c r="BB57" s="1958">
        <v>3.725023234494472</v>
      </c>
      <c r="BC57" s="1958">
        <v>3.587761708537061</v>
      </c>
      <c r="BD57" s="1958">
        <v>3.4445484510504993</v>
      </c>
      <c r="BE57" s="1958">
        <v>3.25687804306127</v>
      </c>
      <c r="BF57" s="1958">
        <v>3.0798735181445234</v>
      </c>
      <c r="BG57" s="1958">
        <v>2.9125949603937298</v>
      </c>
      <c r="BH57" s="1960">
        <v>2.7542138558444225</v>
      </c>
      <c r="BI57" s="1958">
        <v>3.871688153930267</v>
      </c>
      <c r="BJ57" s="1958">
        <v>3.871688153930267</v>
      </c>
      <c r="BK57" s="1958">
        <v>3.871688153930267</v>
      </c>
      <c r="BL57" s="1958">
        <v>3.871688153930267</v>
      </c>
      <c r="BM57" s="1958">
        <v>3.871688153930267</v>
      </c>
      <c r="BN57" s="1960">
        <v>3.871688153930267</v>
      </c>
    </row>
    <row r="58" spans="1:66" ht="11.25" customHeight="1" thickBot="1">
      <c r="A58" s="1769">
        <f>IFERROR(IFERROR(SUMIF('FS_Detail(M)'!$L$10:$EQ$10,$C58,'FS_Detail(M)'!$L$79:$EQ$79)/COUNTIF('FS_Detail(M)'!$L$10:$EQ$10,'A&amp;R'!$C58),)/H88,)</f>
        <v>1</v>
      </c>
      <c r="B58" s="66"/>
      <c r="C58" s="1368">
        <f t="shared" si="45"/>
        <v>16</v>
      </c>
      <c r="D58" s="836">
        <f>IFERROR(SUMIF('FS_Detail(M)'!$L$10:$EQ$10,$C58,'FS_Detail(M)'!$L$61:$EQ$61)/COUNTIF('FS_Detail(M)'!$L$10:$EQ$10,'A&amp;R'!$C58),)</f>
        <v>24000000</v>
      </c>
      <c r="E58" s="13">
        <f ca="1">-SUMIF('CF(M)'!$L$10:$EQ$10,$C58,'CF(M)'!$L$98:$EQ$98)</f>
        <v>840000.00000000012</v>
      </c>
      <c r="F58" s="13">
        <f>-SUMIF('CF(M)'!$L$10:$EQ$10,$C58,'CF(M)'!$L$99:$EQ$99)</f>
        <v>0</v>
      </c>
      <c r="G58" s="1369">
        <f t="shared" ca="1" si="46"/>
        <v>7.0000000000000007E-2</v>
      </c>
      <c r="H58" s="948">
        <f>IFERROR(SUMIF('FS_Detail(M)'!$L$10:$EQ$10,$C58,'FS_Detail(M)'!$L$66:$EQ$66)/COUNTIF('FS_Detail(M)'!$L$10:$EQ$10,'A&amp;R'!$C58),)</f>
        <v>50000000</v>
      </c>
      <c r="I58" s="13">
        <f ca="1">-SUMIF('CF(M)'!$L$10:$EQ$10,$C58,'CF(M)'!$L$103:$EQ$103)</f>
        <v>1875000</v>
      </c>
      <c r="J58" s="13">
        <f>-SUMIF('CF(M)'!$L$10:$EQ$10,$C58,'CF(M)'!$L$104:$EQ$104)</f>
        <v>0</v>
      </c>
      <c r="K58" s="1707">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5"/>
      <c r="AA58" s="5"/>
      <c r="AB58" s="5"/>
      <c r="AC58" s="5"/>
      <c r="AD58" s="90"/>
      <c r="AE58" s="90"/>
      <c r="AF58" s="90"/>
      <c r="AG58" s="90"/>
      <c r="AH58" s="90"/>
      <c r="AI58" s="279">
        <f>AJ58/K31</f>
        <v>13014.089960680982</v>
      </c>
      <c r="AJ58" s="91">
        <f>AJ57</f>
        <v>375860758.22378767</v>
      </c>
    </row>
    <row r="59" spans="1:66" ht="11.25" customHeight="1" thickBot="1">
      <c r="A59" s="1769">
        <f>IFERROR(IFERROR(SUMIF('FS_Detail(M)'!$L$10:$EQ$10,$C59,'FS_Detail(M)'!$L$79:$EQ$79)/COUNTIF('FS_Detail(M)'!$L$10:$EQ$10,'A&amp;R'!$C59),)/H89,)</f>
        <v>1</v>
      </c>
      <c r="B59" s="66"/>
      <c r="C59" s="1368">
        <f t="shared" si="45"/>
        <v>17</v>
      </c>
      <c r="D59" s="836">
        <f>IFERROR(SUMIF('FS_Detail(M)'!$L$10:$EQ$10,$C59,'FS_Detail(M)'!$L$61:$EQ$61)/COUNTIF('FS_Detail(M)'!$L$10:$EQ$10,'A&amp;R'!$C59),)</f>
        <v>24000000</v>
      </c>
      <c r="E59" s="13">
        <f ca="1">-SUMIF('CF(M)'!$L$10:$EQ$10,$C59,'CF(M)'!$L$98:$EQ$98)</f>
        <v>840000.00000000012</v>
      </c>
      <c r="F59" s="13">
        <f>-SUMIF('CF(M)'!$L$10:$EQ$10,$C59,'CF(M)'!$L$99:$EQ$99)</f>
        <v>0</v>
      </c>
      <c r="G59" s="1369">
        <f t="shared" ca="1" si="46"/>
        <v>7.0000000000000007E-2</v>
      </c>
      <c r="H59" s="948">
        <f>IFERROR(SUMIF('FS_Detail(M)'!$L$10:$EQ$10,$C59,'FS_Detail(M)'!$L$66:$EQ$66)/COUNTIF('FS_Detail(M)'!$L$10:$EQ$10,'A&amp;R'!$C59),)</f>
        <v>50000000</v>
      </c>
      <c r="I59" s="13">
        <f ca="1">-SUMIF('CF(M)'!$L$10:$EQ$10,$C59,'CF(M)'!$L$103:$EQ$103)</f>
        <v>1875000</v>
      </c>
      <c r="J59" s="13">
        <f>-SUMIF('CF(M)'!$L$10:$EQ$10,$C59,'CF(M)'!$L$104:$EQ$104)</f>
        <v>0</v>
      </c>
      <c r="K59" s="1707">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5"/>
      <c r="AA59" s="5"/>
      <c r="AB59" s="5"/>
      <c r="AC59" s="5"/>
      <c r="AD59" s="5"/>
      <c r="AE59" s="5"/>
      <c r="AF59" s="5"/>
      <c r="AG59" s="5"/>
      <c r="AH59" s="5"/>
      <c r="AI59" s="5"/>
      <c r="AJ59" s="840">
        <f>P28</f>
        <v>288900000</v>
      </c>
    </row>
    <row r="60" spans="1:66" ht="11.25" customHeight="1">
      <c r="A60" s="1769">
        <f>IFERROR(IFERROR(SUMIF('FS_Detail(M)'!$L$10:$EQ$10,$C60,'FS_Detail(M)'!$L$79:$EQ$79)/COUNTIF('FS_Detail(M)'!$L$10:$EQ$10,'A&amp;R'!$C60),)/H90,)</f>
        <v>1</v>
      </c>
      <c r="B60" s="66"/>
      <c r="C60" s="1368">
        <f t="shared" si="45"/>
        <v>18</v>
      </c>
      <c r="D60" s="836">
        <f>IFERROR(SUMIF('FS_Detail(M)'!$L$10:$EQ$10,$C60,'FS_Detail(M)'!$L$61:$EQ$61)/COUNTIF('FS_Detail(M)'!$L$10:$EQ$10,'A&amp;R'!$C60),)</f>
        <v>24000000</v>
      </c>
      <c r="E60" s="13">
        <f ca="1">-SUMIF('CF(M)'!$L$10:$EQ$10,$C60,'CF(M)'!$L$98:$EQ$98)</f>
        <v>840000.00000000012</v>
      </c>
      <c r="F60" s="13">
        <f>-SUMIF('CF(M)'!$L$10:$EQ$10,$C60,'CF(M)'!$L$99:$EQ$99)</f>
        <v>0</v>
      </c>
      <c r="G60" s="1369">
        <f t="shared" ca="1" si="46"/>
        <v>7.0000000000000007E-2</v>
      </c>
      <c r="H60" s="948">
        <f>IFERROR(SUMIF('FS_Detail(M)'!$L$10:$EQ$10,$C60,'FS_Detail(M)'!$L$66:$EQ$66)/COUNTIF('FS_Detail(M)'!$L$10:$EQ$10,'A&amp;R'!$C60),)</f>
        <v>50000000</v>
      </c>
      <c r="I60" s="13">
        <f ca="1">-SUMIF('CF(M)'!$L$10:$EQ$10,$C60,'CF(M)'!$L$103:$EQ$103)</f>
        <v>1875000</v>
      </c>
      <c r="J60" s="13">
        <f>-SUMIF('CF(M)'!$L$10:$EQ$10,$C60,'CF(M)'!$L$104:$EQ$104)</f>
        <v>0</v>
      </c>
      <c r="K60" s="1707">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5"/>
      <c r="AA60" s="5"/>
      <c r="AB60" s="5"/>
      <c r="AC60" s="5"/>
      <c r="AD60" s="5"/>
      <c r="AE60" s="5"/>
      <c r="AF60" s="5"/>
      <c r="AG60" s="5"/>
      <c r="AH60" s="5"/>
      <c r="AI60" s="13">
        <f>AJ62</f>
        <v>1879303.7911189385</v>
      </c>
      <c r="AJ60" s="840">
        <v>0</v>
      </c>
      <c r="AV60" s="1177" t="s">
        <v>620</v>
      </c>
      <c r="AW60" s="1888">
        <v>-0.15</v>
      </c>
      <c r="AX60" s="1888">
        <v>-0.1</v>
      </c>
      <c r="AY60" s="1888">
        <v>-0.05</v>
      </c>
      <c r="AZ60" s="1178" t="s">
        <v>1124</v>
      </c>
      <c r="BA60" s="1888">
        <v>0.05</v>
      </c>
      <c r="BB60" s="1888">
        <v>0.1</v>
      </c>
      <c r="BC60" s="1889">
        <v>0.15</v>
      </c>
      <c r="BD60" s="1890"/>
    </row>
    <row r="61" spans="1:66" ht="11.25" customHeight="1">
      <c r="A61" s="1769">
        <f>IFERROR(IFERROR(SUMIF('FS_Detail(M)'!$L$10:$EQ$10,$C61,'FS_Detail(M)'!$L$79:$EQ$79)/COUNTIF('FS_Detail(M)'!$L$10:$EQ$10,'A&amp;R'!$C61),)/H91,)</f>
        <v>1</v>
      </c>
      <c r="B61" s="66"/>
      <c r="C61" s="1368">
        <f t="shared" si="45"/>
        <v>19</v>
      </c>
      <c r="D61" s="836">
        <f>IFERROR(SUMIF('FS_Detail(M)'!$L$10:$EQ$10,$C61,'FS_Detail(M)'!$L$61:$EQ$61)/COUNTIF('FS_Detail(M)'!$L$10:$EQ$10,'A&amp;R'!$C61),)</f>
        <v>24000000</v>
      </c>
      <c r="E61" s="13">
        <f ca="1">-SUMIF('CF(M)'!$L$10:$EQ$10,$C61,'CF(M)'!$L$98:$EQ$98)</f>
        <v>840000.00000000012</v>
      </c>
      <c r="F61" s="13">
        <f>-SUMIF('CF(M)'!$L$10:$EQ$10,$C61,'CF(M)'!$L$99:$EQ$99)</f>
        <v>0</v>
      </c>
      <c r="G61" s="1369">
        <f t="shared" ca="1" si="46"/>
        <v>7.0000000000000007E-2</v>
      </c>
      <c r="H61" s="948">
        <f>IFERROR(SUMIF('FS_Detail(M)'!$L$10:$EQ$10,$C61,'FS_Detail(M)'!$L$66:$EQ$66)/COUNTIF('FS_Detail(M)'!$L$10:$EQ$10,'A&amp;R'!$C61),)</f>
        <v>50000000</v>
      </c>
      <c r="I61" s="13">
        <f ca="1">-SUMIF('CF(M)'!$L$10:$EQ$10,$C61,'CF(M)'!$L$103:$EQ$103)</f>
        <v>1875000</v>
      </c>
      <c r="J61" s="13">
        <f>-SUMIF('CF(M)'!$L$10:$EQ$10,$C61,'CF(M)'!$L$104:$EQ$104)</f>
        <v>0</v>
      </c>
      <c r="K61" s="1707">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91" t="s">
        <v>1125</v>
      </c>
      <c r="AW61" s="1892">
        <f>$AZ$61*(1+AW$60)</f>
        <v>50.500285812824913</v>
      </c>
      <c r="AX61" s="1893">
        <f>$AZ$61*(1+AX$60)</f>
        <v>53.470890860638143</v>
      </c>
      <c r="AY61" s="1892">
        <f>$AZ$61*(1+AY$60)</f>
        <v>56.441495908451373</v>
      </c>
      <c r="AZ61" s="1892">
        <f>59412.1009562646/1000</f>
        <v>59.412100956264602</v>
      </c>
      <c r="BA61" s="1892">
        <f>$AZ$61*(1+BA$60)</f>
        <v>62.382706004077832</v>
      </c>
      <c r="BB61" s="1892">
        <f>$AZ$61*(1+BB$60)</f>
        <v>65.353311051891069</v>
      </c>
      <c r="BC61" s="1894">
        <f>$AZ$61*(1+BC$60)</f>
        <v>68.323916099704292</v>
      </c>
      <c r="BD61" s="1897">
        <v>59.412100956264602</v>
      </c>
    </row>
    <row r="62" spans="1:66" ht="11.25" customHeight="1">
      <c r="A62" s="1769">
        <f>IFERROR(IFERROR(SUMIF('FS_Detail(M)'!$L$10:$EQ$10,$C62,'FS_Detail(M)'!$L$79:$EQ$79)/COUNTIF('FS_Detail(M)'!$L$10:$EQ$10,'A&amp;R'!$C62),)/H92,)</f>
        <v>0.83333333333333337</v>
      </c>
      <c r="B62" s="871"/>
      <c r="C62" s="1370">
        <f t="shared" si="45"/>
        <v>20</v>
      </c>
      <c r="D62" s="836">
        <f>IFERROR(SUMIF('FS_Detail(M)'!$L$10:$EQ$10,$C62,'FS_Detail(M)'!$L$61:$EQ$61)/COUNTIF('FS_Detail(M)'!$L$10:$EQ$10,'A&amp;R'!$C62),)</f>
        <v>24000000</v>
      </c>
      <c r="E62" s="13">
        <f ca="1">-SUMIF('CF(M)'!$L$10:$EQ$10,$C62,'CF(M)'!$L$98:$EQ$98)</f>
        <v>840000.00000000012</v>
      </c>
      <c r="F62" s="13">
        <f>-SUMIF('CF(M)'!$L$10:$EQ$10,$C62,'CF(M)'!$L$99:$EQ$99)</f>
        <v>0</v>
      </c>
      <c r="G62" s="1369">
        <f t="shared" ca="1" si="46"/>
        <v>7.0000000000000007E-2</v>
      </c>
      <c r="H62" s="948">
        <f>IFERROR(SUMIF('FS_Detail(M)'!$L$10:$EQ$10,$C62,'FS_Detail(M)'!$L$66:$EQ$66)/COUNTIF('FS_Detail(M)'!$L$10:$EQ$10,'A&amp;R'!$C62),)</f>
        <v>50000000</v>
      </c>
      <c r="I62" s="13">
        <f ca="1">-SUMIF('CF(M)'!$L$10:$EQ$10,$C62,'CF(M)'!$L$103:$EQ$103)</f>
        <v>1875000</v>
      </c>
      <c r="J62" s="13">
        <f>-SUMIF('CF(M)'!$L$10:$EQ$10,$C62,'CF(M)'!$L$104:$EQ$104)</f>
        <v>12115106.954888193</v>
      </c>
      <c r="K62" s="1707">
        <f t="shared" ca="1" si="47"/>
        <v>0.55960427819552772</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2" t="s">
        <v>1116</v>
      </c>
      <c r="AW62" s="1216">
        <f t="shared" ref="AW62:AY66" si="57">AP43</f>
        <v>7.122499999999965E-2</v>
      </c>
      <c r="AX62" s="1205">
        <f t="shared" si="57"/>
        <v>7.122499999999965E-2</v>
      </c>
      <c r="AY62" s="1216">
        <f t="shared" si="57"/>
        <v>7.122499999999965E-2</v>
      </c>
      <c r="AZ62" s="1216">
        <f>AO43</f>
        <v>7.122499999999965E-2</v>
      </c>
      <c r="BA62" s="1216">
        <f t="shared" ref="BA62:BC66" si="58">AS43</f>
        <v>7.122499999999965E-2</v>
      </c>
      <c r="BB62" s="1216">
        <f t="shared" si="58"/>
        <v>7.122499999999965E-2</v>
      </c>
      <c r="BC62" s="1898">
        <f t="shared" si="58"/>
        <v>7.122499999999965E-2</v>
      </c>
      <c r="BD62" s="1895">
        <f ca="1">G68</f>
        <v>7.122499999999965E-2</v>
      </c>
    </row>
    <row r="63" spans="1:66" ht="11.25" customHeight="1" thickBot="1">
      <c r="B63" s="261"/>
      <c r="C63" s="1371" t="s">
        <v>59</v>
      </c>
      <c r="D63" s="1268">
        <f>SUM(D42:D62)/(O41/6)</f>
        <v>24000000</v>
      </c>
      <c r="E63" s="1090">
        <f ca="1">SUM(E42:E62)</f>
        <v>16800000.000000004</v>
      </c>
      <c r="F63" s="1090">
        <f>SUM(F42:F62)</f>
        <v>0</v>
      </c>
      <c r="G63" s="1269"/>
      <c r="H63" s="1090">
        <f>SUM(H42:H62)/(O44/6)</f>
        <v>50000000</v>
      </c>
      <c r="I63" s="1090">
        <f ca="1">SUM(I42:I62)</f>
        <v>37500000</v>
      </c>
      <c r="J63" s="1090">
        <f>SUM(J42:J62)</f>
        <v>12115106.954888193</v>
      </c>
      <c r="K63" s="1372"/>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2768" t="s">
        <v>1239</v>
      </c>
      <c r="AM63" s="2770" t="s">
        <v>1240</v>
      </c>
      <c r="AN63" s="2771"/>
      <c r="AO63" s="2771"/>
      <c r="AP63" s="2771"/>
      <c r="AQ63" s="2771"/>
      <c r="AR63" s="2771"/>
      <c r="AS63" s="2768"/>
      <c r="AV63" s="1692" t="s">
        <v>1117</v>
      </c>
      <c r="AW63" s="1216">
        <f t="shared" si="57"/>
        <v>7.480826378550498E-2</v>
      </c>
      <c r="AX63" s="1205">
        <f t="shared" si="57"/>
        <v>8.1178036181138724E-2</v>
      </c>
      <c r="AY63" s="1216">
        <f t="shared" si="57"/>
        <v>8.7084483609695118E-2</v>
      </c>
      <c r="AZ63" s="1216">
        <f>AO44</f>
        <v>9.2431551034658277E-2</v>
      </c>
      <c r="BA63" s="1216">
        <f t="shared" si="58"/>
        <v>9.747188761077008E-2</v>
      </c>
      <c r="BB63" s="1216">
        <f t="shared" si="58"/>
        <v>0.10219894330578883</v>
      </c>
      <c r="BC63" s="1898">
        <f t="shared" si="58"/>
        <v>0.10609039661465514</v>
      </c>
      <c r="BD63" s="1895">
        <f ca="1">K68</f>
        <v>9.2431551034658277E-2</v>
      </c>
    </row>
    <row r="64" spans="1:66" ht="11.25" customHeight="1" thickBot="1">
      <c r="B64" s="261"/>
      <c r="C64" s="1373" t="s">
        <v>260</v>
      </c>
      <c r="D64" s="119"/>
      <c r="E64" s="5"/>
      <c r="F64" s="5"/>
      <c r="G64" s="952">
        <f>P41</f>
        <v>24000000</v>
      </c>
      <c r="H64" s="5"/>
      <c r="I64" s="5"/>
      <c r="J64" s="5"/>
      <c r="K64" s="1374">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2769"/>
      <c r="AM64" s="2110" t="s">
        <v>647</v>
      </c>
      <c r="AN64" s="2110">
        <v>0.02</v>
      </c>
      <c r="AO64" s="2110">
        <v>0.04</v>
      </c>
      <c r="AP64" s="2110">
        <v>0.06</v>
      </c>
      <c r="AQ64" s="2110">
        <v>0.08</v>
      </c>
      <c r="AR64" s="2110">
        <v>0.1</v>
      </c>
      <c r="AS64" s="2111">
        <v>0.12</v>
      </c>
      <c r="AV64" s="1692" t="s">
        <v>1118</v>
      </c>
      <c r="AW64" s="1899">
        <f t="shared" si="57"/>
        <v>0</v>
      </c>
      <c r="AX64" s="1900">
        <f t="shared" si="57"/>
        <v>0</v>
      </c>
      <c r="AY64" s="1899">
        <f t="shared" si="57"/>
        <v>0</v>
      </c>
      <c r="AZ64" s="1899">
        <f>AO45</f>
        <v>0</v>
      </c>
      <c r="BA64" s="1899">
        <f t="shared" si="58"/>
        <v>0</v>
      </c>
      <c r="BB64" s="1899">
        <f t="shared" si="58"/>
        <v>0</v>
      </c>
      <c r="BC64" s="1901">
        <f t="shared" si="58"/>
        <v>0</v>
      </c>
      <c r="BD64" s="1895">
        <f>G98</f>
        <v>0</v>
      </c>
    </row>
    <row r="65" spans="2:56" ht="11.25" customHeight="1" thickBot="1">
      <c r="B65" s="1966"/>
      <c r="C65" s="1375" t="s">
        <v>265</v>
      </c>
      <c r="D65" s="1356"/>
      <c r="E65" s="1355"/>
      <c r="F65" s="1355"/>
      <c r="G65" s="1357">
        <f ca="1">IFERROR((-'CF(M)'!J98/G64)*(12/O41),)</f>
        <v>7.0000000000000021E-2</v>
      </c>
      <c r="H65" s="1355"/>
      <c r="I65" s="1358"/>
      <c r="J65" s="1355"/>
      <c r="K65" s="1376">
        <f ca="1">(I63/H63)*(12/O41)</f>
        <v>7.5000000000000011E-2</v>
      </c>
      <c r="L65" s="118" t="s">
        <v>69</v>
      </c>
      <c r="M65" s="858" t="s">
        <v>510</v>
      </c>
      <c r="N65" s="791">
        <v>0</v>
      </c>
      <c r="O65" s="865">
        <f>N65*$K$31/1000</f>
        <v>0</v>
      </c>
      <c r="P65" s="865">
        <f>O65*12</f>
        <v>0</v>
      </c>
      <c r="Q65" s="866">
        <v>2.5000000000000001E-2</v>
      </c>
      <c r="R65" s="114"/>
      <c r="S65" s="116"/>
      <c r="T65" s="5"/>
      <c r="U65" s="54"/>
      <c r="V65" s="1827" t="s">
        <v>129</v>
      </c>
      <c r="W65" s="124"/>
      <c r="X65" s="124"/>
      <c r="Y65" s="1828"/>
      <c r="Z65" s="124"/>
      <c r="AA65" s="124"/>
      <c r="AB65" s="124"/>
      <c r="AC65" s="124"/>
      <c r="AD65" s="124"/>
      <c r="AE65" s="124"/>
      <c r="AF65" s="124"/>
      <c r="AG65" s="124"/>
      <c r="AH65" s="124"/>
      <c r="AI65" s="124"/>
      <c r="AJ65" s="846">
        <f>AJ61-SUM(AJ62:AJ64)</f>
        <v>70721828.045317322</v>
      </c>
      <c r="AL65" s="2112" t="s">
        <v>1241</v>
      </c>
      <c r="AM65" s="2195">
        <f>AO48</f>
        <v>1.6366367583310473</v>
      </c>
      <c r="AN65" s="2195">
        <f t="shared" ref="AN65:AS65" si="59">AV48</f>
        <v>1.5984644455397514</v>
      </c>
      <c r="AO65" s="2195">
        <f t="shared" si="59"/>
        <v>1.5602921327484554</v>
      </c>
      <c r="AP65" s="2195">
        <f t="shared" si="59"/>
        <v>1.5221198199571591</v>
      </c>
      <c r="AQ65" s="2195">
        <f t="shared" si="59"/>
        <v>1.4839475071658643</v>
      </c>
      <c r="AR65" s="2195">
        <f t="shared" si="59"/>
        <v>1.4457751943745685</v>
      </c>
      <c r="AS65" s="2197">
        <f t="shared" si="59"/>
        <v>1.4076028815832722</v>
      </c>
      <c r="AV65" s="1692" t="s">
        <v>225</v>
      </c>
      <c r="AW65" s="1899">
        <f t="shared" si="57"/>
        <v>-1.6472791432630141E-3</v>
      </c>
      <c r="AX65" s="1900">
        <f t="shared" si="57"/>
        <v>8.1119895795661368E-2</v>
      </c>
      <c r="AY65" s="1899">
        <f t="shared" si="57"/>
        <v>0.1294957505348211</v>
      </c>
      <c r="AZ65" s="1899">
        <f>AO46</f>
        <v>0.16438586395039967</v>
      </c>
      <c r="BA65" s="1899">
        <f t="shared" si="58"/>
        <v>0.19181680502850984</v>
      </c>
      <c r="BB65" s="1899">
        <f t="shared" si="58"/>
        <v>0.2145860765382992</v>
      </c>
      <c r="BC65" s="1901">
        <f t="shared" si="58"/>
        <v>0.23476570153328402</v>
      </c>
      <c r="BD65" s="1895">
        <f ca="1">K98</f>
        <v>0.16438586395039967</v>
      </c>
    </row>
    <row r="66" spans="2:56" ht="11.25" customHeight="1" thickBot="1">
      <c r="B66" s="1819"/>
      <c r="C66" s="1373" t="s">
        <v>266</v>
      </c>
      <c r="D66" s="119"/>
      <c r="E66" s="5"/>
      <c r="F66" s="5"/>
      <c r="G66" s="938">
        <f ca="1">IFERROR((-SUM('CF(M)'!J98:J99)/G64)*(12/O41),)</f>
        <v>7.0000000000000021E-2</v>
      </c>
      <c r="H66" s="5"/>
      <c r="I66" s="1377"/>
      <c r="J66" s="5"/>
      <c r="K66" s="1379">
        <f ca="1">(SUM(I63:J63)/H63)*(12/$O$41)</f>
        <v>9.9230213909776391E-2</v>
      </c>
      <c r="L66" s="939" t="s">
        <v>133</v>
      </c>
      <c r="M66" s="102"/>
      <c r="N66" s="49">
        <f>SUM(N63:N65)</f>
        <v>43815.836494227296</v>
      </c>
      <c r="O66" s="49">
        <f>SUM(O63:O65)</f>
        <v>1265447.9550000001</v>
      </c>
      <c r="P66" s="49">
        <f>SUM(P63:P65)</f>
        <v>15185375.460000001</v>
      </c>
      <c r="Q66" s="49"/>
      <c r="R66" s="49"/>
      <c r="S66" s="115"/>
      <c r="T66" s="36"/>
      <c r="U66" s="276"/>
      <c r="V66" s="1359" t="s">
        <v>483</v>
      </c>
      <c r="W66" s="1829"/>
      <c r="X66" s="1857" t="s">
        <v>1108</v>
      </c>
      <c r="Y66" s="1857"/>
      <c r="Z66" s="1829"/>
      <c r="AA66" s="1829"/>
      <c r="AB66" s="1829"/>
      <c r="AC66" s="1829"/>
      <c r="AD66" s="1829"/>
      <c r="AE66" s="1829"/>
      <c r="AF66" s="1829"/>
      <c r="AG66" s="1829"/>
      <c r="AH66" s="1829"/>
      <c r="AI66" s="1830"/>
      <c r="AJ66" s="11"/>
      <c r="AL66" s="2112" t="s">
        <v>1242</v>
      </c>
      <c r="AM66" s="2195">
        <f>AO50</f>
        <v>1.7386879167284843</v>
      </c>
      <c r="AN66" s="2195">
        <f t="shared" ref="AN66:AS66" si="60">AV50</f>
        <v>1.6984743043883617</v>
      </c>
      <c r="AO66" s="2195">
        <f t="shared" si="60"/>
        <v>1.6582606920482377</v>
      </c>
      <c r="AP66" s="2195">
        <f t="shared" si="60"/>
        <v>1.6180470797081152</v>
      </c>
      <c r="AQ66" s="2195">
        <f t="shared" si="60"/>
        <v>1.5778334673679923</v>
      </c>
      <c r="AR66" s="2195">
        <f t="shared" si="60"/>
        <v>1.5376198550278692</v>
      </c>
      <c r="AS66" s="2197">
        <f t="shared" si="60"/>
        <v>1.4974062426877464</v>
      </c>
      <c r="AV66" s="1885" t="s">
        <v>1126</v>
      </c>
      <c r="AW66" s="1902">
        <f t="shared" si="57"/>
        <v>6.004916109955305E-2</v>
      </c>
      <c r="AX66" s="1903">
        <f t="shared" si="57"/>
        <v>7.6499522188419267E-2</v>
      </c>
      <c r="AY66" s="1902">
        <f t="shared" si="57"/>
        <v>9.0799173395823995E-2</v>
      </c>
      <c r="AZ66" s="1902">
        <f>AO47</f>
        <v>0.10338270163662822</v>
      </c>
      <c r="BA66" s="1902">
        <f t="shared" si="58"/>
        <v>0.1146642546741421</v>
      </c>
      <c r="BB66" s="1902">
        <f t="shared" si="58"/>
        <v>0.12490668847220299</v>
      </c>
      <c r="BC66" s="1904">
        <f t="shared" si="58"/>
        <v>0.13431942965020993</v>
      </c>
      <c r="BD66" s="1895">
        <f ca="1">'CF(M)'!I132</f>
        <v>0.10338270163662822</v>
      </c>
    </row>
    <row r="67" spans="2:56" ht="11.25" customHeight="1" thickBot="1">
      <c r="B67" s="1819"/>
      <c r="C67" s="1373" t="s">
        <v>631</v>
      </c>
      <c r="D67" s="119">
        <f>COUNTIF('FS_Detail(M)'!$L$10:$EQ$10,'A&amp;R'!$C62)</f>
        <v>6</v>
      </c>
      <c r="E67" s="5"/>
      <c r="F67" s="5"/>
      <c r="G67" s="938">
        <f ca="1">'CF(M)'!I123</f>
        <v>7.122499999999965E-2</v>
      </c>
      <c r="H67" s="5"/>
      <c r="I67" s="1377"/>
      <c r="J67" s="5"/>
      <c r="K67" s="1379">
        <f ca="1">'CF(M)'!I125</f>
        <v>7.6382734954517195E-2</v>
      </c>
      <c r="L67" s="941" t="s">
        <v>24</v>
      </c>
      <c r="M67" s="784"/>
      <c r="N67" s="785" t="s">
        <v>495</v>
      </c>
      <c r="O67" s="785" t="s">
        <v>496</v>
      </c>
      <c r="P67" s="785" t="s">
        <v>498</v>
      </c>
      <c r="Q67" s="785" t="s">
        <v>235</v>
      </c>
      <c r="R67" s="785" t="s">
        <v>499</v>
      </c>
      <c r="S67" s="785" t="s">
        <v>90</v>
      </c>
      <c r="T67" s="786" t="s">
        <v>468</v>
      </c>
      <c r="U67" s="785"/>
      <c r="V67" s="1831"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2">
        <f t="shared" si="61"/>
        <v>10</v>
      </c>
      <c r="AJ67" s="762">
        <f t="shared" si="61"/>
        <v>11</v>
      </c>
      <c r="AL67" s="2112" t="s">
        <v>1243</v>
      </c>
      <c r="AM67" s="2195">
        <f>AO49</f>
        <v>1.260474277585605</v>
      </c>
      <c r="AN67" s="2195">
        <f t="shared" ref="AN67:AS67" si="62">AV49</f>
        <v>1.2310754399116632</v>
      </c>
      <c r="AO67" s="2195">
        <f t="shared" si="62"/>
        <v>1.2016766022377217</v>
      </c>
      <c r="AP67" s="2195">
        <f t="shared" si="62"/>
        <v>1.1722777645637799</v>
      </c>
      <c r="AQ67" s="2195">
        <f t="shared" si="62"/>
        <v>1.1428789268898392</v>
      </c>
      <c r="AR67" s="2195">
        <f t="shared" si="62"/>
        <v>1.1134800892158974</v>
      </c>
      <c r="AS67" s="2197">
        <f t="shared" si="62"/>
        <v>1.0840812515419556</v>
      </c>
      <c r="AV67" s="1891"/>
      <c r="AW67" s="1891"/>
      <c r="AX67" s="1891"/>
      <c r="AY67" s="1891"/>
      <c r="AZ67" s="1891"/>
      <c r="BA67" s="1891"/>
    </row>
    <row r="68" spans="2:56" ht="11.25" customHeight="1" thickBot="1">
      <c r="B68" s="1967"/>
      <c r="C68" s="1380" t="s">
        <v>267</v>
      </c>
      <c r="D68" s="1352"/>
      <c r="E68" s="1381"/>
      <c r="F68" s="1381"/>
      <c r="G68" s="1353">
        <f ca="1">'CF(M)'!I124</f>
        <v>7.122499999999965E-2</v>
      </c>
      <c r="H68" s="1381"/>
      <c r="I68" s="1382">
        <v>0.105</v>
      </c>
      <c r="J68" s="1381"/>
      <c r="K68" s="1383">
        <f ca="1">'CF(M)'!I126</f>
        <v>9.2431551034658277E-2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70">
        <v>0.5</v>
      </c>
      <c r="V68" s="1833" t="s">
        <v>484</v>
      </c>
      <c r="W68" s="109"/>
      <c r="X68" s="963">
        <f>MIN(Z68:AA68)</f>
        <v>13105.364981746541</v>
      </c>
      <c r="Y68" s="790">
        <f>AVERAGE(Z68:AD68)</f>
        <v>13311.226949925902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4">
        <f>SUMIF('NOI(M)'!$M$11:$ER$11,AI$67,'NOI(M)'!$M$33:$ER$33)/1000</f>
        <v>17672.536372248</v>
      </c>
      <c r="AJ68" s="960">
        <f>SUMIF('NOI(M)'!$M$11:$ER$11,AJ$67,'NOI(M)'!$M$33:$ER$33)</f>
        <v>0</v>
      </c>
      <c r="AL68" s="2112" t="s">
        <v>1244</v>
      </c>
      <c r="AM68" s="2196">
        <f>AO51</f>
        <v>1.3390701294158891</v>
      </c>
      <c r="AN68" s="2196">
        <f t="shared" ref="AN68:AS68" si="65">AV51</f>
        <v>1.308099161847488</v>
      </c>
      <c r="AO68" s="2196">
        <f t="shared" si="65"/>
        <v>1.2771281942790864</v>
      </c>
      <c r="AP68" s="2196">
        <f t="shared" si="65"/>
        <v>1.2461572267106855</v>
      </c>
      <c r="AQ68" s="2196">
        <f t="shared" si="65"/>
        <v>1.2151862591422844</v>
      </c>
      <c r="AR68" s="2196">
        <f t="shared" si="65"/>
        <v>1.1842152915738833</v>
      </c>
      <c r="AS68" s="2197">
        <f t="shared" si="65"/>
        <v>1.1532443240054819</v>
      </c>
      <c r="AV68" s="1891"/>
      <c r="AW68" s="1891"/>
      <c r="AX68" s="1891"/>
      <c r="AY68" s="1891"/>
      <c r="AZ68" s="1891"/>
      <c r="BA68" s="1891"/>
    </row>
    <row r="69" spans="2:56" ht="11.25" customHeight="1" thickBot="1">
      <c r="B69" s="1968"/>
      <c r="C69" s="1373" t="s">
        <v>268</v>
      </c>
      <c r="D69" s="119"/>
      <c r="E69" s="5"/>
      <c r="F69" s="5"/>
      <c r="G69" s="1655">
        <f ca="1">IFERROR((SUM(E63:F63)+G64)/G64,)</f>
        <v>1.7</v>
      </c>
      <c r="H69" s="5"/>
      <c r="I69" s="5"/>
      <c r="J69" s="5"/>
      <c r="K69" s="1656">
        <f ca="1">(SUM(I63:J63)+K64)/K64</f>
        <v>1.992302139097764</v>
      </c>
      <c r="L69" s="118" t="s">
        <v>135</v>
      </c>
      <c r="M69" s="858" t="s">
        <v>510</v>
      </c>
      <c r="N69" s="1004">
        <v>1838</v>
      </c>
      <c r="O69" s="792">
        <f>$N69*$K$31/1000</f>
        <v>53083.394667049994</v>
      </c>
      <c r="P69" s="792">
        <f t="shared" si="63"/>
        <v>637000.73600459995</v>
      </c>
      <c r="Q69" s="793">
        <v>0.02</v>
      </c>
      <c r="R69" s="794">
        <f t="shared" si="64"/>
        <v>46691</v>
      </c>
      <c r="S69" s="116"/>
      <c r="T69" s="789" t="s">
        <v>500</v>
      </c>
      <c r="U69" s="1270">
        <v>2</v>
      </c>
      <c r="V69" s="1835" t="s">
        <v>1076</v>
      </c>
      <c r="W69" s="1773"/>
      <c r="X69" s="1774"/>
      <c r="Y69" s="1775"/>
      <c r="Z69" s="1927">
        <f ca="1">('CF(Y)'!M116-'CF(Y)'!M35 +'CF(Y)'!M9+'CF(Y)'!M49)/1000</f>
        <v>35657.127868278978</v>
      </c>
      <c r="AA69" s="1927">
        <f ca="1">('CF(Y)'!N116-'CF(Y)'!N35 +'CF(Y)'!N9+'CF(Y)'!N49)/1000</f>
        <v>19099.911853300451</v>
      </c>
      <c r="AB69" s="1927">
        <f ca="1">('CF(Y)'!O116-'CF(Y)'!O35 +'CF(Y)'!O9+'CF(Y)'!O49)/1000</f>
        <v>17331.732021662418</v>
      </c>
      <c r="AC69" s="1927">
        <f ca="1">('CF(Y)'!P116-'CF(Y)'!P35 +'CF(Y)'!P9+'CF(Y)'!P49)/1000</f>
        <v>16205.540681314336</v>
      </c>
      <c r="AD69" s="1927">
        <f ca="1">('CF(Y)'!Q116-'CF(Y)'!Q35 +'CF(Y)'!Q9+'CF(Y)'!Q49)/1000</f>
        <v>15521.785597680755</v>
      </c>
      <c r="AE69" s="1927">
        <f ca="1">('CF(Y)'!R116-'CF(Y)'!R35 +'CF(Y)'!R9+'CF(Y)'!R49)/1000</f>
        <v>15403.856913466205</v>
      </c>
      <c r="AF69" s="1927">
        <f ca="1">('CF(Y)'!S116-'CF(Y)'!S35 +'CF(Y)'!S9+'CF(Y)'!S49)/1000</f>
        <v>16123.80988103633</v>
      </c>
      <c r="AG69" s="1927">
        <f ca="1">('CF(Y)'!T116-'CF(Y)'!T35 +'CF(Y)'!T9+'CF(Y)'!T49)/1000</f>
        <v>16554.216419707031</v>
      </c>
      <c r="AH69" s="1927">
        <f ca="1">('CF(Y)'!U116-'CF(Y)'!U35 +'CF(Y)'!U9+'CF(Y)'!U49)/1000</f>
        <v>17983.50587149584</v>
      </c>
      <c r="AI69" s="1928">
        <f ca="1">('CF(Y)'!V116-'CF(Y)'!V35 +'CF(Y)'!V9+'CF(Y)'!V49)/1000</f>
        <v>379490.53477444092</v>
      </c>
      <c r="AJ69" s="1776"/>
      <c r="AV69" s="2764" t="s">
        <v>620</v>
      </c>
      <c r="AW69" s="1291" t="s">
        <v>1124</v>
      </c>
      <c r="AX69" s="2766">
        <v>0.02</v>
      </c>
      <c r="AY69" s="2766">
        <v>0.04</v>
      </c>
      <c r="AZ69" s="2766">
        <v>0.06</v>
      </c>
      <c r="BA69" s="2766">
        <v>0.08</v>
      </c>
      <c r="BB69" s="2766">
        <v>0.1</v>
      </c>
      <c r="BC69" s="2772">
        <v>0.12</v>
      </c>
      <c r="BD69" s="1939" t="s">
        <v>1114</v>
      </c>
    </row>
    <row r="70" spans="2:56" ht="11.25" customHeight="1" thickBot="1">
      <c r="B70" s="6" t="s">
        <v>274</v>
      </c>
      <c r="C70" s="1359"/>
      <c r="D70" s="1360" t="s">
        <v>1087</v>
      </c>
      <c r="E70" s="1360"/>
      <c r="F70" s="1360"/>
      <c r="G70" s="1360"/>
      <c r="H70" s="1361" t="s">
        <v>19</v>
      </c>
      <c r="I70" s="1362"/>
      <c r="J70" s="1362"/>
      <c r="K70" s="1363"/>
      <c r="L70" s="2749" t="s">
        <v>78</v>
      </c>
      <c r="M70" s="2750" t="s">
        <v>510</v>
      </c>
      <c r="N70" s="2751">
        <v>90</v>
      </c>
      <c r="O70" s="2752">
        <f>$N70*$K$31/1000</f>
        <v>2599.2957127499999</v>
      </c>
      <c r="P70" s="2752">
        <f t="shared" si="63"/>
        <v>31191.548553000001</v>
      </c>
      <c r="Q70" s="2753">
        <v>0.02</v>
      </c>
      <c r="R70" s="2754">
        <f t="shared" si="64"/>
        <v>46691</v>
      </c>
      <c r="S70" s="116"/>
      <c r="U70" s="54"/>
      <c r="V70" s="1836" t="s">
        <v>796</v>
      </c>
      <c r="W70" s="1837"/>
      <c r="X70" s="1770">
        <f t="shared" ref="X70:X81" si="66">MIN(Z70:AA70)</f>
        <v>7640</v>
      </c>
      <c r="Y70" s="1771">
        <f t="shared" ref="Y70:Y76" si="67">AVERAGE(Z70:AB70)</f>
        <v>8501.3333333333339</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4">
        <f>(-SUMIF('CF(M)'!$L$11:$EQ$11,AI$67,'CF(M)'!$L$41:$EQ$41)-SUMIF('CF(M)'!$L$11:$EQ$11,AI$67,'CF(M)'!$L$42:$EQ$42)-SUMIF('CF(M)'!$L$11:$EQ$11,AI$67,'CF(M)'!$L$43:$EQ$43)-SUMIF('CF(M)'!$L$11:$EQ$11,AI$67,'CF(M)'!$L$79:$EQ$79))/1000</f>
        <v>222585</v>
      </c>
      <c r="AJ70" s="1772">
        <f>-SUMIF('CF(M)'!$L$11:$EQ$11,AJ$67,'CF(M)'!$L$41:$EQ$41)-SUMIF('CF(M)'!$L$11:$EQ$11,AJ$67,'CF(M)'!$L$42:$EQ$42)-SUMIF('CF(M)'!$L$11:$EQ$11,AJ$67,'CF(M)'!$L$43:$EQ$43)</f>
        <v>0</v>
      </c>
      <c r="AV70" s="2765"/>
      <c r="AW70" s="1896">
        <f>X23</f>
        <v>6.7500938244372463E-3</v>
      </c>
      <c r="AX70" s="2767"/>
      <c r="AY70" s="2767"/>
      <c r="AZ70" s="2767"/>
      <c r="BA70" s="2767"/>
      <c r="BB70" s="2767"/>
      <c r="BC70" s="2773"/>
      <c r="BD70" s="1883">
        <v>0</v>
      </c>
    </row>
    <row r="71" spans="2:56" ht="11.25" customHeight="1">
      <c r="B71" s="101" t="s">
        <v>24</v>
      </c>
      <c r="C71" s="1364"/>
      <c r="D71" s="285" t="s">
        <v>259</v>
      </c>
      <c r="E71" s="16" t="s">
        <v>261</v>
      </c>
      <c r="F71" s="16" t="s">
        <v>262</v>
      </c>
      <c r="G71" s="16" t="s">
        <v>263</v>
      </c>
      <c r="H71" s="945" t="s">
        <v>260</v>
      </c>
      <c r="I71" s="18" t="s">
        <v>261</v>
      </c>
      <c r="J71" s="18" t="s">
        <v>262</v>
      </c>
      <c r="K71" s="1365" t="s">
        <v>263</v>
      </c>
      <c r="L71" s="118" t="s">
        <v>136</v>
      </c>
      <c r="M71" s="858" t="s">
        <v>510</v>
      </c>
      <c r="N71" s="791">
        <v>0</v>
      </c>
      <c r="O71" s="792">
        <f>$N71*$K$31/1000</f>
        <v>0</v>
      </c>
      <c r="P71" s="792">
        <f t="shared" si="63"/>
        <v>0</v>
      </c>
      <c r="Q71" s="793">
        <v>0.02</v>
      </c>
      <c r="R71" s="794">
        <f t="shared" si="64"/>
        <v>46691</v>
      </c>
      <c r="S71" s="116"/>
      <c r="T71" s="117"/>
      <c r="U71" s="54"/>
      <c r="V71" s="1836" t="s">
        <v>799</v>
      </c>
      <c r="W71" s="1838" t="s">
        <v>1079</v>
      </c>
      <c r="X71" s="1777">
        <f t="shared" si="66"/>
        <v>1.7153619086055683</v>
      </c>
      <c r="Y71" s="1778">
        <f>AVERAGE(Z71:AA71)</f>
        <v>1.7386879167284843</v>
      </c>
      <c r="Z71" s="1932">
        <f t="shared" ref="Z71:AJ71" si="68">IFERROR(Z68/Z70,)</f>
        <v>1.7153619086055683</v>
      </c>
      <c r="AA71" s="1932">
        <f t="shared" si="68"/>
        <v>1.7620139248514004</v>
      </c>
      <c r="AB71" s="1933">
        <f t="shared" si="68"/>
        <v>0.8877336696666589</v>
      </c>
      <c r="AC71" s="1933">
        <f t="shared" si="68"/>
        <v>1.4881766411636224</v>
      </c>
      <c r="AD71" s="1933">
        <f t="shared" si="68"/>
        <v>1.5353752312294087</v>
      </c>
      <c r="AE71" s="1933">
        <f t="shared" si="68"/>
        <v>1.683549335804486</v>
      </c>
      <c r="AF71" s="1933">
        <f t="shared" si="68"/>
        <v>1.7304352990477911</v>
      </c>
      <c r="AG71" s="1933">
        <f t="shared" si="68"/>
        <v>1.6846811098723153</v>
      </c>
      <c r="AH71" s="1933">
        <f t="shared" si="68"/>
        <v>1.7846098607702741</v>
      </c>
      <c r="AI71" s="1934">
        <f t="shared" si="68"/>
        <v>7.9396798401725185E-2</v>
      </c>
      <c r="AJ71" s="1779">
        <f t="shared" si="68"/>
        <v>0</v>
      </c>
      <c r="AV71" s="1692" t="s">
        <v>1116</v>
      </c>
      <c r="AW71" s="1216">
        <f>AZ62</f>
        <v>7.122499999999965E-2</v>
      </c>
      <c r="AX71" s="1205">
        <f t="shared" ref="AX71:BC75" si="69">AV43</f>
        <v>7.122499999999965E-2</v>
      </c>
      <c r="AY71" s="1216">
        <f t="shared" si="69"/>
        <v>7.122499999999965E-2</v>
      </c>
      <c r="AZ71" s="1216">
        <f t="shared" si="69"/>
        <v>7.122499999999965E-2</v>
      </c>
      <c r="BA71" s="1216">
        <f t="shared" si="69"/>
        <v>7.122499999999965E-2</v>
      </c>
      <c r="BB71" s="1216">
        <f t="shared" si="69"/>
        <v>7.122499999999965E-2</v>
      </c>
      <c r="BC71" s="1898">
        <f t="shared" si="69"/>
        <v>7.102990812886012E-2</v>
      </c>
      <c r="BD71" s="1905">
        <f ca="1">BD62</f>
        <v>7.122499999999965E-2</v>
      </c>
    </row>
    <row r="72" spans="2:56" ht="11.25" customHeight="1" thickBot="1">
      <c r="B72" s="105"/>
      <c r="C72" s="1366">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7"/>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9" t="s">
        <v>799</v>
      </c>
      <c r="W72" s="1781" t="s">
        <v>1081</v>
      </c>
      <c r="X72" s="1782">
        <f t="shared" ca="1" si="66"/>
        <v>2.4999884624738811</v>
      </c>
      <c r="Y72" s="1783">
        <f ca="1">AVERAGE(Z72:AA72)</f>
        <v>3.5835758980091246</v>
      </c>
      <c r="Z72" s="1935">
        <f t="shared" ref="Z72:AI72" ca="1" si="70">Z69/Z70</f>
        <v>4.6671633335443685</v>
      </c>
      <c r="AA72" s="1935">
        <f t="shared" ca="1" si="70"/>
        <v>2.4999884624738811</v>
      </c>
      <c r="AB72" s="1936">
        <f t="shared" ca="1" si="70"/>
        <v>1.6952007063441332</v>
      </c>
      <c r="AC72" s="1936">
        <f t="shared" ca="1" si="70"/>
        <v>1.5850489711770672</v>
      </c>
      <c r="AD72" s="1936">
        <f t="shared" ca="1" si="70"/>
        <v>1.5181715177700268</v>
      </c>
      <c r="AE72" s="1936">
        <f t="shared" ca="1" si="70"/>
        <v>1.607079490189484</v>
      </c>
      <c r="AF72" s="1936">
        <f t="shared" ca="1" si="70"/>
        <v>1.6821919542030599</v>
      </c>
      <c r="AG72" s="1936">
        <f t="shared" ca="1" si="70"/>
        <v>1.7270961314248336</v>
      </c>
      <c r="AH72" s="1936">
        <f t="shared" ca="1" si="70"/>
        <v>1.8762134451221533</v>
      </c>
      <c r="AI72" s="1937">
        <f t="shared" ca="1" si="70"/>
        <v>1.7049241178625736</v>
      </c>
      <c r="AJ72" s="1784"/>
      <c r="AV72" s="1692" t="s">
        <v>1117</v>
      </c>
      <c r="AW72" s="1216">
        <f t="shared" ref="AW72:AW75" si="71">AZ63</f>
        <v>9.2431551034658277E-2</v>
      </c>
      <c r="AX72" s="1205">
        <f t="shared" si="69"/>
        <v>8.9074240167156704E-2</v>
      </c>
      <c r="AY72" s="1216">
        <f t="shared" si="69"/>
        <v>8.496388775545749E-2</v>
      </c>
      <c r="AZ72" s="1216">
        <f t="shared" si="69"/>
        <v>8.0827873055221655E-2</v>
      </c>
      <c r="BA72" s="1216">
        <f t="shared" si="69"/>
        <v>7.6537795320307245E-2</v>
      </c>
      <c r="BB72" s="1216">
        <f t="shared" si="69"/>
        <v>7.2054238683268323E-2</v>
      </c>
      <c r="BC72" s="1898">
        <f t="shared" si="69"/>
        <v>6.7710609850734294E-2</v>
      </c>
      <c r="BD72" s="1905">
        <f ca="1">BD63</f>
        <v>9.2431551034658277E-2</v>
      </c>
    </row>
    <row r="73" spans="2:56" ht="11.25" customHeight="1" thickBot="1">
      <c r="B73" s="870"/>
      <c r="C73" s="1368">
        <f t="shared" ref="C73:C92" si="72">C72+1</f>
        <v>1</v>
      </c>
      <c r="D73" s="1728">
        <f>IFERROR(SUMIF('FS_Detail(M)'!$L$10:$EQ$10,$C43,'FS_Detail(M)'!$L$71:$EQ$71)/COUNTIF('FS_Detail(M)'!$L$10:$EQ$10,'A&amp;R'!$C43),)</f>
        <v>10000000</v>
      </c>
      <c r="E73" s="1729">
        <f>-SUMIF('CF(M)'!$L$10:$EQ$10,$C73,'CF(M)'!$L$108:$EQ$108)</f>
        <v>0</v>
      </c>
      <c r="F73" s="1729">
        <f>-SUMIF('CF(M)'!$L$10:$EQ$10,$C73,'CF(M)'!$L$99:$EQ$99)</f>
        <v>0</v>
      </c>
      <c r="G73" s="1730">
        <f>IFERROR(SUM(E73:F73)/D73*(12/6),)</f>
        <v>0</v>
      </c>
      <c r="H73" s="1671">
        <f>IFERROR(SUMIF('FS_Detail(M)'!$L$10:$EQ$10,$C73,'FS_Detail(M)'!$L$76:$EQ$76)/COUNTIF('FS_Detail(M)'!$L$10:$EQ$10,'A&amp;R'!$C73),)+IFERROR(SUMIF('FS_Detail(M)'!$L$10:$EQ$10,$C73,'FS_Detail(M)'!$L$83:$EQ$83)/COUNTIF('FS_Detail(M)'!$L$10:$EQ$10,'A&amp;R'!$C73),)</f>
        <v>14800000</v>
      </c>
      <c r="I73" s="1671">
        <f ca="1">-SUMIF('CF(M)'!$L$10:$EQ$10,$C73,'CF(M)'!$L$113:$EQ$113)</f>
        <v>555000</v>
      </c>
      <c r="J73" s="1671">
        <f>-SUMIF('CF(M)'!$L$10:$EQ$10,$C73,'CF(M)'!$L$114:$EQ$114)</f>
        <v>0</v>
      </c>
      <c r="K73" s="1858">
        <f t="shared" ref="K73:K92" ca="1" si="73">IFERROR(SUM(I73:J73)/H73*(12/6),)</f>
        <v>7.4999999999999997E-2</v>
      </c>
      <c r="L73" s="118" t="s">
        <v>86</v>
      </c>
      <c r="M73" s="858" t="s">
        <v>510</v>
      </c>
      <c r="N73" s="1611">
        <f>O73/$K$31*1000</f>
        <v>595.11809003194378</v>
      </c>
      <c r="O73" s="792">
        <f>P73/12</f>
        <v>17187.643333333333</v>
      </c>
      <c r="P73" s="792">
        <f>토지분재산세!I7/1000*($U$73=0)+('A&amp;R'!$U$73=1)*토지분재산세!J42/1000</f>
        <v>206251.72</v>
      </c>
      <c r="Q73" s="793">
        <v>0.02</v>
      </c>
      <c r="R73" s="794">
        <f t="shared" si="64"/>
        <v>46691</v>
      </c>
      <c r="S73" s="116"/>
      <c r="T73" s="1621" t="s">
        <v>1023</v>
      </c>
      <c r="U73" s="1743">
        <v>0</v>
      </c>
      <c r="V73" s="1840" t="s">
        <v>797</v>
      </c>
      <c r="W73" s="1256"/>
      <c r="X73" s="1257">
        <f t="shared" si="66"/>
        <v>9920</v>
      </c>
      <c r="Y73" s="1258">
        <f t="shared" si="67"/>
        <v>10021.333333333334</v>
      </c>
      <c r="Z73" s="1259">
        <f>Z70+(-SUMIF('CF(M)'!$L$11:$EQ$11,Z$67,'CF(M)'!$L$44:$EQ$44)-SUMIF('CF(M)'!$L$11:$EQ$11,Z$67,'CF(M)'!$L$45:$EQ$45)-SUMIF('CF(M)'!$L$11:$EQ$11,Z$67,'CF(M)'!$L$46:$EQ$46)-SUMIF('CF(M)'!$L$11:$EQ$11,Z$67,'CF(M)'!$L$88:$EQ$88))/1000</f>
        <v>9920</v>
      </c>
      <c r="AA73" s="1259">
        <f>AA70+(-SUMIF('CF(M)'!$L$11:$EQ$11,AA$67,'CF(M)'!$L$44:$EQ$44)-SUMIF('CF(M)'!$L$11:$EQ$11,AA$67,'CF(M)'!$L$45:$EQ$45)-SUMIF('CF(M)'!$L$11:$EQ$11,AA$67,'CF(M)'!$L$46:$EQ$46)-SUMIF('CF(M)'!$L$11:$EQ$11,AA$67,'CF(M)'!$L$88:$EQ$88))/1000</f>
        <v>9920</v>
      </c>
      <c r="AB73" s="1259">
        <f>AB70+(-SUMIF('CF(M)'!$L$11:$EQ$11,AB$67,'CF(M)'!$L$44:$EQ$44)-SUMIF('CF(M)'!$L$11:$EQ$11,AB$67,'CF(M)'!$L$45:$EQ$45)-SUMIF('CF(M)'!$L$11:$EQ$11,AB$67,'CF(M)'!$L$46:$EQ$46)-SUMIF('CF(M)'!$L$11:$EQ$11,AB$67,'CF(M)'!$L$88:$EQ$88))/1000</f>
        <v>10224</v>
      </c>
      <c r="AC73" s="1259">
        <f>AC70+(-SUMIF('CF(M)'!$L$11:$EQ$11,AC$67,'CF(M)'!$L$44:$EQ$44)-SUMIF('CF(M)'!$L$11:$EQ$11,AC$67,'CF(M)'!$L$45:$EQ$45)-SUMIF('CF(M)'!$L$11:$EQ$11,AC$67,'CF(M)'!$L$46:$EQ$46)-SUMIF('CF(M)'!$L$11:$EQ$11,AC$67,'CF(M)'!$L$88:$EQ$88))/1000</f>
        <v>10224</v>
      </c>
      <c r="AD73" s="1259">
        <f>AD70+(-SUMIF('CF(M)'!$L$11:$EQ$11,AD$67,'CF(M)'!$L$44:$EQ$44)-SUMIF('CF(M)'!$L$11:$EQ$11,AD$67,'CF(M)'!$L$45:$EQ$45)-SUMIF('CF(M)'!$L$11:$EQ$11,AD$67,'CF(M)'!$L$46:$EQ$46)-SUMIF('CF(M)'!$L$11:$EQ$11,AD$67,'CF(M)'!$L$88:$EQ$88))/1000</f>
        <v>10224</v>
      </c>
      <c r="AE73" s="1259">
        <f>AE70+(-SUMIF('CF(M)'!$L$11:$EQ$11,AE$67,'CF(M)'!$L$44:$EQ$44)-SUMIF('CF(M)'!$L$11:$EQ$11,AE$67,'CF(M)'!$L$45:$EQ$45)-SUMIF('CF(M)'!$L$11:$EQ$11,AE$67,'CF(M)'!$L$46:$EQ$46)-SUMIF('CF(M)'!$L$11:$EQ$11,AE$67,'CF(M)'!$L$88:$EQ$88))/1000</f>
        <v>9585</v>
      </c>
      <c r="AF73" s="1259">
        <f>AF70+(-SUMIF('CF(M)'!$L$11:$EQ$11,AF$67,'CF(M)'!$L$44:$EQ$44)-SUMIF('CF(M)'!$L$11:$EQ$11,AF$67,'CF(M)'!$L$45:$EQ$45)-SUMIF('CF(M)'!$L$11:$EQ$11,AF$67,'CF(M)'!$L$46:$EQ$46)-SUMIF('CF(M)'!$L$11:$EQ$11,AF$67,'CF(M)'!$L$88:$EQ$88))/1000</f>
        <v>9585</v>
      </c>
      <c r="AG73" s="1259">
        <f>AG70+(-SUMIF('CF(M)'!$L$11:$EQ$11,AG$67,'CF(M)'!$L$44:$EQ$44)-SUMIF('CF(M)'!$L$11:$EQ$11,AG$67,'CF(M)'!$L$45:$EQ$45)-SUMIF('CF(M)'!$L$11:$EQ$11,AG$67,'CF(M)'!$L$46:$EQ$46)-SUMIF('CF(M)'!$L$11:$EQ$11,AG$67,'CF(M)'!$L$88:$EQ$88))/1000</f>
        <v>9585</v>
      </c>
      <c r="AH73" s="1259">
        <f>AH70+(-SUMIF('CF(M)'!$L$11:$EQ$11,AH$67,'CF(M)'!$L$44:$EQ$44)-SUMIF('CF(M)'!$L$11:$EQ$11,AH$67,'CF(M)'!$L$45:$EQ$45)-SUMIF('CF(M)'!$L$11:$EQ$11,AH$67,'CF(M)'!$L$46:$EQ$46)-SUMIF('CF(M)'!$L$11:$EQ$11,AH$67,'CF(M)'!$L$88:$EQ$88))/1000</f>
        <v>9585</v>
      </c>
      <c r="AI73" s="1841">
        <f>AI70+(-SUMIF('CF(M)'!$L$11:$EQ$11,AI$67,'CF(M)'!$L$44:$EQ$44)-SUMIF('CF(M)'!$L$11:$EQ$11,AI$67,'CF(M)'!$L$45:$EQ$45)-SUMIF('CF(M)'!$L$11:$EQ$11,AI$67,'CF(M)'!$L$46:$EQ$46)-SUMIF('CF(M)'!$L$11:$EQ$11,AI$67,'CF(M)'!$L$88:$EQ$88))/1000</f>
        <v>222585</v>
      </c>
      <c r="AJ73" s="1260"/>
      <c r="AV73" s="1692" t="s">
        <v>1118</v>
      </c>
      <c r="AW73" s="1899">
        <f t="shared" si="71"/>
        <v>0</v>
      </c>
      <c r="AX73" s="1900">
        <f t="shared" si="69"/>
        <v>0</v>
      </c>
      <c r="AY73" s="1899">
        <f t="shared" si="69"/>
        <v>0</v>
      </c>
      <c r="AZ73" s="1899">
        <f t="shared" si="69"/>
        <v>0</v>
      </c>
      <c r="BA73" s="1899">
        <f t="shared" si="69"/>
        <v>0</v>
      </c>
      <c r="BB73" s="1899">
        <f t="shared" si="69"/>
        <v>0</v>
      </c>
      <c r="BC73" s="1901">
        <f t="shared" si="69"/>
        <v>0</v>
      </c>
      <c r="BD73" s="1905">
        <f>BD64</f>
        <v>0</v>
      </c>
    </row>
    <row r="74" spans="2:56" ht="11.25" customHeight="1" thickBot="1">
      <c r="B74" s="99"/>
      <c r="C74" s="1368">
        <f t="shared" si="72"/>
        <v>2</v>
      </c>
      <c r="D74" s="1731">
        <f>IFERROR(SUMIF('FS_Detail(M)'!$L$10:$EQ$10,$C44,'FS_Detail(M)'!$L$71:$EQ$71)/COUNTIF('FS_Detail(M)'!$L$10:$EQ$10,'A&amp;R'!$C44),)</f>
        <v>10000000</v>
      </c>
      <c r="E74" s="1732">
        <f>-SUMIF('CF(M)'!$L$10:$EQ$10,$C74,'CF(M)'!$L$108:$EQ$108)</f>
        <v>0</v>
      </c>
      <c r="F74" s="1732">
        <f>-SUMIF('CF(M)'!$L$10:$EQ$10,$C74,'CF(M)'!$L$99:$EQ$99)</f>
        <v>0</v>
      </c>
      <c r="G74" s="1733">
        <f t="shared" ref="G74:G92" si="74">IFERROR(SUM(E74:F74)/D74*(12/6),)</f>
        <v>0</v>
      </c>
      <c r="H74" s="1673">
        <f>IFERROR(SUMIF('FS_Detail(M)'!$L$10:$EQ$10,$C74,'FS_Detail(M)'!$L$76:$EQ$76)/COUNTIF('FS_Detail(M)'!$L$10:$EQ$10,'A&amp;R'!$C74),)+IFERROR(SUMIF('FS_Detail(M)'!$L$10:$EQ$10,$C74,'FS_Detail(M)'!$L$83:$EQ$83)/COUNTIF('FS_Detail(M)'!$L$10:$EQ$10,'A&amp;R'!$C74),)</f>
        <v>14800000</v>
      </c>
      <c r="I74" s="1673">
        <f ca="1">-SUMIF('CF(M)'!$L$10:$EQ$10,$C74,'CF(M)'!$L$113:$EQ$113)</f>
        <v>555000</v>
      </c>
      <c r="J74" s="1673">
        <f>-SUMIF('CF(M)'!$L$10:$EQ$10,$C74,'CF(M)'!$L$114:$EQ$114)</f>
        <v>0</v>
      </c>
      <c r="K74" s="1859">
        <f t="shared" ca="1" si="73"/>
        <v>7.4999999999999997E-2</v>
      </c>
      <c r="L74" s="118" t="s">
        <v>138</v>
      </c>
      <c r="M74" s="858" t="s">
        <v>510</v>
      </c>
      <c r="N74" s="1611">
        <f>O74/$K$31*1000</f>
        <v>372.34348529589016</v>
      </c>
      <c r="O74" s="792">
        <f>P74/12</f>
        <v>10753.675833333333</v>
      </c>
      <c r="P74" s="792">
        <f>종합부동산세!N56/1000*($U$73=0)+($U$73=1)*0</f>
        <v>129044.11</v>
      </c>
      <c r="Q74" s="793">
        <v>0.02</v>
      </c>
      <c r="R74" s="794">
        <f t="shared" si="64"/>
        <v>46691</v>
      </c>
      <c r="S74" s="116"/>
      <c r="T74" s="117"/>
      <c r="U74" s="277"/>
      <c r="V74" s="1842" t="s">
        <v>798</v>
      </c>
      <c r="W74" s="1843" t="s">
        <v>1078</v>
      </c>
      <c r="X74" s="1780">
        <f t="shared" si="66"/>
        <v>1.3211053409018692</v>
      </c>
      <c r="Y74" s="1712">
        <f>AVERAGE(Z74:AA74)</f>
        <v>1.3390701294158891</v>
      </c>
      <c r="Z74" s="1844">
        <f t="shared" ref="Z74:AI74" si="75">Z68/Z73</f>
        <v>1.3211053409018692</v>
      </c>
      <c r="AA74" s="1844">
        <f t="shared" si="75"/>
        <v>1.3570349179299093</v>
      </c>
      <c r="AB74" s="1404">
        <f t="shared" si="75"/>
        <v>0.8877336696666589</v>
      </c>
      <c r="AC74" s="1404">
        <f t="shared" si="75"/>
        <v>1.4881766411636224</v>
      </c>
      <c r="AD74" s="1404">
        <f t="shared" si="75"/>
        <v>1.5353752312294087</v>
      </c>
      <c r="AE74" s="1404">
        <f t="shared" si="75"/>
        <v>1.683549335804486</v>
      </c>
      <c r="AF74" s="1404">
        <f t="shared" si="75"/>
        <v>1.7304352990477911</v>
      </c>
      <c r="AG74" s="1404">
        <f t="shared" si="75"/>
        <v>1.6846811098723153</v>
      </c>
      <c r="AH74" s="1404">
        <f t="shared" si="75"/>
        <v>1.7846098607702741</v>
      </c>
      <c r="AI74" s="1845">
        <f t="shared" si="75"/>
        <v>7.9396798401725185E-2</v>
      </c>
      <c r="AJ74" s="262"/>
      <c r="AV74" s="1692" t="s">
        <v>225</v>
      </c>
      <c r="AW74" s="1899">
        <f t="shared" si="71"/>
        <v>0.16438586395039967</v>
      </c>
      <c r="AX74" s="1900">
        <f t="shared" si="69"/>
        <v>0.14584193293003511</v>
      </c>
      <c r="AY74" s="1899">
        <f t="shared" si="69"/>
        <v>0.12540918912420818</v>
      </c>
      <c r="AZ74" s="1899">
        <f t="shared" si="69"/>
        <v>0.10194424447774342</v>
      </c>
      <c r="BA74" s="1899">
        <f t="shared" si="69"/>
        <v>7.4486387589138836E-2</v>
      </c>
      <c r="BB74" s="1899">
        <f t="shared" si="69"/>
        <v>4.0207490912293142E-2</v>
      </c>
      <c r="BC74" s="1901">
        <f t="shared" si="69"/>
        <v>-8.8226804699635952E-3</v>
      </c>
      <c r="BD74" s="1905">
        <f ca="1">BD65</f>
        <v>0.16438586395039967</v>
      </c>
    </row>
    <row r="75" spans="2:56" ht="11.25" customHeight="1">
      <c r="B75" s="99"/>
      <c r="C75" s="1368">
        <f t="shared" si="72"/>
        <v>3</v>
      </c>
      <c r="D75" s="836">
        <f>IFERROR(SUMIF('FS_Detail(M)'!$L$10:$EQ$10,$C45,'FS_Detail(M)'!$L$71:$EQ$71)/COUNTIF('FS_Detail(M)'!$L$10:$EQ$10,'A&amp;R'!$C45),)</f>
        <v>10000000</v>
      </c>
      <c r="E75" s="13">
        <f>-SUMIF('CF(M)'!$L$10:$EQ$10,$C75,'CF(M)'!$L$108:$EQ$108)</f>
        <v>0</v>
      </c>
      <c r="F75" s="13">
        <f>-SUMIF('CF(M)'!$L$10:$EQ$10,$C75,'CF(M)'!$L$99:$EQ$99)</f>
        <v>0</v>
      </c>
      <c r="G75" s="1369">
        <f t="shared" si="74"/>
        <v>0</v>
      </c>
      <c r="H75" s="1672">
        <f>IFERROR(SUMIF('FS_Detail(M)'!$L$10:$EQ$10,$C75,'FS_Detail(M)'!$L$76:$EQ$76)/COUNTIF('FS_Detail(M)'!$L$10:$EQ$10,'A&amp;R'!$C75),)+IFERROR(SUMIF('FS_Detail(M)'!$L$10:$EQ$10,$C75,'FS_Detail(M)'!$L$83:$EQ$83)/COUNTIF('FS_Detail(M)'!$L$10:$EQ$10,'A&amp;R'!$C75),)</f>
        <v>14800000</v>
      </c>
      <c r="I75" s="1673">
        <f ca="1">-SUMIF('CF(M)'!$L$10:$EQ$10,$C75,'CF(M)'!$L$113:$EQ$113)</f>
        <v>0</v>
      </c>
      <c r="J75" s="1673">
        <f>-SUMIF('CF(M)'!$L$10:$EQ$10,$C75,'CF(M)'!$L$114:$EQ$114)</f>
        <v>0</v>
      </c>
      <c r="K75" s="1705">
        <f t="shared" ca="1" si="73"/>
        <v>0</v>
      </c>
      <c r="L75" s="118" t="s">
        <v>92</v>
      </c>
      <c r="M75" s="858" t="s">
        <v>510</v>
      </c>
      <c r="N75" s="1611">
        <f>O75/$K$31*1000</f>
        <v>1137.4068119675892</v>
      </c>
      <c r="O75" s="792">
        <f>P75/12</f>
        <v>32849.518333333333</v>
      </c>
      <c r="P75" s="792">
        <f>402239*0.98</f>
        <v>394194.22</v>
      </c>
      <c r="Q75" s="793">
        <v>-1.4999999999999999E-2</v>
      </c>
      <c r="R75" s="794">
        <f t="shared" si="64"/>
        <v>46691</v>
      </c>
      <c r="S75" s="116"/>
      <c r="T75" s="117"/>
      <c r="U75" s="277"/>
      <c r="V75" s="1846" t="s">
        <v>798</v>
      </c>
      <c r="W75" s="1785" t="s">
        <v>1080</v>
      </c>
      <c r="X75" s="1786">
        <f t="shared" ca="1" si="66"/>
        <v>1.9253943400504487</v>
      </c>
      <c r="Y75" s="1787">
        <f ca="1">AVERAGE(Z75:AA75)</f>
        <v>2.7599314375796085</v>
      </c>
      <c r="Z75" s="1788">
        <f t="shared" ref="Z75:AI75" ca="1" si="76">Z69/Z73</f>
        <v>3.594468535108768</v>
      </c>
      <c r="AA75" s="1788">
        <f t="shared" ca="1" si="76"/>
        <v>1.9253943400504487</v>
      </c>
      <c r="AB75" s="1788">
        <f t="shared" ca="1" si="76"/>
        <v>1.6952007063441332</v>
      </c>
      <c r="AC75" s="1788">
        <f t="shared" ca="1" si="76"/>
        <v>1.5850489711770672</v>
      </c>
      <c r="AD75" s="1788">
        <f t="shared" ca="1" si="76"/>
        <v>1.5181715177700268</v>
      </c>
      <c r="AE75" s="1788">
        <f t="shared" ca="1" si="76"/>
        <v>1.607079490189484</v>
      </c>
      <c r="AF75" s="1788">
        <f t="shared" ca="1" si="76"/>
        <v>1.6821919542030599</v>
      </c>
      <c r="AG75" s="1788">
        <f t="shared" ca="1" si="76"/>
        <v>1.7270961314248336</v>
      </c>
      <c r="AH75" s="1788">
        <f t="shared" ca="1" si="76"/>
        <v>1.8762134451221533</v>
      </c>
      <c r="AI75" s="1847">
        <f t="shared" ca="1" si="76"/>
        <v>1.7049241178625736</v>
      </c>
      <c r="AJ75" s="1789"/>
      <c r="AV75" s="1885" t="s">
        <v>1126</v>
      </c>
      <c r="AW75" s="1902">
        <f t="shared" si="71"/>
        <v>0.10338270163662822</v>
      </c>
      <c r="AX75" s="1903">
        <f t="shared" si="69"/>
        <v>9.644973287291192E-2</v>
      </c>
      <c r="AY75" s="1902">
        <f t="shared" si="69"/>
        <v>8.8929984625462088E-2</v>
      </c>
      <c r="AZ75" s="1902">
        <f t="shared" si="69"/>
        <v>8.1075159005310038E-2</v>
      </c>
      <c r="BA75" s="1902">
        <f t="shared" si="69"/>
        <v>7.2865836415147101E-2</v>
      </c>
      <c r="BB75" s="1902">
        <f t="shared" si="69"/>
        <v>6.4273742296912628E-2</v>
      </c>
      <c r="BC75" s="1904">
        <f t="shared" si="69"/>
        <v>5.5222159709774399E-2</v>
      </c>
      <c r="BD75" s="1905">
        <f ca="1">BD66</f>
        <v>0.10338270163662822</v>
      </c>
    </row>
    <row r="76" spans="2:56" ht="11.25" customHeight="1">
      <c r="B76" s="99"/>
      <c r="C76" s="1368">
        <f t="shared" si="72"/>
        <v>4</v>
      </c>
      <c r="D76" s="836">
        <f>IFERROR(SUMIF('FS_Detail(M)'!$L$10:$EQ$10,$C46,'FS_Detail(M)'!$L$71:$EQ$71)/COUNTIF('FS_Detail(M)'!$L$10:$EQ$10,'A&amp;R'!$C46),)</f>
        <v>10000000</v>
      </c>
      <c r="E76" s="13">
        <f>-SUMIF('CF(M)'!$L$10:$EQ$10,$C76,'CF(M)'!$L$108:$EQ$108)</f>
        <v>0</v>
      </c>
      <c r="F76" s="13">
        <f>-SUMIF('CF(M)'!$L$10:$EQ$10,$C76,'CF(M)'!$L$99:$EQ$99)</f>
        <v>0</v>
      </c>
      <c r="G76" s="1369">
        <f t="shared" si="74"/>
        <v>0</v>
      </c>
      <c r="H76" s="1672">
        <f>IFERROR(SUMIF('FS_Detail(M)'!$L$10:$EQ$10,$C76,'FS_Detail(M)'!$L$76:$EQ$76)/COUNTIF('FS_Detail(M)'!$L$10:$EQ$10,'A&amp;R'!$C76),)+IFERROR(SUMIF('FS_Detail(M)'!$L$10:$EQ$10,$C76,'FS_Detail(M)'!$L$83:$EQ$83)/COUNTIF('FS_Detail(M)'!$L$10:$EQ$10,'A&amp;R'!$C76),)</f>
        <v>14800000</v>
      </c>
      <c r="I76" s="1673">
        <f ca="1">-SUMIF('CF(M)'!$L$10:$EQ$10,$C76,'CF(M)'!$L$113:$EQ$113)</f>
        <v>0</v>
      </c>
      <c r="J76" s="1673">
        <f>-SUMIF('CF(M)'!$L$10:$EQ$10,$C76,'CF(M)'!$L$114:$EQ$114)</f>
        <v>0</v>
      </c>
      <c r="K76" s="1705">
        <f t="shared" ca="1" si="73"/>
        <v>0</v>
      </c>
      <c r="L76" s="118" t="s">
        <v>93</v>
      </c>
      <c r="M76" s="858" t="s">
        <v>510</v>
      </c>
      <c r="N76" s="791">
        <v>0</v>
      </c>
      <c r="O76" s="792">
        <f>$N76*$K$31/1000</f>
        <v>0</v>
      </c>
      <c r="P76" s="792">
        <f t="shared" si="63"/>
        <v>0</v>
      </c>
      <c r="Q76" s="793">
        <v>0.02</v>
      </c>
      <c r="R76" s="794">
        <f t="shared" si="64"/>
        <v>46691</v>
      </c>
      <c r="S76" s="116"/>
      <c r="T76" s="117"/>
      <c r="U76" s="277"/>
      <c r="V76" s="1840" t="s">
        <v>1025</v>
      </c>
      <c r="W76" s="1256"/>
      <c r="X76" s="1257">
        <f t="shared" ca="1" si="66"/>
        <v>11600</v>
      </c>
      <c r="Y76" s="1258">
        <f t="shared" ca="1" si="67"/>
        <v>11701.333333333334</v>
      </c>
      <c r="Z76" s="1259">
        <f ca="1">Z73+(-SUMIF('CF(M)'!$L$11:$EQ$11,Z$67,'CF(M)'!$L$98:$EQ$98)-SUMIF('CF(M)'!$L$11:$EQ$11,Z$67,'CF(M)'!$L$97:$EQ$97))/1000</f>
        <v>11600</v>
      </c>
      <c r="AA76" s="1259">
        <f ca="1">AA73+(-SUMIF('CF(M)'!$L$11:$EQ$11,AA$67,'CF(M)'!$L$98:$EQ$98)-SUMIF('CF(M)'!$L$11:$EQ$11,AA$67,'CF(M)'!$L$97:$EQ$97))/1000</f>
        <v>11600</v>
      </c>
      <c r="AB76" s="1259">
        <f ca="1">AB73+(-SUMIF('CF(M)'!$L$11:$EQ$11,AB$67,'CF(M)'!$L$98:$EQ$98)-SUMIF('CF(M)'!$L$11:$EQ$11,AB$67,'CF(M)'!$L$97:$EQ$97))/1000</f>
        <v>11904</v>
      </c>
      <c r="AC76" s="1259">
        <f ca="1">AC73+(-SUMIF('CF(M)'!$L$11:$EQ$11,AC$67,'CF(M)'!$L$98:$EQ$98)-SUMIF('CF(M)'!$L$11:$EQ$11,AC$67,'CF(M)'!$L$97:$EQ$97))/1000</f>
        <v>11904</v>
      </c>
      <c r="AD76" s="1259">
        <f ca="1">AD73+(-SUMIF('CF(M)'!$L$11:$EQ$11,AD$67,'CF(M)'!$L$98:$EQ$98)-SUMIF('CF(M)'!$L$11:$EQ$11,AD$67,'CF(M)'!$L$97:$EQ$97))/1000</f>
        <v>11904</v>
      </c>
      <c r="AE76" s="1259">
        <f ca="1">AE73+(-SUMIF('CF(M)'!$L$11:$EQ$11,AE$67,'CF(M)'!$L$98:$EQ$98)-SUMIF('CF(M)'!$L$11:$EQ$11,AE$67,'CF(M)'!$L$97:$EQ$97))/1000</f>
        <v>11265</v>
      </c>
      <c r="AF76" s="1259">
        <f ca="1">AF73+(-SUMIF('CF(M)'!$L$11:$EQ$11,AF$67,'CF(M)'!$L$98:$EQ$98)-SUMIF('CF(M)'!$L$11:$EQ$11,AF$67,'CF(M)'!$L$97:$EQ$97))/1000</f>
        <v>11265</v>
      </c>
      <c r="AG76" s="1259">
        <f ca="1">AG73+(-SUMIF('CF(M)'!$L$11:$EQ$11,AG$67,'CF(M)'!$L$98:$EQ$98)-SUMIF('CF(M)'!$L$11:$EQ$11,AG$67,'CF(M)'!$L$97:$EQ$97))/1000</f>
        <v>11265</v>
      </c>
      <c r="AH76" s="1259">
        <f ca="1">AH73+(-SUMIF('CF(M)'!$L$11:$EQ$11,AH$67,'CF(M)'!$L$98:$EQ$98)-SUMIF('CF(M)'!$L$11:$EQ$11,AH$67,'CF(M)'!$L$97:$EQ$97))/1000</f>
        <v>11265</v>
      </c>
      <c r="AI76" s="1841">
        <f ca="1">AI73+(-SUMIF('CF(M)'!$L$11:$EQ$11,AI$67,'CF(M)'!$L$98:$EQ$98)-SUMIF('CF(M)'!$L$11:$EQ$11,AI$67,'CF(M)'!$L$97:$EQ$97))/1000</f>
        <v>248265</v>
      </c>
      <c r="AJ76" s="1260"/>
    </row>
    <row r="77" spans="2:56" ht="11.25" customHeight="1" thickBot="1">
      <c r="B77" s="99"/>
      <c r="C77" s="1368">
        <f t="shared" si="72"/>
        <v>5</v>
      </c>
      <c r="D77" s="836">
        <f>IFERROR(SUMIF('FS_Detail(M)'!$L$10:$EQ$10,$C47,'FS_Detail(M)'!$L$71:$EQ$71)/COUNTIF('FS_Detail(M)'!$L$10:$EQ$10,'A&amp;R'!$C47),)</f>
        <v>0</v>
      </c>
      <c r="E77" s="13">
        <f>-SUMIF('CF(M)'!$L$10:$EQ$10,$C77,'CF(M)'!$L$108:$EQ$108)</f>
        <v>0</v>
      </c>
      <c r="F77" s="13">
        <f>-SUMIF('CF(M)'!$L$10:$EQ$10,$C77,'CF(M)'!$L$99:$EQ$99)</f>
        <v>0</v>
      </c>
      <c r="G77" s="1369">
        <f t="shared" si="74"/>
        <v>0</v>
      </c>
      <c r="H77" s="1672">
        <f>IFERROR(SUMIF('FS_Detail(M)'!$L$10:$EQ$10,$C77,'FS_Detail(M)'!$L$76:$EQ$76)/COUNTIF('FS_Detail(M)'!$L$10:$EQ$10,'A&amp;R'!$C77),)+IFERROR(SUMIF('FS_Detail(M)'!$L$10:$EQ$10,$C77,'FS_Detail(M)'!$L$83:$EQ$83)/COUNTIF('FS_Detail(M)'!$L$10:$EQ$10,'A&amp;R'!$C77),)</f>
        <v>14800000</v>
      </c>
      <c r="I77" s="1673">
        <f ca="1">-SUMIF('CF(M)'!$L$10:$EQ$10,$C77,'CF(M)'!$L$113:$EQ$113)</f>
        <v>0</v>
      </c>
      <c r="J77" s="1673">
        <f>-SUMIF('CF(M)'!$L$10:$EQ$10,$C77,'CF(M)'!$L$114:$EQ$114)</f>
        <v>0</v>
      </c>
      <c r="K77" s="1705">
        <f t="shared" ca="1" si="73"/>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2" t="s">
        <v>1026</v>
      </c>
      <c r="W77" s="883" t="s">
        <v>1078</v>
      </c>
      <c r="X77" s="1780">
        <f t="shared" ca="1" si="66"/>
        <v>1.1297728432540122</v>
      </c>
      <c r="Y77" s="1712">
        <f ca="1">AVERAGE(Z77:AA77)</f>
        <v>1.1451358348108294</v>
      </c>
      <c r="Z77" s="1404">
        <f t="shared" ref="Z77:AI77" ca="1" si="77">Z68/Z76</f>
        <v>1.1297728432540122</v>
      </c>
      <c r="AA77" s="1404">
        <f t="shared" ca="1" si="77"/>
        <v>1.1604988263676466</v>
      </c>
      <c r="AB77" s="1404">
        <f t="shared" ca="1" si="77"/>
        <v>0.76244867596370303</v>
      </c>
      <c r="AC77" s="1404">
        <f t="shared" ca="1" si="77"/>
        <v>1.2781517119671433</v>
      </c>
      <c r="AD77" s="1404">
        <f t="shared" ca="1" si="77"/>
        <v>1.3186892106930002</v>
      </c>
      <c r="AE77" s="1404">
        <f t="shared" ca="1" si="77"/>
        <v>1.4324740686805146</v>
      </c>
      <c r="AF77" s="1404">
        <f t="shared" ca="1" si="77"/>
        <v>1.4723677178316092</v>
      </c>
      <c r="AG77" s="1404">
        <f t="shared" ca="1" si="77"/>
        <v>1.4334370562029419</v>
      </c>
      <c r="AH77" s="1404">
        <f t="shared" ca="1" si="77"/>
        <v>1.5184629840641879</v>
      </c>
      <c r="AI77" s="1845">
        <f t="shared" ca="1" si="77"/>
        <v>7.118416358426681E-2</v>
      </c>
      <c r="AJ77" s="262"/>
    </row>
    <row r="78" spans="2:56" ht="11.25" customHeight="1" thickBot="1">
      <c r="B78" s="99"/>
      <c r="C78" s="1368">
        <f t="shared" si="72"/>
        <v>6</v>
      </c>
      <c r="D78" s="836">
        <f>IFERROR(SUMIF('FS_Detail(M)'!$L$10:$EQ$10,$C48,'FS_Detail(M)'!$L$71:$EQ$71)/COUNTIF('FS_Detail(M)'!$L$10:$EQ$10,'A&amp;R'!$C48),)</f>
        <v>0</v>
      </c>
      <c r="E78" s="13">
        <f>-SUMIF('CF(M)'!$L$10:$EQ$10,$C78,'CF(M)'!$L$108:$EQ$108)</f>
        <v>0</v>
      </c>
      <c r="F78" s="13">
        <f>-SUMIF('CF(M)'!$L$10:$EQ$10,$C78,'CF(M)'!$L$99:$EQ$99)</f>
        <v>0</v>
      </c>
      <c r="G78" s="1369">
        <f t="shared" si="74"/>
        <v>0</v>
      </c>
      <c r="H78" s="1674">
        <f>IFERROR(SUMIF('FS_Detail(M)'!$L$10:$EQ$10,$C78,'FS_Detail(M)'!$L$76:$EQ$76)/COUNTIF('FS_Detail(M)'!$L$10:$EQ$10,'A&amp;R'!$C78),)+IFERROR(SUMIF('FS_Detail(M)'!$L$10:$EQ$10,$C78,'FS_Detail(M)'!$L$83:$EQ$83)/COUNTIF('FS_Detail(M)'!$L$10:$EQ$10,'A&amp;R'!$C78),)</f>
        <v>14800000</v>
      </c>
      <c r="I78" s="1675">
        <f ca="1">-SUMIF('CF(M)'!$L$10:$EQ$10,$C78,'CF(M)'!$L$113:$EQ$113)</f>
        <v>0</v>
      </c>
      <c r="J78" s="1675">
        <f>-SUMIF('CF(M)'!$L$10:$EQ$10,$C78,'CF(M)'!$L$114:$EQ$114)</f>
        <v>0</v>
      </c>
      <c r="K78" s="1706">
        <f t="shared" ca="1" si="73"/>
        <v>0</v>
      </c>
      <c r="L78" s="1653" t="s">
        <v>139</v>
      </c>
      <c r="M78" s="121"/>
      <c r="N78" s="122">
        <f t="shared" ref="N78:S78" si="78">SUM(N68:N77)</f>
        <v>6412.2260491350098</v>
      </c>
      <c r="O78" s="122">
        <f t="shared" si="78"/>
        <v>185191.9075411167</v>
      </c>
      <c r="P78" s="122">
        <f t="shared" si="78"/>
        <v>2222302.8904933999</v>
      </c>
      <c r="Q78" s="122">
        <f t="shared" si="78"/>
        <v>0.10000000000000002</v>
      </c>
      <c r="R78" s="122">
        <f t="shared" si="78"/>
        <v>466910</v>
      </c>
      <c r="S78" s="123">
        <f t="shared" si="78"/>
        <v>0</v>
      </c>
      <c r="T78" s="124"/>
      <c r="U78" s="1744"/>
      <c r="V78" s="1846" t="s">
        <v>1026</v>
      </c>
      <c r="W78" s="1854" t="s">
        <v>1080</v>
      </c>
      <c r="X78" s="1790">
        <f t="shared" ca="1" si="66"/>
        <v>1.6465441252845217</v>
      </c>
      <c r="Y78" s="1791">
        <f ca="1">AVERAGE(Z78:AA78)</f>
        <v>2.3602172293784238</v>
      </c>
      <c r="Z78" s="1855">
        <f t="shared" ref="Z78:AI78" ca="1" si="79">Z69/Z76</f>
        <v>3.0738903334723258</v>
      </c>
      <c r="AA78" s="1855">
        <f t="shared" ca="1" si="79"/>
        <v>1.6465441252845217</v>
      </c>
      <c r="AB78" s="1855">
        <f t="shared" ca="1" si="79"/>
        <v>1.4559586711745982</v>
      </c>
      <c r="AC78" s="1855">
        <f t="shared" ca="1" si="79"/>
        <v>1.361352543793207</v>
      </c>
      <c r="AD78" s="1855">
        <f t="shared" ca="1" si="79"/>
        <v>1.3039134406653861</v>
      </c>
      <c r="AE78" s="1855">
        <f t="shared" ca="1" si="79"/>
        <v>1.3674085142890551</v>
      </c>
      <c r="AF78" s="1855">
        <f t="shared" ca="1" si="79"/>
        <v>1.4313191194883559</v>
      </c>
      <c r="AG78" s="1855">
        <f t="shared" ca="1" si="79"/>
        <v>1.469526535260278</v>
      </c>
      <c r="AH78" s="1855">
        <f t="shared" ca="1" si="79"/>
        <v>1.5964053148243089</v>
      </c>
      <c r="AI78" s="1856">
        <f t="shared" ca="1" si="79"/>
        <v>1.5285704177972768</v>
      </c>
      <c r="AJ78" s="1792"/>
      <c r="AV78" s="2774" t="s">
        <v>620</v>
      </c>
      <c r="AW78" s="2775"/>
      <c r="AX78" s="1178" t="s">
        <v>1124</v>
      </c>
      <c r="AY78" s="1178" t="s">
        <v>1127</v>
      </c>
      <c r="AZ78" s="1178" t="s">
        <v>1128</v>
      </c>
      <c r="BA78" s="1178" t="s">
        <v>1129</v>
      </c>
      <c r="BB78" s="1178" t="s">
        <v>1130</v>
      </c>
      <c r="BC78" s="1179" t="s">
        <v>1131</v>
      </c>
    </row>
    <row r="79" spans="2:56" ht="11.25" customHeight="1" thickBot="1">
      <c r="B79" s="99"/>
      <c r="C79" s="1368">
        <f t="shared" si="72"/>
        <v>7</v>
      </c>
      <c r="D79" s="836">
        <f>IFERROR(SUMIF('FS_Detail(M)'!$L$10:$EQ$10,$C49,'FS_Detail(M)'!$L$71:$EQ$71)/COUNTIF('FS_Detail(M)'!$L$10:$EQ$10,'A&amp;R'!$C49),)</f>
        <v>0</v>
      </c>
      <c r="E79" s="13">
        <f>-SUMIF('CF(M)'!$L$10:$EQ$10,$C79,'CF(M)'!$L$108:$EQ$108)</f>
        <v>0</v>
      </c>
      <c r="F79" s="13">
        <f>-SUMIF('CF(M)'!$L$10:$EQ$10,$C79,'CF(M)'!$L$99:$EQ$99)</f>
        <v>0</v>
      </c>
      <c r="G79" s="1369">
        <f t="shared" si="74"/>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7">
        <f t="shared" ca="1" si="73"/>
        <v>0</v>
      </c>
      <c r="L79" s="1654" t="s">
        <v>140</v>
      </c>
      <c r="M79" s="125"/>
      <c r="N79" s="44" t="s">
        <v>141</v>
      </c>
      <c r="O79" s="44" t="s">
        <v>142</v>
      </c>
      <c r="P79" s="44" t="s">
        <v>143</v>
      </c>
      <c r="Q79" s="44" t="s">
        <v>144</v>
      </c>
      <c r="R79" s="44" t="s">
        <v>145</v>
      </c>
      <c r="S79" s="44" t="s">
        <v>146</v>
      </c>
      <c r="T79" s="44" t="s">
        <v>147</v>
      </c>
      <c r="U79" s="44" t="s">
        <v>499</v>
      </c>
      <c r="V79" s="1840" t="s">
        <v>1109</v>
      </c>
      <c r="W79" s="1256"/>
      <c r="X79" s="1257">
        <f t="shared" ca="1" si="66"/>
        <v>15350</v>
      </c>
      <c r="Y79" s="1258">
        <f ca="1">AVERAGE(Z79:AB79)</f>
        <v>15451.333333333334</v>
      </c>
      <c r="Z79" s="1259">
        <f ca="1">Z76+(-SUMIF('CF(M)'!$L$11:$EQ$11,Z$67,'CF(M)'!$L$103:$EQ$103)-SUMIF('CF(M)'!$L$11:$EQ$11,Z$67,'CF(M)'!$L$102:$EQ$102))/1000</f>
        <v>15350</v>
      </c>
      <c r="AA79" s="1259">
        <f ca="1">AA76+(-SUMIF('CF(M)'!$L$11:$EQ$11,AA$67,'CF(M)'!$L$103:$EQ$103)-SUMIF('CF(M)'!$L$11:$EQ$11,AA$67,'CF(M)'!$L$102:$EQ$102))/1000</f>
        <v>15350</v>
      </c>
      <c r="AB79" s="1259">
        <f ca="1">AB76+(-SUMIF('CF(M)'!$L$11:$EQ$11,AB$67,'CF(M)'!$L$103:$EQ$103)-SUMIF('CF(M)'!$L$11:$EQ$11,AB$67,'CF(M)'!$L$102:$EQ$102))/1000</f>
        <v>15654</v>
      </c>
      <c r="AC79" s="1259">
        <f ca="1">AC76+(-SUMIF('CF(M)'!$L$11:$EQ$11,AC$67,'CF(M)'!$L$103:$EQ$103)-SUMIF('CF(M)'!$L$11:$EQ$11,AC$67,'CF(M)'!$L$102:$EQ$102))/1000</f>
        <v>15654</v>
      </c>
      <c r="AD79" s="1259">
        <f ca="1">AD76+(-SUMIF('CF(M)'!$L$11:$EQ$11,AD$67,'CF(M)'!$L$103:$EQ$103)-SUMIF('CF(M)'!$L$11:$EQ$11,AD$67,'CF(M)'!$L$102:$EQ$102))/1000</f>
        <v>15521.785597680762</v>
      </c>
      <c r="AE79" s="1259">
        <f ca="1">AE76+(-SUMIF('CF(M)'!$L$11:$EQ$11,AE$67,'CF(M)'!$L$103:$EQ$103)-SUMIF('CF(M)'!$L$11:$EQ$11,AE$67,'CF(M)'!$L$102:$EQ$102))/1000</f>
        <v>15147.214402319238</v>
      </c>
      <c r="AF79" s="1259">
        <f ca="1">AF76+(-SUMIF('CF(M)'!$L$11:$EQ$11,AF$67,'CF(M)'!$L$103:$EQ$103)-SUMIF('CF(M)'!$L$11:$EQ$11,AF$67,'CF(M)'!$L$102:$EQ$102))/1000</f>
        <v>15015</v>
      </c>
      <c r="AG79" s="1259">
        <f ca="1">AG76+(-SUMIF('CF(M)'!$L$11:$EQ$11,AG$67,'CF(M)'!$L$103:$EQ$103)-SUMIF('CF(M)'!$L$11:$EQ$11,AG$67,'CF(M)'!$L$102:$EQ$102))/1000</f>
        <v>15015</v>
      </c>
      <c r="AH79" s="1259">
        <f ca="1">AH76+(-SUMIF('CF(M)'!$L$11:$EQ$11,AH$67,'CF(M)'!$L$103:$EQ$103)-SUMIF('CF(M)'!$L$11:$EQ$11,AH$67,'CF(M)'!$L$102:$EQ$102))/1000</f>
        <v>15015</v>
      </c>
      <c r="AI79" s="1841">
        <f ca="1">AI76+(-SUMIF('CF(M)'!$L$11:$EQ$11,AI$67,'CF(M)'!$L$103:$EQ$103)-SUMIF('CF(M)'!$L$11:$EQ$11,AI$67,'CF(M)'!$L$102:$EQ$102))/1000</f>
        <v>302015</v>
      </c>
      <c r="AJ79" s="699"/>
      <c r="AV79" s="2779" t="s">
        <v>1132</v>
      </c>
      <c r="AW79" s="2780"/>
      <c r="AX79" s="1704">
        <f>BA39</f>
        <v>4.7750000000000001E-2</v>
      </c>
      <c r="AY79" s="1906">
        <f t="shared" ref="AY79:BC80" si="80">BB39</f>
        <v>4.9750000000000003E-2</v>
      </c>
      <c r="AZ79" s="1906">
        <f t="shared" si="80"/>
        <v>5.1750000000000004E-2</v>
      </c>
      <c r="BA79" s="1906">
        <f t="shared" si="80"/>
        <v>5.3749999999999999E-2</v>
      </c>
      <c r="BB79" s="1906">
        <f t="shared" si="80"/>
        <v>5.5750000000000001E-2</v>
      </c>
      <c r="BC79" s="1907">
        <f t="shared" si="80"/>
        <v>5.7750000000000003E-2</v>
      </c>
      <c r="BD79" s="1883">
        <v>4.8000000000000001E-2</v>
      </c>
    </row>
    <row r="80" spans="2:56" ht="11.25" customHeight="1" thickBot="1">
      <c r="B80" s="99"/>
      <c r="C80" s="1368">
        <f t="shared" si="72"/>
        <v>8</v>
      </c>
      <c r="D80" s="836">
        <f>IFERROR(SUMIF('FS_Detail(M)'!$L$10:$EQ$10,$C50,'FS_Detail(M)'!$L$71:$EQ$71)/COUNTIF('FS_Detail(M)'!$L$10:$EQ$10,'A&amp;R'!$C50),)</f>
        <v>0</v>
      </c>
      <c r="E80" s="13">
        <f>-SUMIF('CF(M)'!$L$10:$EQ$10,$C80,'CF(M)'!$L$108:$EQ$108)</f>
        <v>0</v>
      </c>
      <c r="F80" s="13">
        <f>-SUMIF('CF(M)'!$L$10:$EQ$10,$C80,'CF(M)'!$L$99:$EQ$99)</f>
        <v>0</v>
      </c>
      <c r="G80" s="1369">
        <f t="shared" si="74"/>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7">
        <f t="shared" ca="1" si="73"/>
        <v>0</v>
      </c>
      <c r="L80" s="126" t="s">
        <v>463</v>
      </c>
      <c r="M80" s="127"/>
      <c r="N80" s="882" t="s">
        <v>527</v>
      </c>
      <c r="O80" s="265"/>
      <c r="P80" s="129"/>
      <c r="Q80" s="130">
        <v>2000</v>
      </c>
      <c r="R80" s="130">
        <f>Q80*12</f>
        <v>24000</v>
      </c>
      <c r="S80" s="131">
        <v>1</v>
      </c>
      <c r="T80" s="788">
        <v>0.02</v>
      </c>
      <c r="U80" s="795">
        <f>EOMONTH($D$37,12)</f>
        <v>46691</v>
      </c>
      <c r="V80" s="1842" t="s">
        <v>1110</v>
      </c>
      <c r="W80" s="883" t="s">
        <v>1078</v>
      </c>
      <c r="X80" s="1780">
        <f t="shared" ca="1" si="66"/>
        <v>0.85376970565124044</v>
      </c>
      <c r="Y80" s="1712">
        <f ca="1">AVERAGE(Z80:AA80)</f>
        <v>0.86537952337495905</v>
      </c>
      <c r="Z80" s="1404">
        <f ca="1">Z68/Z79</f>
        <v>0.85376970565124044</v>
      </c>
      <c r="AA80" s="1404">
        <f t="shared" ref="AA80:AI80" ca="1" si="81">AA68/AA79</f>
        <v>0.87698934109867754</v>
      </c>
      <c r="AB80" s="1404">
        <f t="shared" ca="1" si="81"/>
        <v>0.5797999896941306</v>
      </c>
      <c r="AC80" s="1404">
        <f t="shared" ca="1" si="81"/>
        <v>0.97196358625634816</v>
      </c>
      <c r="AD80" s="1404">
        <f t="shared" ca="1" si="81"/>
        <v>1.0113318641919002</v>
      </c>
      <c r="AE80" s="1404">
        <f t="shared" ca="1" si="81"/>
        <v>1.0653325393753743</v>
      </c>
      <c r="AF80" s="1404">
        <f t="shared" ca="1" si="81"/>
        <v>1.1046435125789595</v>
      </c>
      <c r="AG80" s="1404">
        <f t="shared" ca="1" si="81"/>
        <v>1.0754357934149945</v>
      </c>
      <c r="AH80" s="1404">
        <f t="shared" ca="1" si="81"/>
        <v>1.1392264745576475</v>
      </c>
      <c r="AI80" s="1845">
        <f t="shared" ca="1" si="81"/>
        <v>5.8515425963107791E-2</v>
      </c>
      <c r="AV80" s="2779" t="s">
        <v>1133</v>
      </c>
      <c r="AW80" s="2780"/>
      <c r="AX80" s="1704">
        <v>0.06</v>
      </c>
      <c r="AY80" s="1906">
        <f t="shared" si="80"/>
        <v>6.2E-2</v>
      </c>
      <c r="AZ80" s="1906">
        <f t="shared" si="80"/>
        <v>6.4000000000000001E-2</v>
      </c>
      <c r="BA80" s="1906">
        <f t="shared" si="80"/>
        <v>6.6000000000000003E-2</v>
      </c>
      <c r="BB80" s="1906">
        <f t="shared" si="80"/>
        <v>6.8000000000000005E-2</v>
      </c>
      <c r="BC80" s="1907">
        <f t="shared" si="80"/>
        <v>6.9999999999999993E-2</v>
      </c>
      <c r="BD80" s="1883">
        <v>0.06</v>
      </c>
    </row>
    <row r="81" spans="1:56" ht="11.25" customHeight="1" thickBot="1">
      <c r="B81" s="66"/>
      <c r="C81" s="1368">
        <f t="shared" si="72"/>
        <v>9</v>
      </c>
      <c r="D81" s="836">
        <f>IFERROR(SUMIF('FS_Detail(M)'!$L$10:$EQ$10,$C51,'FS_Detail(M)'!$L$71:$EQ$71)/COUNTIF('FS_Detail(M)'!$L$10:$EQ$10,'A&amp;R'!$C51),)</f>
        <v>0</v>
      </c>
      <c r="E81" s="13">
        <f>-SUMIF('CF(M)'!$L$10:$EQ$10,$C81,'CF(M)'!$L$108:$EQ$108)</f>
        <v>0</v>
      </c>
      <c r="F81" s="13">
        <f>-SUMIF('CF(M)'!$L$10:$EQ$10,$C81,'CF(M)'!$L$99:$EQ$99)</f>
        <v>0</v>
      </c>
      <c r="G81" s="1369">
        <f t="shared" si="74"/>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7">
        <f t="shared" ca="1" si="73"/>
        <v>0</v>
      </c>
      <c r="L81" s="75" t="s">
        <v>533</v>
      </c>
      <c r="M81" s="139"/>
      <c r="N81" s="895" t="s">
        <v>526</v>
      </c>
      <c r="O81" s="266"/>
      <c r="P81" s="140"/>
      <c r="Q81" s="271">
        <v>6000</v>
      </c>
      <c r="R81" s="271">
        <f>Q81*12</f>
        <v>72000</v>
      </c>
      <c r="S81" s="141">
        <v>6</v>
      </c>
      <c r="T81" s="673">
        <v>0.02</v>
      </c>
      <c r="U81" s="797">
        <f>EOMONTH($D$37,12)</f>
        <v>46691</v>
      </c>
      <c r="V81" s="1848" t="s">
        <v>1110</v>
      </c>
      <c r="W81" s="1849" t="s">
        <v>1080</v>
      </c>
      <c r="X81" s="1850">
        <f t="shared" ca="1" si="66"/>
        <v>1.2442939318111044</v>
      </c>
      <c r="Y81" s="1851">
        <f ca="1">AVERAGE(Z81:AA81)</f>
        <v>1.7836169290416755</v>
      </c>
      <c r="Z81" s="1852">
        <f ca="1">Z69/Z79</f>
        <v>2.3229399262722463</v>
      </c>
      <c r="AA81" s="1852">
        <f t="shared" ref="AA81:AI81" ca="1" si="82">AA69/AA79</f>
        <v>1.2442939318111044</v>
      </c>
      <c r="AB81" s="1852">
        <f t="shared" ca="1" si="82"/>
        <v>1.107175930858721</v>
      </c>
      <c r="AC81" s="1852">
        <f t="shared" ca="1" si="82"/>
        <v>1.0352332107649378</v>
      </c>
      <c r="AD81" s="1852">
        <f t="shared" ca="1" si="82"/>
        <v>0.99999999999999956</v>
      </c>
      <c r="AE81" s="1852">
        <f t="shared" ca="1" si="82"/>
        <v>1.0169432150579232</v>
      </c>
      <c r="AF81" s="1852">
        <f t="shared" ca="1" si="82"/>
        <v>1.0738468119238316</v>
      </c>
      <c r="AG81" s="1852">
        <f t="shared" ca="1" si="82"/>
        <v>1.1025119160644044</v>
      </c>
      <c r="AH81" s="1852">
        <f t="shared" ca="1" si="82"/>
        <v>1.1977026887443116</v>
      </c>
      <c r="AI81" s="1853">
        <f t="shared" ca="1" si="82"/>
        <v>1.2565287643807126</v>
      </c>
      <c r="AV81" s="2781" t="s">
        <v>694</v>
      </c>
      <c r="AW81" s="1286" t="s">
        <v>1116</v>
      </c>
      <c r="AX81" s="1930">
        <f>AO43</f>
        <v>7.122499999999965E-2</v>
      </c>
      <c r="AY81" s="1930">
        <f t="shared" ref="AY81:BC85" si="83">BB43</f>
        <v>7.122499999999965E-2</v>
      </c>
      <c r="AZ81" s="1930">
        <f t="shared" si="83"/>
        <v>7.122499999999965E-2</v>
      </c>
      <c r="BA81" s="1930">
        <f t="shared" si="83"/>
        <v>7.122499999999965E-2</v>
      </c>
      <c r="BB81" s="1930">
        <f t="shared" si="83"/>
        <v>7.122499999999965E-2</v>
      </c>
      <c r="BC81" s="1930">
        <f t="shared" si="83"/>
        <v>7.122499999999965E-2</v>
      </c>
      <c r="BD81" s="1887">
        <f ca="1">BD62</f>
        <v>7.122499999999965E-2</v>
      </c>
    </row>
    <row r="82" spans="1:56" ht="11.25" customHeight="1">
      <c r="B82" s="66"/>
      <c r="C82" s="1368">
        <f t="shared" si="72"/>
        <v>10</v>
      </c>
      <c r="D82" s="836">
        <f>IFERROR(SUMIF('FS_Detail(M)'!$L$10:$EQ$10,$C52,'FS_Detail(M)'!$L$71:$EQ$71)/COUNTIF('FS_Detail(M)'!$L$10:$EQ$10,'A&amp;R'!$C52),)</f>
        <v>0</v>
      </c>
      <c r="E82" s="13">
        <f>-SUMIF('CF(M)'!$L$10:$EQ$10,$C82,'CF(M)'!$L$108:$EQ$108)</f>
        <v>0</v>
      </c>
      <c r="F82" s="13">
        <f>-SUMIF('CF(M)'!$L$10:$EQ$10,$C82,'CF(M)'!$L$99:$EQ$99)</f>
        <v>0</v>
      </c>
      <c r="G82" s="1369">
        <f t="shared" si="74"/>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7">
        <f t="shared" ca="1" si="73"/>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7">
        <f ca="1">E48/(D48+H48)</f>
        <v>1.1351351351351353E-2</v>
      </c>
      <c r="AV82" s="2782"/>
      <c r="AW82" s="1886" t="s">
        <v>1117</v>
      </c>
      <c r="AX82" s="1931">
        <f>AO44</f>
        <v>9.2431551034658277E-2</v>
      </c>
      <c r="AY82" s="1931">
        <f t="shared" si="83"/>
        <v>9.2186163502107288E-2</v>
      </c>
      <c r="AZ82" s="1931">
        <f t="shared" si="83"/>
        <v>9.1870127664643197E-2</v>
      </c>
      <c r="BA82" s="1931">
        <f t="shared" si="83"/>
        <v>9.1416388931911507E-2</v>
      </c>
      <c r="BB82" s="1931">
        <f t="shared" si="83"/>
        <v>9.0494166303934254E-2</v>
      </c>
      <c r="BC82" s="1931">
        <f t="shared" si="83"/>
        <v>8.9500986069670274E-2</v>
      </c>
      <c r="BD82" s="1887">
        <f ca="1">BD63</f>
        <v>9.2431551034658277E-2</v>
      </c>
    </row>
    <row r="83" spans="1:56" ht="11.25" customHeight="1">
      <c r="B83" s="66"/>
      <c r="C83" s="1368">
        <f t="shared" si="72"/>
        <v>11</v>
      </c>
      <c r="D83" s="836">
        <f>IFERROR(SUMIF('FS_Detail(M)'!$L$10:$EQ$10,$C53,'FS_Detail(M)'!$L$71:$EQ$71)/COUNTIF('FS_Detail(M)'!$L$10:$EQ$10,'A&amp;R'!$C53),)</f>
        <v>0</v>
      </c>
      <c r="E83" s="13">
        <f>-SUMIF('CF(M)'!$L$10:$EQ$10,$C83,'CF(M)'!$L$108:$EQ$108)</f>
        <v>0</v>
      </c>
      <c r="F83" s="13">
        <f>-SUMIF('CF(M)'!$L$10:$EQ$10,$C83,'CF(M)'!$L$99:$EQ$99)</f>
        <v>0</v>
      </c>
      <c r="G83" s="1369">
        <f t="shared" si="74"/>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7">
        <f t="shared" ca="1" si="73"/>
        <v>0</v>
      </c>
      <c r="L83" s="99" t="s">
        <v>150</v>
      </c>
      <c r="M83" s="2645" t="s">
        <v>1755</v>
      </c>
      <c r="N83" s="883" t="s">
        <v>151</v>
      </c>
      <c r="O83" s="13">
        <f>O82</f>
        <v>298900000</v>
      </c>
      <c r="P83" s="132">
        <f>12000/O83</f>
        <v>4.0147206423553029E-5</v>
      </c>
      <c r="Q83" s="13">
        <f>R83/12</f>
        <v>1000</v>
      </c>
      <c r="R83" s="13">
        <f>O83*P83</f>
        <v>12000</v>
      </c>
      <c r="S83" s="133">
        <v>6</v>
      </c>
      <c r="T83" s="248">
        <v>0</v>
      </c>
      <c r="U83" s="796">
        <f>EOMONTH($D$37,12)</f>
        <v>46691</v>
      </c>
      <c r="AV83" s="2782"/>
      <c r="AW83" s="1886" t="s">
        <v>1118</v>
      </c>
      <c r="AX83" s="1931">
        <f>AO45</f>
        <v>0</v>
      </c>
      <c r="AY83" s="1931">
        <f t="shared" si="83"/>
        <v>0</v>
      </c>
      <c r="AZ83" s="1931">
        <f t="shared" si="83"/>
        <v>0</v>
      </c>
      <c r="BA83" s="1931">
        <f t="shared" si="83"/>
        <v>0</v>
      </c>
      <c r="BB83" s="1931">
        <f t="shared" si="83"/>
        <v>0</v>
      </c>
      <c r="BC83" s="1931">
        <f t="shared" si="83"/>
        <v>0</v>
      </c>
      <c r="BD83" s="1887">
        <f>BD64</f>
        <v>0</v>
      </c>
    </row>
    <row r="84" spans="1:56" s="1071" customFormat="1" ht="11.25" customHeight="1">
      <c r="A84" s="1305"/>
      <c r="B84" s="66"/>
      <c r="C84" s="1368">
        <f t="shared" si="72"/>
        <v>12</v>
      </c>
      <c r="D84" s="836">
        <f>IFERROR(SUMIF('FS_Detail(M)'!$L$10:$EQ$10,$C54,'FS_Detail(M)'!$L$71:$EQ$71)/COUNTIF('FS_Detail(M)'!$L$10:$EQ$10,'A&amp;R'!$C54),)</f>
        <v>0</v>
      </c>
      <c r="E84" s="13">
        <f>-SUMIF('CF(M)'!$L$10:$EQ$10,$C84,'CF(M)'!$L$108:$EQ$108)</f>
        <v>0</v>
      </c>
      <c r="F84" s="13">
        <f>-SUMIF('CF(M)'!$L$10:$EQ$10,$C84,'CF(M)'!$L$99:$EQ$99)</f>
        <v>0</v>
      </c>
      <c r="G84" s="1369">
        <f t="shared" si="74"/>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7">
        <f t="shared" ca="1" si="73"/>
        <v>0</v>
      </c>
      <c r="L84" s="859" t="s">
        <v>152</v>
      </c>
      <c r="M84" s="2646" t="s">
        <v>1745</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2782"/>
      <c r="AW84" s="1886" t="s">
        <v>225</v>
      </c>
      <c r="AX84" s="1930">
        <f>AO46</f>
        <v>0.16438586395039967</v>
      </c>
      <c r="AY84" s="1930">
        <f t="shared" si="83"/>
        <v>0.16070911093588958</v>
      </c>
      <c r="AZ84" s="1930">
        <f t="shared" si="83"/>
        <v>0.15712702940326362</v>
      </c>
      <c r="BA84" s="1930">
        <f t="shared" si="83"/>
        <v>0.1540624323766604</v>
      </c>
      <c r="BB84" s="1930">
        <f t="shared" si="83"/>
        <v>0.15272054596714058</v>
      </c>
      <c r="BC84" s="1930">
        <f t="shared" si="83"/>
        <v>0.15140263735954695</v>
      </c>
      <c r="BD84" s="1887">
        <f ca="1">BD65</f>
        <v>0.16438586395039967</v>
      </c>
    </row>
    <row r="85" spans="1:56" ht="11.25" customHeight="1">
      <c r="B85" s="66"/>
      <c r="C85" s="1368">
        <f t="shared" si="72"/>
        <v>13</v>
      </c>
      <c r="D85" s="836">
        <f>IFERROR(SUMIF('FS_Detail(M)'!$L$10:$EQ$10,$C55,'FS_Detail(M)'!$L$71:$EQ$71)/COUNTIF('FS_Detail(M)'!$L$10:$EQ$10,'A&amp;R'!$C55),)</f>
        <v>0</v>
      </c>
      <c r="E85" s="13">
        <f>-SUMIF('CF(M)'!$L$10:$EQ$10,$C85,'CF(M)'!$L$108:$EQ$108)</f>
        <v>0</v>
      </c>
      <c r="F85" s="13">
        <f>-SUMIF('CF(M)'!$L$10:$EQ$10,$C85,'CF(M)'!$L$99:$EQ$99)</f>
        <v>0</v>
      </c>
      <c r="G85" s="1369">
        <f t="shared" si="74"/>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7">
        <f t="shared" ca="1" si="73"/>
        <v>0</v>
      </c>
      <c r="AK85" s="1071"/>
      <c r="AL85" s="1071"/>
      <c r="AM85" s="1071"/>
      <c r="AN85" s="1071"/>
      <c r="AO85" s="1071"/>
      <c r="AP85" s="1071"/>
      <c r="AQ85" s="1071"/>
      <c r="AR85" s="1071"/>
      <c r="AS85" s="1071"/>
      <c r="AT85" s="1071"/>
      <c r="AU85" s="1071"/>
      <c r="AV85" s="2783"/>
      <c r="AW85" s="1886" t="s">
        <v>1126</v>
      </c>
      <c r="AX85" s="1931">
        <f>AO47</f>
        <v>0.10338270163662822</v>
      </c>
      <c r="AY85" s="1931">
        <f t="shared" si="83"/>
        <v>0.10247181232277125</v>
      </c>
      <c r="AZ85" s="1931">
        <f t="shared" si="83"/>
        <v>0.10153459491307992</v>
      </c>
      <c r="BA85" s="1931">
        <f t="shared" si="83"/>
        <v>0.10060506465423047</v>
      </c>
      <c r="BB85" s="1931">
        <f t="shared" si="83"/>
        <v>9.9718236724021692E-2</v>
      </c>
      <c r="BC85" s="1931">
        <f t="shared" si="83"/>
        <v>9.880101434252242E-2</v>
      </c>
      <c r="BD85" s="1887">
        <f ca="1">BD66</f>
        <v>0.10338270163662822</v>
      </c>
    </row>
    <row r="86" spans="1:56" ht="11.25" customHeight="1">
      <c r="B86" s="66"/>
      <c r="C86" s="1368">
        <f t="shared" si="72"/>
        <v>14</v>
      </c>
      <c r="D86" s="836">
        <f>IFERROR(SUMIF('FS_Detail(M)'!$L$10:$EQ$10,$C56,'FS_Detail(M)'!$L$71:$EQ$71)/COUNTIF('FS_Detail(M)'!$L$10:$EQ$10,'A&amp;R'!$C56),)</f>
        <v>0</v>
      </c>
      <c r="E86" s="13">
        <f>-SUMIF('CF(M)'!$L$10:$EQ$10,$C86,'CF(M)'!$L$108:$EQ$108)</f>
        <v>0</v>
      </c>
      <c r="F86" s="13">
        <f>-SUMIF('CF(M)'!$L$10:$EQ$10,$C86,'CF(M)'!$L$99:$EQ$99)</f>
        <v>0</v>
      </c>
      <c r="G86" s="1369">
        <f t="shared" si="74"/>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7">
        <f t="shared" ca="1" si="73"/>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2781" t="s">
        <v>1134</v>
      </c>
      <c r="AW86" s="1886" t="s">
        <v>1135</v>
      </c>
      <c r="AX86" s="1909">
        <f>AO54</f>
        <v>6.8915849153289503</v>
      </c>
      <c r="AY86" s="1909">
        <f t="shared" ref="AY86:BC89" si="84">BB54</f>
        <v>6.5642768645119096</v>
      </c>
      <c r="AZ86" s="1909">
        <f t="shared" si="84"/>
        <v>6.2622679867048792</v>
      </c>
      <c r="BA86" s="1909">
        <f t="shared" si="84"/>
        <v>5.9579502332355743</v>
      </c>
      <c r="BB86" s="1909">
        <f t="shared" si="84"/>
        <v>5.5851498882742634</v>
      </c>
      <c r="BC86" s="1909">
        <f t="shared" si="84"/>
        <v>5.2381712122280231</v>
      </c>
      <c r="BD86" s="1404"/>
    </row>
    <row r="87" spans="1:56" ht="11.25" customHeight="1">
      <c r="B87" s="66"/>
      <c r="C87" s="1368">
        <f t="shared" si="72"/>
        <v>15</v>
      </c>
      <c r="D87" s="836">
        <f>IFERROR(SUMIF('FS_Detail(M)'!$L$10:$EQ$10,$C57,'FS_Detail(M)'!$L$71:$EQ$71)/COUNTIF('FS_Detail(M)'!$L$10:$EQ$10,'A&amp;R'!$C57),)</f>
        <v>0</v>
      </c>
      <c r="E87" s="13">
        <f>-SUMIF('CF(M)'!$L$10:$EQ$10,$C87,'CF(M)'!$L$108:$EQ$108)</f>
        <v>0</v>
      </c>
      <c r="F87" s="13">
        <f>-SUMIF('CF(M)'!$L$10:$EQ$10,$C87,'CF(M)'!$L$99:$EQ$99)</f>
        <v>0</v>
      </c>
      <c r="G87" s="1369">
        <f t="shared" si="74"/>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7">
        <f t="shared" ca="1" si="73"/>
        <v>0</v>
      </c>
      <c r="L87" s="2730" t="s">
        <v>1889</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2782"/>
      <c r="AW87" s="1886" t="s">
        <v>1136</v>
      </c>
      <c r="AX87" s="1910">
        <f>AO55</f>
        <v>5.3076319307573776</v>
      </c>
      <c r="AY87" s="1910">
        <f t="shared" si="84"/>
        <v>5.0651070028610699</v>
      </c>
      <c r="AZ87" s="1910">
        <f t="shared" si="84"/>
        <v>4.8405133429720317</v>
      </c>
      <c r="BA87" s="1910">
        <f t="shared" si="84"/>
        <v>4.6127450491380939</v>
      </c>
      <c r="BB87" s="1910">
        <f t="shared" si="84"/>
        <v>4.3306273473058452</v>
      </c>
      <c r="BC87" s="1910">
        <f t="shared" si="84"/>
        <v>4.0672858824358773</v>
      </c>
      <c r="BD87" s="1404"/>
    </row>
    <row r="88" spans="1:56" ht="11.25" customHeight="1">
      <c r="B88" s="66"/>
      <c r="C88" s="1368">
        <f t="shared" si="72"/>
        <v>16</v>
      </c>
      <c r="D88" s="836">
        <f>IFERROR(SUMIF('FS_Detail(M)'!$L$10:$EQ$10,$C58,'FS_Detail(M)'!$L$71:$EQ$71)/COUNTIF('FS_Detail(M)'!$L$10:$EQ$10,'A&amp;R'!$C58),)</f>
        <v>0</v>
      </c>
      <c r="E88" s="13">
        <f>-SUMIF('CF(M)'!$L$10:$EQ$10,$C88,'CF(M)'!$L$108:$EQ$108)</f>
        <v>0</v>
      </c>
      <c r="F88" s="13">
        <f>-SUMIF('CF(M)'!$L$10:$EQ$10,$C88,'CF(M)'!$L$99:$EQ$99)</f>
        <v>0</v>
      </c>
      <c r="G88" s="1369">
        <f t="shared" si="74"/>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7">
        <f t="shared" ca="1" si="73"/>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2782"/>
      <c r="AW88" s="1886" t="s">
        <v>1116</v>
      </c>
      <c r="AX88" s="1909">
        <f>AO56</f>
        <v>4.6124565936833193</v>
      </c>
      <c r="AY88" s="1909">
        <f t="shared" si="84"/>
        <v>4.4231200009025073</v>
      </c>
      <c r="AZ88" s="1909">
        <f t="shared" si="84"/>
        <v>4.246345675486995</v>
      </c>
      <c r="BA88" s="1909">
        <f t="shared" si="84"/>
        <v>4.0639535074541246</v>
      </c>
      <c r="BB88" s="1909">
        <f t="shared" si="84"/>
        <v>3.8307929561382501</v>
      </c>
      <c r="BC88" s="1909">
        <f t="shared" si="84"/>
        <v>3.6116417968507752</v>
      </c>
      <c r="BD88" s="1404"/>
    </row>
    <row r="89" spans="1:56" ht="11.25" customHeight="1">
      <c r="B89" s="66"/>
      <c r="C89" s="1368">
        <f t="shared" si="72"/>
        <v>17</v>
      </c>
      <c r="D89" s="836">
        <f>IFERROR(SUMIF('FS_Detail(M)'!$L$10:$EQ$10,$C59,'FS_Detail(M)'!$L$71:$EQ$71)/COUNTIF('FS_Detail(M)'!$L$10:$EQ$10,'A&amp;R'!$C59),)</f>
        <v>0</v>
      </c>
      <c r="E89" s="13">
        <f>-SUMIF('CF(M)'!$L$10:$EQ$10,$C89,'CF(M)'!$L$108:$EQ$108)</f>
        <v>0</v>
      </c>
      <c r="F89" s="13">
        <f>-SUMIF('CF(M)'!$L$10:$EQ$10,$C89,'CF(M)'!$L$99:$EQ$99)</f>
        <v>0</v>
      </c>
      <c r="G89" s="1369">
        <f t="shared" si="74"/>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7">
        <f t="shared" ca="1" si="73"/>
        <v>0</v>
      </c>
      <c r="L89" s="259" t="s">
        <v>24</v>
      </c>
      <c r="M89" s="270" t="s">
        <v>1741</v>
      </c>
      <c r="N89" s="270" t="s">
        <v>25</v>
      </c>
      <c r="O89" s="270" t="s">
        <v>28</v>
      </c>
      <c r="P89" s="270" t="s">
        <v>1707</v>
      </c>
      <c r="Q89" s="270" t="s">
        <v>1699</v>
      </c>
      <c r="R89" s="270" t="s">
        <v>611</v>
      </c>
      <c r="S89" s="270" t="s">
        <v>543</v>
      </c>
      <c r="T89" s="270" t="s">
        <v>545</v>
      </c>
      <c r="U89" s="270" t="s">
        <v>1742</v>
      </c>
      <c r="AF89" s="132"/>
      <c r="AG89" s="13"/>
      <c r="AH89" s="13"/>
      <c r="AI89" s="133"/>
      <c r="AJ89" s="248"/>
      <c r="AK89" s="146"/>
      <c r="AQ89" s="1071"/>
      <c r="AR89" s="1071"/>
      <c r="AS89" s="1071"/>
      <c r="AT89" s="1071"/>
      <c r="AU89" s="1071"/>
      <c r="AV89" s="2784"/>
      <c r="AW89" s="1908" t="s">
        <v>1117</v>
      </c>
      <c r="AX89" s="1911">
        <f>AO57</f>
        <v>3.871688153930267</v>
      </c>
      <c r="AY89" s="1911">
        <f t="shared" si="84"/>
        <v>3.725023234494472</v>
      </c>
      <c r="AZ89" s="1911">
        <f t="shared" si="84"/>
        <v>3.587761708537061</v>
      </c>
      <c r="BA89" s="1911">
        <f t="shared" si="84"/>
        <v>3.4445484510504993</v>
      </c>
      <c r="BB89" s="1911">
        <f t="shared" si="84"/>
        <v>3.25687804306127</v>
      </c>
      <c r="BC89" s="1911">
        <f t="shared" si="84"/>
        <v>3.0798735181445234</v>
      </c>
      <c r="BD89" s="1404"/>
    </row>
    <row r="90" spans="1:56" ht="11.25" customHeight="1">
      <c r="B90" s="66"/>
      <c r="C90" s="1368">
        <f t="shared" si="72"/>
        <v>18</v>
      </c>
      <c r="D90" s="836">
        <f>IFERROR(SUMIF('FS_Detail(M)'!$L$10:$EQ$10,$C60,'FS_Detail(M)'!$L$71:$EQ$71)/COUNTIF('FS_Detail(M)'!$L$10:$EQ$10,'A&amp;R'!$C60),)</f>
        <v>0</v>
      </c>
      <c r="E90" s="13">
        <f>-SUMIF('CF(M)'!$L$10:$EQ$10,$C90,'CF(M)'!$L$108:$EQ$108)</f>
        <v>0</v>
      </c>
      <c r="F90" s="13">
        <f>-SUMIF('CF(M)'!$L$10:$EQ$10,$C90,'CF(M)'!$L$99:$EQ$99)</f>
        <v>0</v>
      </c>
      <c r="G90" s="1369">
        <f t="shared" si="74"/>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7">
        <f t="shared" ca="1" si="73"/>
        <v>0</v>
      </c>
      <c r="L90" s="2629">
        <v>1</v>
      </c>
      <c r="M90" s="1074">
        <v>1</v>
      </c>
      <c r="N90" s="1962">
        <f>P41</f>
        <v>24000000</v>
      </c>
      <c r="O90" s="1963">
        <f>N90/SUM($N$90:$N$94)</f>
        <v>0.24291497975708501</v>
      </c>
      <c r="P90" s="2632">
        <f>간주취득세!F13/1000</f>
        <v>25</v>
      </c>
      <c r="Q90" s="2632">
        <v>1</v>
      </c>
      <c r="R90" s="2635">
        <f>N90/P90</f>
        <v>960000</v>
      </c>
      <c r="S90" s="1962">
        <f>Q90*R90</f>
        <v>960000</v>
      </c>
      <c r="T90" s="1962">
        <f>N90-S90</f>
        <v>23040000</v>
      </c>
      <c r="U90" s="2639">
        <f>R90/SUM($R$90,$R$91,$R$94)</f>
        <v>0.1951219512195122</v>
      </c>
      <c r="AF90" s="132"/>
      <c r="AG90" s="13"/>
      <c r="AH90" s="13"/>
      <c r="AI90" s="133"/>
      <c r="AJ90" s="248"/>
      <c r="AK90" s="146"/>
      <c r="AQ90" s="1071"/>
      <c r="AR90" s="1071"/>
      <c r="AS90" s="1071"/>
      <c r="AT90" s="1071"/>
      <c r="AU90" s="1071"/>
      <c r="AV90" s="1071"/>
      <c r="AW90" s="1071"/>
    </row>
    <row r="91" spans="1:56" ht="11.25" customHeight="1">
      <c r="B91" s="66"/>
      <c r="C91" s="1368">
        <f t="shared" si="72"/>
        <v>19</v>
      </c>
      <c r="D91" s="836">
        <f>IFERROR(SUMIF('FS_Detail(M)'!$L$10:$EQ$10,$C61,'FS_Detail(M)'!$L$71:$EQ$71)/COUNTIF('FS_Detail(M)'!$L$10:$EQ$10,'A&amp;R'!$C61),)</f>
        <v>0</v>
      </c>
      <c r="E91" s="13">
        <f>-SUMIF('CF(M)'!$L$10:$EQ$10,$C91,'CF(M)'!$L$108:$EQ$108)</f>
        <v>0</v>
      </c>
      <c r="F91" s="13">
        <f>-SUMIF('CF(M)'!$L$10:$EQ$10,$C91,'CF(M)'!$L$99:$EQ$99)</f>
        <v>0</v>
      </c>
      <c r="G91" s="1369">
        <f t="shared" si="74"/>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7">
        <f t="shared" ca="1" si="73"/>
        <v>0</v>
      </c>
      <c r="L91" s="2630" t="s">
        <v>1738</v>
      </c>
      <c r="M91" s="259">
        <v>1</v>
      </c>
      <c r="N91" s="1734">
        <v>25000000</v>
      </c>
      <c r="O91" s="1683">
        <f>N91/SUM($N$90:$N$94)</f>
        <v>0.25303643724696356</v>
      </c>
      <c r="P91" s="2633">
        <f>간주취득세!F14/1000</f>
        <v>25</v>
      </c>
      <c r="Q91" s="2633">
        <v>1</v>
      </c>
      <c r="R91" s="2636">
        <f t="shared" ref="R91:R94" si="85">N91/P91</f>
        <v>1000000</v>
      </c>
      <c r="S91" s="2638">
        <f t="shared" ref="S91:S94" si="86">Q91*R91</f>
        <v>1000000</v>
      </c>
      <c r="T91" s="2638">
        <f t="shared" ref="T91:T94" si="87">N91-S91</f>
        <v>24000000</v>
      </c>
      <c r="U91" s="2640">
        <f>R91/SUM($R$90,$R$91,$R$94)</f>
        <v>0.2032520325203252</v>
      </c>
      <c r="AH91" s="1012" t="s">
        <v>607</v>
      </c>
      <c r="AI91" s="883"/>
      <c r="AJ91" s="13"/>
      <c r="AK91" s="132"/>
      <c r="AQ91" s="1071"/>
      <c r="AR91" s="1071"/>
    </row>
    <row r="92" spans="1:56" ht="11.25" customHeight="1">
      <c r="B92" s="871"/>
      <c r="C92" s="1370">
        <f t="shared" si="72"/>
        <v>20</v>
      </c>
      <c r="D92" s="836">
        <f>IFERROR(SUMIF('FS_Detail(M)'!$L$10:$EQ$10,$C62,'FS_Detail(M)'!$L$71:$EQ$71)/COUNTIF('FS_Detail(M)'!$L$10:$EQ$10,'A&amp;R'!$C62),)</f>
        <v>0</v>
      </c>
      <c r="E92" s="13">
        <f>-SUMIF('CF(M)'!$L$10:$EQ$10,$C92,'CF(M)'!$L$108:$EQ$108)</f>
        <v>0</v>
      </c>
      <c r="F92" s="13">
        <f>-SUMIF('CF(M)'!$L$10:$EQ$10,$C92,'CF(M)'!$L$99:$EQ$99)</f>
        <v>0</v>
      </c>
      <c r="G92" s="1369">
        <f t="shared" si="74"/>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48460427.819552772</v>
      </c>
      <c r="K92" s="1707">
        <f t="shared" ca="1" si="73"/>
        <v>6.5487064621017259</v>
      </c>
      <c r="L92" s="2630" t="s">
        <v>1739</v>
      </c>
      <c r="M92" s="259">
        <v>0</v>
      </c>
      <c r="N92" s="783">
        <f>P42-N91</f>
        <v>25000000</v>
      </c>
      <c r="O92" s="1683">
        <f>N92/SUM($N$90:$N$94)</f>
        <v>0.25303643724696356</v>
      </c>
      <c r="P92" s="2633">
        <f>간주취득세!F15/1000</f>
        <v>25</v>
      </c>
      <c r="Q92" s="2633">
        <v>1</v>
      </c>
      <c r="R92" s="2636">
        <f t="shared" si="85"/>
        <v>1000000</v>
      </c>
      <c r="S92" s="2638">
        <f t="shared" si="86"/>
        <v>1000000</v>
      </c>
      <c r="T92" s="2638">
        <f t="shared" si="87"/>
        <v>24000000</v>
      </c>
      <c r="U92" s="2640">
        <v>0</v>
      </c>
      <c r="AF92" s="1071"/>
      <c r="AG92" s="1071"/>
      <c r="AH92" s="1045" t="s">
        <v>606</v>
      </c>
      <c r="AI92" s="1046"/>
      <c r="AJ92" s="1047"/>
      <c r="AK92" s="1047"/>
      <c r="AL92" s="1047"/>
      <c r="AM92" s="1047"/>
      <c r="AN92" s="1047"/>
      <c r="AO92" s="1047"/>
      <c r="AP92" s="1047"/>
      <c r="AQ92" s="1047"/>
      <c r="AR92" s="1048"/>
      <c r="AU92" s="259" t="s">
        <v>1693</v>
      </c>
    </row>
    <row r="93" spans="1:56" ht="11.25" customHeight="1">
      <c r="B93" s="261"/>
      <c r="C93" s="1371" t="s">
        <v>59</v>
      </c>
      <c r="D93" s="1268">
        <f>SUM(D72:D92)/(O43/6)</f>
        <v>10000000</v>
      </c>
      <c r="E93" s="1090">
        <f ca="1">SUM(E72:E92)</f>
        <v>0</v>
      </c>
      <c r="F93" s="1090">
        <f>SUM(F72:F92)</f>
        <v>0</v>
      </c>
      <c r="G93" s="1269"/>
      <c r="H93" s="1090">
        <f>SUM(H72:H92)/(O44/6)</f>
        <v>14800000</v>
      </c>
      <c r="I93" s="1090">
        <f ca="1">SUM(I72:I92)</f>
        <v>1110000</v>
      </c>
      <c r="J93" s="1090">
        <f>SUM(J72:J92)</f>
        <v>48460427.819552772</v>
      </c>
      <c r="K93" s="1372"/>
      <c r="L93" s="2630" t="s">
        <v>1740</v>
      </c>
      <c r="M93" s="259">
        <v>0</v>
      </c>
      <c r="N93" s="783">
        <f>P43</f>
        <v>10000000</v>
      </c>
      <c r="O93" s="1683">
        <f>N93/SUM($N$90:$N$94)</f>
        <v>0.10121457489878542</v>
      </c>
      <c r="P93" s="2633">
        <f>간주취득세!F16/1000</f>
        <v>25</v>
      </c>
      <c r="Q93" s="2633">
        <v>1</v>
      </c>
      <c r="R93" s="2636">
        <f t="shared" si="85"/>
        <v>400000</v>
      </c>
      <c r="S93" s="2638">
        <f t="shared" si="86"/>
        <v>400000</v>
      </c>
      <c r="T93" s="2638">
        <f t="shared" si="87"/>
        <v>9600000</v>
      </c>
      <c r="U93" s="2640">
        <v>0</v>
      </c>
      <c r="AH93" s="101" t="s">
        <v>24</v>
      </c>
      <c r="AI93" s="18"/>
      <c r="AJ93" s="945" t="s">
        <v>608</v>
      </c>
      <c r="AK93" s="945" t="s">
        <v>613</v>
      </c>
      <c r="AL93" s="945" t="s">
        <v>626</v>
      </c>
      <c r="AM93" s="945" t="s">
        <v>627</v>
      </c>
      <c r="AN93" s="1080" t="s">
        <v>628</v>
      </c>
      <c r="AO93" s="1080" t="s">
        <v>239</v>
      </c>
      <c r="AP93" s="1080" t="s">
        <v>625</v>
      </c>
      <c r="AQ93" s="1080" t="s">
        <v>59</v>
      </c>
      <c r="AR93" s="1080" t="s">
        <v>263</v>
      </c>
    </row>
    <row r="94" spans="1:56" ht="13.5" customHeight="1" thickBot="1">
      <c r="A94" s="1306">
        <f>E35</f>
        <v>46326</v>
      </c>
      <c r="B94" s="261"/>
      <c r="C94" s="1373" t="s">
        <v>260</v>
      </c>
      <c r="D94" s="119"/>
      <c r="E94" s="5"/>
      <c r="F94" s="5"/>
      <c r="G94" s="952">
        <f>P71</f>
        <v>0</v>
      </c>
      <c r="H94" s="5"/>
      <c r="I94" s="5"/>
      <c r="J94" s="5"/>
      <c r="K94" s="1374">
        <f>P44+'FS_Detail(M)'!J114</f>
        <v>14800000</v>
      </c>
      <c r="L94" s="2631" t="s">
        <v>19</v>
      </c>
      <c r="M94" s="675">
        <v>1</v>
      </c>
      <c r="N94" s="1964">
        <f>P44</f>
        <v>14800000</v>
      </c>
      <c r="O94" s="1965">
        <f>N94/SUM($N$90:$N$94)</f>
        <v>0.14979757085020243</v>
      </c>
      <c r="P94" s="2634">
        <f>간주취득세!F17/1000</f>
        <v>5</v>
      </c>
      <c r="Q94" s="2634">
        <v>1</v>
      </c>
      <c r="R94" s="2637">
        <f t="shared" si="85"/>
        <v>2960000</v>
      </c>
      <c r="S94" s="1964">
        <f t="shared" si="86"/>
        <v>2960000</v>
      </c>
      <c r="T94" s="1964">
        <f t="shared" si="87"/>
        <v>11840000</v>
      </c>
      <c r="U94" s="2641">
        <f>R94/SUM($R$90,$R$91,$R$94)</f>
        <v>0.60162601626016265</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5"/>
      <c r="AV94" s="2576"/>
      <c r="AW94" s="2776" t="s">
        <v>684</v>
      </c>
      <c r="AX94" s="2777"/>
      <c r="AY94" s="2777"/>
      <c r="AZ94" s="2777"/>
      <c r="BA94" s="2769"/>
    </row>
    <row r="95" spans="1:56" ht="11.25" customHeight="1" thickBot="1">
      <c r="B95" s="1354"/>
      <c r="C95" s="1375" t="s">
        <v>265</v>
      </c>
      <c r="D95" s="1356"/>
      <c r="E95" s="1355"/>
      <c r="F95" s="1355"/>
      <c r="G95" s="1357">
        <f>IFERROR((-'CF(M)'!J134/G94)*(12/O43),)</f>
        <v>0</v>
      </c>
      <c r="H95" s="1355"/>
      <c r="I95" s="1358">
        <v>5.7500000000000002E-2</v>
      </c>
      <c r="J95" s="1355"/>
      <c r="K95" s="1376">
        <f ca="1">(I93/H93)*(12/O44)</f>
        <v>7.4999999999999997E-3</v>
      </c>
      <c r="N95" s="783">
        <f>SUM(N90:N94)</f>
        <v>98800000</v>
      </c>
      <c r="O95" s="1683">
        <f>SUM(O90:O94)</f>
        <v>0.99999999999999989</v>
      </c>
      <c r="R95" s="2636">
        <f>SUM(R90:R94)</f>
        <v>6320000</v>
      </c>
      <c r="S95" s="783">
        <f>SUM(S90:S94)</f>
        <v>6320000</v>
      </c>
      <c r="T95" s="783">
        <f t="shared" ref="T95" si="88">SUM(T90:T94)</f>
        <v>92480000</v>
      </c>
      <c r="U95" s="2642">
        <f>SUM(U90:U94)</f>
        <v>1</v>
      </c>
      <c r="AH95" s="1060">
        <f>EOMONTH(AH94-1,6)</f>
        <v>46507</v>
      </c>
      <c r="AI95" s="268">
        <f t="shared" ref="AI95:AI108" si="89">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0">SUM(AO95:AP95)</f>
        <v>0</v>
      </c>
      <c r="AR95" s="1084">
        <f t="shared" ref="AR95:AR114" ca="1" si="91">IFERROR(AQ95/AN95*(12/6),)</f>
        <v>0</v>
      </c>
      <c r="AU95" s="2577"/>
      <c r="AV95" s="2578">
        <f>AN50</f>
        <v>1.7386879167284843</v>
      </c>
      <c r="AW95" s="2571">
        <v>5.1999999999999998E-2</v>
      </c>
      <c r="AX95" s="2571">
        <v>5.3999999999999999E-2</v>
      </c>
      <c r="AY95" s="2571">
        <v>5.6000000000000001E-2</v>
      </c>
      <c r="AZ95" s="2571">
        <v>5.8000000000000003E-2</v>
      </c>
      <c r="BA95" s="2572">
        <v>0.06</v>
      </c>
    </row>
    <row r="96" spans="1:56" ht="11.25" customHeight="1" thickBot="1">
      <c r="B96" s="261"/>
      <c r="C96" s="1373" t="s">
        <v>266</v>
      </c>
      <c r="D96" s="119"/>
      <c r="E96" s="5"/>
      <c r="F96" s="5"/>
      <c r="G96" s="938">
        <f>IFERROR((-SUM('CF(M)'!J134:J135)/G94)*(12/O43),)</f>
        <v>0</v>
      </c>
      <c r="H96" s="5"/>
      <c r="I96" s="1377"/>
      <c r="J96" s="5"/>
      <c r="K96" s="1378">
        <f ca="1">(SUM(I93:J93)/H93)*(12/$O$41)</f>
        <v>0.33493532310508634</v>
      </c>
      <c r="S96" s="883" t="b">
        <f>S95='BS(M)'!K36</f>
        <v>1</v>
      </c>
      <c r="T96" s="883" t="b">
        <f>T95='BS(M)'!K37</f>
        <v>1</v>
      </c>
      <c r="AH96" s="1060">
        <f t="shared" ref="AH96:AH108" si="92">EOMONTH(AH95-1,6)</f>
        <v>46691</v>
      </c>
      <c r="AI96" s="268">
        <f t="shared" si="89"/>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3">SUM(AL96:AM96)</f>
        <v>0</v>
      </c>
      <c r="AO96" s="1082">
        <f>SUMIF('FS_Detail(M)'!$L$10:$EQ$10,$AI96,'FS_Detail(M)'!$L$136:$EQ$136)+SUMIF('FS_Detail(M)'!$L$10:$EQ$10,$AI96,'FS_Detail(M)'!$L$141:$EQ$141)</f>
        <v>0</v>
      </c>
      <c r="AP96" s="1082">
        <f ca="1">SUMIF('IS(M)'!$M$11:$ER$11,$AI96,'IS(M)'!$M$100:$ER$100)+SUMIF('IS(M)'!$M$11:$ER$11,$AI96,'IS(M)'!$M$110:$ER$110)</f>
        <v>0</v>
      </c>
      <c r="AQ96" s="1082">
        <f t="shared" ca="1" si="90"/>
        <v>0</v>
      </c>
      <c r="AR96" s="1084">
        <f t="shared" ca="1" si="91"/>
        <v>0</v>
      </c>
      <c r="AU96" s="2778" t="s">
        <v>1240</v>
      </c>
      <c r="AV96" s="2573">
        <v>0.02</v>
      </c>
      <c r="AW96" s="2581">
        <v>1.5582143852796975</v>
      </c>
      <c r="AX96" s="2579">
        <v>1.5005027413804495</v>
      </c>
      <c r="AY96" s="2579">
        <v>1.4469133577597191</v>
      </c>
      <c r="AZ96" s="2579">
        <v>1.3970197936990392</v>
      </c>
      <c r="BA96" s="2580">
        <v>1.3504524672424045</v>
      </c>
    </row>
    <row r="97" spans="2:53" ht="11.25" customHeight="1" thickBot="1">
      <c r="B97" s="261"/>
      <c r="C97" s="1373" t="s">
        <v>631</v>
      </c>
      <c r="D97" s="119"/>
      <c r="E97" s="5"/>
      <c r="F97" s="5"/>
      <c r="G97" s="938">
        <f>'CF(M)'!I127</f>
        <v>0</v>
      </c>
      <c r="H97" s="5"/>
      <c r="I97" s="1377"/>
      <c r="J97" s="5"/>
      <c r="K97" s="1379">
        <f ca="1">'CF(M)'!I129</f>
        <v>7.7792962088110151E-3</v>
      </c>
      <c r="AH97" s="1060">
        <f t="shared" si="92"/>
        <v>46873</v>
      </c>
      <c r="AI97" s="268">
        <f t="shared" si="89"/>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3"/>
        <v>0</v>
      </c>
      <c r="AO97" s="1082">
        <f>SUMIF('FS_Detail(M)'!$L$10:$EQ$10,$AI97,'FS_Detail(M)'!$L$136:$EQ$136)+SUMIF('FS_Detail(M)'!$L$10:$EQ$10,$AI97,'FS_Detail(M)'!$L$141:$EQ$141)</f>
        <v>0</v>
      </c>
      <c r="AP97" s="1082">
        <f ca="1">SUMIF('IS(M)'!$M$11:$ER$11,$AI97,'IS(M)'!$M$100:$ER$100)+SUMIF('IS(M)'!$M$11:$ER$11,$AI97,'IS(M)'!$M$110:$ER$110)</f>
        <v>0</v>
      </c>
      <c r="AQ97" s="1082">
        <f t="shared" ca="1" si="90"/>
        <v>0</v>
      </c>
      <c r="AR97" s="1084">
        <f t="shared" ca="1" si="91"/>
        <v>0</v>
      </c>
      <c r="AU97" s="2768"/>
      <c r="AV97" s="2573">
        <v>0.04</v>
      </c>
      <c r="AW97" s="2579">
        <v>1.5212874624096799</v>
      </c>
      <c r="AX97" s="2579">
        <v>1.4649434823204324</v>
      </c>
      <c r="AY97" s="2579">
        <v>1.4126240722375598</v>
      </c>
      <c r="AZ97" s="2579">
        <v>1.3639128973328165</v>
      </c>
      <c r="BA97" s="2580">
        <v>1.3184491340883893</v>
      </c>
    </row>
    <row r="98" spans="2:53" ht="11.25" customHeight="1" thickBot="1">
      <c r="B98" s="1351"/>
      <c r="C98" s="1380" t="s">
        <v>267</v>
      </c>
      <c r="D98" s="1352"/>
      <c r="E98" s="1381"/>
      <c r="F98" s="1381"/>
      <c r="G98" s="1353">
        <f>'CF(M)'!I128</f>
        <v>0</v>
      </c>
      <c r="H98" s="1381"/>
      <c r="I98" s="1382">
        <v>0.105</v>
      </c>
      <c r="J98" s="1381"/>
      <c r="K98" s="1383">
        <f ca="1">'CF(M)'!I130</f>
        <v>0.16438586395039967</v>
      </c>
      <c r="S98" s="259" t="s">
        <v>1752</v>
      </c>
      <c r="AH98" s="1060">
        <f t="shared" si="92"/>
        <v>47057</v>
      </c>
      <c r="AI98" s="268">
        <f t="shared" si="89"/>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3"/>
        <v>0</v>
      </c>
      <c r="AO98" s="1082">
        <f>SUMIF('FS_Detail(M)'!$L$10:$EQ$10,$AI98,'FS_Detail(M)'!$L$136:$EQ$136)+SUMIF('FS_Detail(M)'!$L$10:$EQ$10,$AI98,'FS_Detail(M)'!$L$141:$EQ$141)</f>
        <v>0</v>
      </c>
      <c r="AP98" s="1082">
        <f ca="1">SUMIF('IS(M)'!$M$11:$ER$11,$AI98,'IS(M)'!$M$100:$ER$100)+SUMIF('IS(M)'!$M$11:$ER$11,$AI98,'IS(M)'!$M$110:$ER$110)</f>
        <v>0</v>
      </c>
      <c r="AQ98" s="1082">
        <f t="shared" ca="1" si="90"/>
        <v>0</v>
      </c>
      <c r="AR98" s="1084">
        <f t="shared" ca="1" si="91"/>
        <v>0</v>
      </c>
      <c r="AU98" s="2768"/>
      <c r="AV98" s="2573">
        <v>0.06</v>
      </c>
      <c r="AW98" s="2579">
        <v>1.4843605395396635</v>
      </c>
      <c r="AX98" s="2579">
        <v>1.4293842232604168</v>
      </c>
      <c r="AY98" s="2579">
        <v>1.3783347867154019</v>
      </c>
      <c r="AZ98" s="2579">
        <v>1.330806000966595</v>
      </c>
      <c r="BA98" s="2580">
        <v>1.2864458009343751</v>
      </c>
    </row>
    <row r="99" spans="2:53" ht="11.25" customHeight="1" thickBot="1">
      <c r="B99" s="859"/>
      <c r="C99" s="1806" t="s">
        <v>268</v>
      </c>
      <c r="D99" s="1807"/>
      <c r="E99" s="180"/>
      <c r="F99" s="180"/>
      <c r="G99" s="1808">
        <f ca="1">IFERROR((SUM(E93:F93)+G94)/G94,)</f>
        <v>0</v>
      </c>
      <c r="H99" s="180"/>
      <c r="I99" s="180"/>
      <c r="J99" s="180"/>
      <c r="K99" s="1809">
        <f ca="1">(SUM(I93:J93)+K94)/K94</f>
        <v>4.3493532310508627</v>
      </c>
      <c r="Q99" s="259" t="s">
        <v>1753</v>
      </c>
      <c r="R99" s="2650">
        <f>SUM(R92:R93)</f>
        <v>1400000</v>
      </c>
      <c r="S99" s="2651">
        <f>R99/$R$100</f>
        <v>0.22151898734177214</v>
      </c>
      <c r="AH99" s="1060">
        <f t="shared" si="92"/>
        <v>47238</v>
      </c>
      <c r="AI99" s="268">
        <f t="shared" si="89"/>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3"/>
        <v>0</v>
      </c>
      <c r="AO99" s="1082">
        <f>SUMIF('FS_Detail(M)'!$L$10:$EQ$10,$AI99,'FS_Detail(M)'!$L$136:$EQ$136)+SUMIF('FS_Detail(M)'!$L$10:$EQ$10,$AI99,'FS_Detail(M)'!$L$141:$EQ$141)</f>
        <v>0</v>
      </c>
      <c r="AP99" s="1082">
        <f ca="1">SUMIF('IS(M)'!$M$11:$ER$11,$AI99,'IS(M)'!$M$100:$ER$100)+SUMIF('IS(M)'!$M$11:$ER$11,$AI99,'IS(M)'!$M$110:$ER$110)</f>
        <v>0</v>
      </c>
      <c r="AQ99" s="1082">
        <f t="shared" ca="1" si="90"/>
        <v>0</v>
      </c>
      <c r="AR99" s="1084">
        <f t="shared" ca="1" si="91"/>
        <v>0</v>
      </c>
      <c r="AU99" s="2768"/>
      <c r="AV99" s="2573">
        <v>0.08</v>
      </c>
      <c r="AW99" s="2579">
        <v>1.4474336166696469</v>
      </c>
      <c r="AX99" s="2579">
        <v>1.3938249642004006</v>
      </c>
      <c r="AY99" s="2579">
        <v>1.3440455011932435</v>
      </c>
      <c r="AZ99" s="2579">
        <v>1.297699104600373</v>
      </c>
      <c r="BA99" s="2580">
        <v>1.2544424677803605</v>
      </c>
    </row>
    <row r="100" spans="2:53" ht="11.25" customHeight="1" thickBot="1">
      <c r="B100" s="1657" t="s">
        <v>512</v>
      </c>
      <c r="C100" s="1074"/>
      <c r="D100" s="1074"/>
      <c r="E100" s="1074"/>
      <c r="F100" s="1074"/>
      <c r="G100" s="1074"/>
      <c r="H100" s="1074"/>
      <c r="I100" s="1074"/>
      <c r="J100" s="1074"/>
      <c r="K100" s="1658"/>
      <c r="Q100" s="259" t="s">
        <v>1754</v>
      </c>
      <c r="R100" s="2650">
        <f>SUM(R90:R94)</f>
        <v>6320000</v>
      </c>
      <c r="S100" s="2642" t="b">
        <f>R99/R100&lt;25%</f>
        <v>1</v>
      </c>
      <c r="AH100" s="1060">
        <f t="shared" si="92"/>
        <v>47422</v>
      </c>
      <c r="AI100" s="268">
        <f t="shared" si="89"/>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3"/>
        <v>0</v>
      </c>
      <c r="AO100" s="1082">
        <f>SUMIF('FS_Detail(M)'!$L$10:$EQ$10,$AI100,'FS_Detail(M)'!$L$136:$EQ$136)+SUMIF('FS_Detail(M)'!$L$10:$EQ$10,$AI100,'FS_Detail(M)'!$L$141:$EQ$141)</f>
        <v>0</v>
      </c>
      <c r="AP100" s="1082">
        <f ca="1">SUMIF('IS(M)'!$M$11:$ER$11,$AI100,'IS(M)'!$M$100:$ER$100)+SUMIF('IS(M)'!$M$11:$ER$11,$AI100,'IS(M)'!$M$110:$ER$110)</f>
        <v>0</v>
      </c>
      <c r="AQ100" s="1082">
        <f t="shared" ca="1" si="90"/>
        <v>0</v>
      </c>
      <c r="AR100" s="1084">
        <f t="shared" ca="1" si="91"/>
        <v>0</v>
      </c>
      <c r="AU100" s="2768"/>
      <c r="AV100" s="2573">
        <v>0.1</v>
      </c>
      <c r="AW100" s="2579">
        <v>1.4105066937996298</v>
      </c>
      <c r="AX100" s="2579">
        <v>1.3582657051403844</v>
      </c>
      <c r="AY100" s="2579">
        <v>1.3097562156710849</v>
      </c>
      <c r="AZ100" s="2579">
        <v>1.264592208234151</v>
      </c>
      <c r="BA100" s="2580">
        <v>1.2224391346263459</v>
      </c>
    </row>
    <row r="101" spans="2:53" ht="11.25" customHeight="1" thickBot="1">
      <c r="B101" s="261" t="s">
        <v>572</v>
      </c>
      <c r="K101" s="264"/>
      <c r="N101" s="13"/>
      <c r="O101" s="132"/>
      <c r="P101" s="2231"/>
      <c r="AH101" s="1060">
        <f t="shared" si="92"/>
        <v>47603</v>
      </c>
      <c r="AI101" s="268">
        <f t="shared" si="89"/>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3"/>
        <v>0</v>
      </c>
      <c r="AO101" s="1082">
        <f>SUMIF('FS_Detail(M)'!$L$10:$EQ$10,$AI101,'FS_Detail(M)'!$L$136:$EQ$136)+SUMIF('FS_Detail(M)'!$L$10:$EQ$10,$AI101,'FS_Detail(M)'!$L$141:$EQ$141)</f>
        <v>0</v>
      </c>
      <c r="AP101" s="1082">
        <f ca="1">SUMIF('IS(M)'!$M$11:$ER$11,$AI101,'IS(M)'!$M$100:$ER$100)+SUMIF('IS(M)'!$M$11:$ER$11,$AI101,'IS(M)'!$M$110:$ER$110)</f>
        <v>0</v>
      </c>
      <c r="AQ101" s="1082">
        <f t="shared" ca="1" si="90"/>
        <v>0</v>
      </c>
      <c r="AR101" s="1084">
        <f t="shared" ca="1" si="91"/>
        <v>0</v>
      </c>
      <c r="AU101" s="2769"/>
      <c r="AV101" s="2574">
        <v>0.12</v>
      </c>
      <c r="AW101" s="2579">
        <v>1.3735797709296134</v>
      </c>
      <c r="AX101" s="2579">
        <v>1.3227064460803684</v>
      </c>
      <c r="AY101" s="2579">
        <v>1.2754669301489265</v>
      </c>
      <c r="AZ101" s="2579">
        <v>1.2314853118679292</v>
      </c>
      <c r="BA101" s="2580">
        <v>1.1904358014723315</v>
      </c>
    </row>
    <row r="102" spans="2:53" ht="11.25" customHeight="1">
      <c r="B102" s="261"/>
      <c r="C102" s="1012" t="s">
        <v>588</v>
      </c>
      <c r="E102" s="1659" t="s">
        <v>592</v>
      </c>
      <c r="F102" s="1011">
        <v>1</v>
      </c>
      <c r="G102" s="259" t="s">
        <v>593</v>
      </c>
      <c r="J102" s="270" t="s">
        <v>1074</v>
      </c>
      <c r="K102" s="264"/>
      <c r="R102" s="1683">
        <f>R94/R95</f>
        <v>0.46835443037974683</v>
      </c>
      <c r="AH102" s="1060">
        <f t="shared" si="92"/>
        <v>47787</v>
      </c>
      <c r="AI102" s="268">
        <f t="shared" si="89"/>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3"/>
        <v>0</v>
      </c>
      <c r="AO102" s="1082">
        <f>SUMIF('FS_Detail(M)'!$L$10:$EQ$10,$AI102,'FS_Detail(M)'!$L$136:$EQ$136)+SUMIF('FS_Detail(M)'!$L$10:$EQ$10,$AI102,'FS_Detail(M)'!$L$141:$EQ$141)</f>
        <v>0</v>
      </c>
      <c r="AP102" s="1082">
        <f ca="1">SUMIF('IS(M)'!$M$11:$ER$11,$AI102,'IS(M)'!$M$100:$ER$100)+SUMIF('IS(M)'!$M$11:$ER$11,$AI102,'IS(M)'!$M$110:$ER$110)</f>
        <v>0</v>
      </c>
      <c r="AQ102" s="1082">
        <f t="shared" ca="1" si="90"/>
        <v>0</v>
      </c>
      <c r="AR102" s="1084">
        <f t="shared" ca="1" si="91"/>
        <v>0</v>
      </c>
    </row>
    <row r="103" spans="2:53" ht="11.25" customHeight="1">
      <c r="B103" s="261"/>
      <c r="C103" s="1012" t="s">
        <v>589</v>
      </c>
      <c r="E103" s="1659" t="s">
        <v>591</v>
      </c>
      <c r="F103" s="1010">
        <v>7.4999999999999997E-2</v>
      </c>
      <c r="G103" s="259" t="s">
        <v>594</v>
      </c>
      <c r="H103" s="259" t="s">
        <v>1072</v>
      </c>
      <c r="J103" s="1746">
        <v>12</v>
      </c>
      <c r="K103" s="1745">
        <f>EOMONTH($D$37,$J$103)</f>
        <v>46691</v>
      </c>
      <c r="AH103" s="1060">
        <f t="shared" si="92"/>
        <v>47968</v>
      </c>
      <c r="AI103" s="268">
        <f t="shared" si="89"/>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3"/>
        <v>0</v>
      </c>
      <c r="AO103" s="1082">
        <f>SUMIF('FS_Detail(M)'!$L$10:$EQ$10,$AI103,'FS_Detail(M)'!$L$136:$EQ$136)+SUMIF('FS_Detail(M)'!$L$10:$EQ$10,$AI103,'FS_Detail(M)'!$L$141:$EQ$141)</f>
        <v>0</v>
      </c>
      <c r="AP103" s="1082">
        <f ca="1">SUMIF('IS(M)'!$M$11:$ER$11,$AI103,'IS(M)'!$M$100:$ER$100)+SUMIF('IS(M)'!$M$11:$ER$11,$AI103,'IS(M)'!$M$110:$ER$110)</f>
        <v>0</v>
      </c>
      <c r="AQ103" s="1082">
        <f t="shared" ca="1" si="90"/>
        <v>0</v>
      </c>
      <c r="AR103" s="1084">
        <f t="shared" ca="1" si="91"/>
        <v>0</v>
      </c>
    </row>
    <row r="104" spans="2:53" ht="11.25" customHeight="1">
      <c r="B104" s="261"/>
      <c r="C104" s="1012" t="s">
        <v>590</v>
      </c>
      <c r="K104" s="264"/>
      <c r="AH104" s="1060">
        <f t="shared" si="92"/>
        <v>48152</v>
      </c>
      <c r="AI104" s="268">
        <f t="shared" si="89"/>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3"/>
        <v>0</v>
      </c>
      <c r="AO104" s="1082">
        <f>SUMIF('FS_Detail(M)'!$L$10:$EQ$10,$AI104,'FS_Detail(M)'!$L$136:$EQ$136)+SUMIF('FS_Detail(M)'!$L$10:$EQ$10,$AI104,'FS_Detail(M)'!$L$141:$EQ$141)</f>
        <v>0</v>
      </c>
      <c r="AP104" s="1082">
        <f ca="1">SUMIF('IS(M)'!$M$11:$ER$11,$AI104,'IS(M)'!$M$100:$ER$100)+SUMIF('IS(M)'!$M$11:$ER$11,$AI104,'IS(M)'!$M$110:$ER$110)</f>
        <v>0</v>
      </c>
      <c r="AQ104" s="1082">
        <f t="shared" ca="1" si="90"/>
        <v>0</v>
      </c>
      <c r="AR104" s="1084">
        <f t="shared" ca="1" si="91"/>
        <v>0</v>
      </c>
    </row>
    <row r="105" spans="2:53" ht="11.25" customHeight="1">
      <c r="B105" s="261"/>
      <c r="C105" s="1012"/>
      <c r="J105" s="270"/>
      <c r="K105" s="966"/>
      <c r="P105" s="783"/>
      <c r="AH105" s="1060">
        <f t="shared" si="92"/>
        <v>48334</v>
      </c>
      <c r="AI105" s="268">
        <f t="shared" si="89"/>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3"/>
        <v>0</v>
      </c>
      <c r="AO105" s="1082">
        <f>SUMIF('FS_Detail(M)'!$L$10:$EQ$10,$AI105,'FS_Detail(M)'!$L$136:$EQ$136)+SUMIF('FS_Detail(M)'!$L$10:$EQ$10,$AI105,'FS_Detail(M)'!$L$141:$EQ$141)</f>
        <v>0</v>
      </c>
      <c r="AP105" s="1082">
        <f ca="1">SUMIF('IS(M)'!$M$11:$ER$11,$AI105,'IS(M)'!$M$100:$ER$100)+SUMIF('IS(M)'!$M$11:$ER$11,$AI105,'IS(M)'!$M$110:$ER$110)</f>
        <v>0</v>
      </c>
      <c r="AQ105" s="1082">
        <f t="shared" ca="1" si="90"/>
        <v>0</v>
      </c>
      <c r="AR105" s="1084">
        <f t="shared" ca="1" si="91"/>
        <v>0</v>
      </c>
    </row>
    <row r="106" spans="2:53" ht="11.25" customHeight="1">
      <c r="B106" s="261"/>
      <c r="C106" s="1012"/>
      <c r="H106" s="259" t="s">
        <v>848</v>
      </c>
      <c r="I106" s="259" t="s">
        <v>247</v>
      </c>
      <c r="J106" s="270" t="s">
        <v>554</v>
      </c>
      <c r="K106" s="1626">
        <f>ROUNDUP('IS(FY)'!K78,-5)</f>
        <v>4000000</v>
      </c>
      <c r="N106" s="2730" t="s">
        <v>1890</v>
      </c>
      <c r="Q106" s="783"/>
      <c r="AH106" s="1060">
        <f t="shared" si="92"/>
        <v>48518</v>
      </c>
      <c r="AI106" s="268">
        <f t="shared" si="89"/>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3"/>
        <v>0</v>
      </c>
      <c r="AO106" s="1082">
        <f>SUMIF('FS_Detail(M)'!$L$10:$EQ$10,$AI106,'FS_Detail(M)'!$L$136:$EQ$136)+SUMIF('FS_Detail(M)'!$L$10:$EQ$10,$AI106,'FS_Detail(M)'!$L$141:$EQ$141)</f>
        <v>0</v>
      </c>
      <c r="AP106" s="1082">
        <f ca="1">SUMIF('IS(M)'!$M$11:$ER$11,$AI106,'IS(M)'!$M$100:$ER$100)+SUMIF('IS(M)'!$M$11:$ER$11,$AI106,'IS(M)'!$M$110:$ER$110)</f>
        <v>0</v>
      </c>
      <c r="AQ106" s="1082">
        <f t="shared" ca="1" si="90"/>
        <v>0</v>
      </c>
      <c r="AR106" s="1084">
        <f t="shared" ca="1" si="91"/>
        <v>0</v>
      </c>
      <c r="AU106" s="259" t="s">
        <v>1694</v>
      </c>
    </row>
    <row r="107" spans="2:53" ht="11.25" customHeight="1">
      <c r="B107" s="873"/>
      <c r="C107" s="675"/>
      <c r="D107" s="675"/>
      <c r="E107" s="675"/>
      <c r="F107" s="675"/>
      <c r="G107" s="675"/>
      <c r="H107" s="675"/>
      <c r="I107" s="675"/>
      <c r="J107" s="675"/>
      <c r="K107" s="874"/>
      <c r="N107" s="2465"/>
      <c r="Q107" s="2636"/>
      <c r="AH107" s="1060">
        <f t="shared" si="92"/>
        <v>48699</v>
      </c>
      <c r="AI107" s="268">
        <f t="shared" si="89"/>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3"/>
        <v>0</v>
      </c>
      <c r="AO107" s="1082">
        <f>SUMIF('FS_Detail(M)'!$L$10:$EQ$10,$AI107,'FS_Detail(M)'!$L$136:$EQ$136)+SUMIF('FS_Detail(M)'!$L$10:$EQ$10,$AI107,'FS_Detail(M)'!$L$141:$EQ$141)</f>
        <v>0</v>
      </c>
      <c r="AP107" s="1082">
        <f ca="1">SUMIF('IS(M)'!$M$11:$ER$11,$AI107,'IS(M)'!$M$100:$ER$100)+SUMIF('IS(M)'!$M$11:$ER$11,$AI107,'IS(M)'!$M$110:$ER$110)</f>
        <v>0</v>
      </c>
      <c r="AQ107" s="1082">
        <f t="shared" ca="1" si="90"/>
        <v>0</v>
      </c>
      <c r="AR107" s="1084">
        <f t="shared" ca="1" si="91"/>
        <v>0</v>
      </c>
    </row>
    <row r="108" spans="2:53" ht="13.5" customHeight="1" thickBot="1">
      <c r="B108" s="1822" t="s">
        <v>1105</v>
      </c>
      <c r="C108" s="258"/>
      <c r="D108" s="258"/>
      <c r="E108" s="1816"/>
      <c r="F108" s="1817"/>
      <c r="G108" s="258"/>
      <c r="H108" s="258"/>
      <c r="I108" s="258"/>
      <c r="J108" s="258"/>
      <c r="K108" s="1818"/>
      <c r="N108" s="2465"/>
      <c r="P108" s="2654"/>
      <c r="Q108" s="2633"/>
      <c r="AH108" s="1060">
        <f t="shared" si="92"/>
        <v>48883</v>
      </c>
      <c r="AI108" s="268">
        <f t="shared" si="89"/>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3"/>
        <v>0</v>
      </c>
      <c r="AO108" s="1082">
        <f>SUMIF('FS_Detail(M)'!$L$10:$EQ$10,$AI108,'FS_Detail(M)'!$L$136:$EQ$136)+SUMIF('FS_Detail(M)'!$L$10:$EQ$10,$AI108,'FS_Detail(M)'!$L$141:$EQ$141)</f>
        <v>0</v>
      </c>
      <c r="AP108" s="1082">
        <f ca="1">SUMIF('IS(M)'!$M$11:$ER$11,$AI108,'IS(M)'!$M$100:$ER$100)+SUMIF('IS(M)'!$M$11:$ER$11,$AI108,'IS(M)'!$M$110:$ER$110)</f>
        <v>0</v>
      </c>
      <c r="AQ108" s="1082">
        <f t="shared" ca="1" si="90"/>
        <v>0</v>
      </c>
      <c r="AR108" s="1084">
        <f t="shared" ca="1" si="91"/>
        <v>0</v>
      </c>
      <c r="AU108" s="2575" t="s">
        <v>620</v>
      </c>
      <c r="AV108" s="2576"/>
      <c r="AW108" s="2776" t="s">
        <v>684</v>
      </c>
      <c r="AX108" s="2777"/>
      <c r="AY108" s="2777"/>
      <c r="AZ108" s="2777"/>
      <c r="BA108" s="2769"/>
    </row>
    <row r="109" spans="2:53" ht="11.25" customHeight="1" thickBot="1">
      <c r="B109" s="1819"/>
      <c r="C109" s="1071"/>
      <c r="D109" s="1071"/>
      <c r="E109" s="1820"/>
      <c r="F109" s="1041"/>
      <c r="G109" s="1071"/>
      <c r="H109" s="1071"/>
      <c r="I109" s="1071"/>
      <c r="J109" s="1071"/>
      <c r="K109" s="1821"/>
      <c r="N109" s="259" t="s">
        <v>24</v>
      </c>
      <c r="P109" s="270" t="s">
        <v>25</v>
      </c>
      <c r="Q109" s="270" t="s">
        <v>647</v>
      </c>
      <c r="R109" s="270" t="s">
        <v>1897</v>
      </c>
      <c r="S109" s="270" t="s">
        <v>1145</v>
      </c>
      <c r="T109" s="270" t="s">
        <v>1895</v>
      </c>
      <c r="U109" s="270" t="s">
        <v>1896</v>
      </c>
      <c r="AH109" s="1060">
        <f t="shared" ref="AH109:AH114" si="94">EOMONTH(AH108-1,6)</f>
        <v>49064</v>
      </c>
      <c r="AI109" s="268">
        <f t="shared" ref="AI109:AI114" si="95">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6">SUM(AL109:AM109)</f>
        <v>0</v>
      </c>
      <c r="AO109" s="1082">
        <f>SUMIF('FS_Detail(M)'!$L$10:$EQ$10,$AI109,'FS_Detail(M)'!$L$136:$EQ$136)+SUMIF('FS_Detail(M)'!$L$10:$EQ$10,$AI109,'FS_Detail(M)'!$L$141:$EQ$141)</f>
        <v>0</v>
      </c>
      <c r="AP109" s="1082">
        <f ca="1">SUMIF('IS(M)'!$M$11:$ER$11,$AI109,'IS(M)'!$M$100:$ER$100)+SUMIF('IS(M)'!$M$11:$ER$11,$AI109,'IS(M)'!$M$110:$ER$110)</f>
        <v>0</v>
      </c>
      <c r="AQ109" s="1082">
        <f t="shared" ca="1" si="90"/>
        <v>0</v>
      </c>
      <c r="AR109" s="1084">
        <f t="shared" ca="1" si="91"/>
        <v>0</v>
      </c>
      <c r="AU109" s="2577"/>
      <c r="AV109" s="2578">
        <f>AN51</f>
        <v>1.3390701294158891</v>
      </c>
      <c r="AW109" s="2571">
        <v>5.1999999999999998E-2</v>
      </c>
      <c r="AX109" s="2571">
        <v>5.3999999999999999E-2</v>
      </c>
      <c r="AY109" s="2571">
        <v>5.6000000000000001E-2</v>
      </c>
      <c r="AZ109" s="2571">
        <v>5.8000000000000003E-2</v>
      </c>
      <c r="BA109" s="2572">
        <v>0.06</v>
      </c>
    </row>
    <row r="110" spans="2:53" ht="11.25" customHeight="1" thickBot="1">
      <c r="B110" s="261"/>
      <c r="C110" s="259" t="s">
        <v>24</v>
      </c>
      <c r="E110" s="270" t="s">
        <v>602</v>
      </c>
      <c r="F110" s="270" t="s">
        <v>1103</v>
      </c>
      <c r="G110" s="270" t="s">
        <v>1104</v>
      </c>
      <c r="H110" s="270" t="s">
        <v>1106</v>
      </c>
      <c r="K110" s="264"/>
      <c r="M110" s="2744">
        <v>0.5</v>
      </c>
      <c r="N110" s="2629" t="s">
        <v>1891</v>
      </c>
      <c r="O110" s="1962" t="s">
        <v>1893</v>
      </c>
      <c r="P110" s="1962">
        <f>ROUNDUP($P$112*$M110,-5)</f>
        <v>80000000</v>
      </c>
      <c r="Q110" s="2735">
        <v>3.1199999999999999E-2</v>
      </c>
      <c r="R110" s="2745">
        <v>1.43E-2</v>
      </c>
      <c r="S110" s="2735">
        <f>SUM(Q110:R110)</f>
        <v>4.5499999999999999E-2</v>
      </c>
      <c r="T110" s="2735">
        <v>1.2E-2</v>
      </c>
      <c r="U110" s="2735">
        <f>T110/2+S110</f>
        <v>5.1499999999999997E-2</v>
      </c>
      <c r="AH110" s="1060">
        <f t="shared" si="94"/>
        <v>49248</v>
      </c>
      <c r="AI110" s="268">
        <f t="shared" si="95"/>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6"/>
        <v>0</v>
      </c>
      <c r="AO110" s="1082">
        <f>SUMIF('FS_Detail(M)'!$L$10:$EQ$10,$AI110,'FS_Detail(M)'!$L$136:$EQ$136)+SUMIF('FS_Detail(M)'!$L$10:$EQ$10,$AI110,'FS_Detail(M)'!$L$141:$EQ$141)</f>
        <v>0</v>
      </c>
      <c r="AP110" s="1082">
        <f ca="1">SUMIF('IS(M)'!$M$11:$ER$11,$AI110,'IS(M)'!$M$100:$ER$100)+SUMIF('IS(M)'!$M$11:$ER$11,$AI110,'IS(M)'!$M$110:$ER$110)</f>
        <v>0</v>
      </c>
      <c r="AQ110" s="1082">
        <f t="shared" ca="1" si="90"/>
        <v>0</v>
      </c>
      <c r="AR110" s="1084">
        <f t="shared" ca="1" si="91"/>
        <v>0</v>
      </c>
      <c r="AU110" s="2778" t="s">
        <v>1240</v>
      </c>
      <c r="AV110" s="2573">
        <v>0.02</v>
      </c>
      <c r="AW110" s="2581">
        <v>1.2230512910874607</v>
      </c>
      <c r="AX110" s="2579">
        <v>1.1872109602131029</v>
      </c>
      <c r="AY110" s="2579">
        <v>1.1534113599223383</v>
      </c>
      <c r="AZ110" s="2579">
        <v>1.1214830177791595</v>
      </c>
      <c r="BA110" s="2580">
        <v>1.0912747210039633</v>
      </c>
    </row>
    <row r="111" spans="2:53" ht="11.25" customHeight="1" thickBot="1">
      <c r="B111" s="261"/>
      <c r="C111" s="1074" t="s">
        <v>1082</v>
      </c>
      <c r="D111" s="1074"/>
      <c r="E111" s="1075">
        <v>0.02</v>
      </c>
      <c r="F111" s="1076">
        <v>24</v>
      </c>
      <c r="G111" s="1078">
        <f>EOMONTH(D37,F111)</f>
        <v>47057</v>
      </c>
      <c r="H111" s="1824">
        <f>S41</f>
        <v>7.0000000000000007E-2</v>
      </c>
      <c r="J111" s="270"/>
      <c r="K111" s="966"/>
      <c r="M111" s="2743">
        <f>1-M110</f>
        <v>0.5</v>
      </c>
      <c r="N111" s="2631" t="s">
        <v>1892</v>
      </c>
      <c r="O111" s="1964" t="s">
        <v>1894</v>
      </c>
      <c r="P111" s="1964">
        <f>P112-P110</f>
        <v>80000000</v>
      </c>
      <c r="Q111" s="2048">
        <f>O118</f>
        <v>4.061E-2</v>
      </c>
      <c r="R111" s="2048">
        <f>S111-Q111</f>
        <v>9.3900000000000025E-3</v>
      </c>
      <c r="S111" s="2048">
        <v>0.05</v>
      </c>
      <c r="T111" s="2048">
        <v>1.7000000000000001E-2</v>
      </c>
      <c r="U111" s="2048">
        <f>S111+T111/2</f>
        <v>5.8500000000000003E-2</v>
      </c>
      <c r="AH111" s="1060">
        <f t="shared" si="94"/>
        <v>49429</v>
      </c>
      <c r="AI111" s="268">
        <f t="shared" si="95"/>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6"/>
        <v>0</v>
      </c>
      <c r="AO111" s="1082">
        <f>SUMIF('FS_Detail(M)'!$L$10:$EQ$10,$AI111,'FS_Detail(M)'!$L$136:$EQ$136)+SUMIF('FS_Detail(M)'!$L$10:$EQ$10,$AI111,'FS_Detail(M)'!$L$141:$EQ$141)</f>
        <v>0</v>
      </c>
      <c r="AP111" s="1082">
        <f ca="1">SUMIF('IS(M)'!$M$11:$ER$11,$AI111,'IS(M)'!$M$100:$ER$100)+SUMIF('IS(M)'!$M$11:$ER$11,$AI111,'IS(M)'!$M$110:$ER$110)</f>
        <v>0</v>
      </c>
      <c r="AQ111" s="1082">
        <f t="shared" ca="1" si="90"/>
        <v>0</v>
      </c>
      <c r="AR111" s="1084">
        <f t="shared" ca="1" si="91"/>
        <v>0</v>
      </c>
      <c r="AU111" s="2768"/>
      <c r="AV111" s="2573">
        <v>0.04</v>
      </c>
      <c r="AW111" s="2579">
        <v>1.194067140306466</v>
      </c>
      <c r="AX111" s="2579">
        <v>1.1590761618359466</v>
      </c>
      <c r="AY111" s="2579">
        <v>1.1260775522463111</v>
      </c>
      <c r="AZ111" s="2579">
        <v>1.0949058552983164</v>
      </c>
      <c r="BA111" s="2580">
        <v>1.0654134416875873</v>
      </c>
    </row>
    <row r="112" spans="2:53" ht="11.25" customHeight="1" thickBot="1">
      <c r="B112" s="261"/>
      <c r="C112" s="259" t="s">
        <v>1083</v>
      </c>
      <c r="E112" s="1040">
        <v>0.02</v>
      </c>
      <c r="F112" s="1025">
        <v>12</v>
      </c>
      <c r="G112" s="1077">
        <f>EOMONTH(D37,F112)</f>
        <v>46691</v>
      </c>
      <c r="H112" s="1825">
        <v>7.4999999999999997E-2</v>
      </c>
      <c r="J112" s="270"/>
      <c r="K112" s="1626"/>
      <c r="N112" s="2630"/>
      <c r="P112" s="783">
        <f>P32</f>
        <v>160000000</v>
      </c>
      <c r="Q112" s="1683"/>
      <c r="R112" s="2633"/>
      <c r="S112" s="1887">
        <f>SUMPRODUCT($P$110:$P$111,S110:S111)/$P$112</f>
        <v>4.7750000000000001E-2</v>
      </c>
      <c r="T112" s="1887">
        <f>SUMPRODUCT($P$110:$P$111,T110:T111)/$P$112</f>
        <v>1.4500000000000001E-2</v>
      </c>
      <c r="U112" s="2746">
        <f>SUMPRODUCT($P$110:$P$111,U110:U111)/$P$112</f>
        <v>5.5E-2</v>
      </c>
      <c r="AH112" s="1060">
        <f t="shared" si="94"/>
        <v>49613</v>
      </c>
      <c r="AI112" s="268">
        <f t="shared" si="95"/>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6"/>
        <v>0</v>
      </c>
      <c r="AO112" s="1082">
        <f>SUMIF('FS_Detail(M)'!$L$10:$EQ$10,$AI112,'FS_Detail(M)'!$L$136:$EQ$136)+SUMIF('FS_Detail(M)'!$L$10:$EQ$10,$AI112,'FS_Detail(M)'!$L$141:$EQ$141)</f>
        <v>0</v>
      </c>
      <c r="AP112" s="1082">
        <f ca="1">SUMIF('IS(M)'!$M$11:$ER$11,$AI112,'IS(M)'!$M$100:$ER$100)+SUMIF('IS(M)'!$M$11:$ER$11,$AI112,'IS(M)'!$M$110:$ER$110)</f>
        <v>0</v>
      </c>
      <c r="AQ112" s="1082">
        <f t="shared" ca="1" si="90"/>
        <v>0</v>
      </c>
      <c r="AR112" s="1084">
        <f t="shared" ca="1" si="91"/>
        <v>0</v>
      </c>
      <c r="AU112" s="2768"/>
      <c r="AV112" s="2573">
        <v>0.06</v>
      </c>
      <c r="AW112" s="2579">
        <v>1.1650829895254717</v>
      </c>
      <c r="AX112" s="2579">
        <v>1.1309413634587913</v>
      </c>
      <c r="AY112" s="2579">
        <v>1.0987437445702848</v>
      </c>
      <c r="AZ112" s="2579">
        <v>1.0683286928174742</v>
      </c>
      <c r="BA112" s="2580">
        <v>1.0395521623712123</v>
      </c>
    </row>
    <row r="113" spans="2:53" ht="11.25" customHeight="1" thickBot="1">
      <c r="B113" s="873"/>
      <c r="C113" s="675"/>
      <c r="D113" s="675"/>
      <c r="E113" s="675"/>
      <c r="F113" s="675"/>
      <c r="G113" s="675"/>
      <c r="H113" s="675"/>
      <c r="I113" s="675"/>
      <c r="J113" s="675"/>
      <c r="K113" s="874"/>
      <c r="P113" s="1683"/>
      <c r="Q113" s="2633"/>
      <c r="R113" s="2633"/>
      <c r="AH113" s="1060">
        <f t="shared" si="94"/>
        <v>49795</v>
      </c>
      <c r="AI113" s="268">
        <f t="shared" si="95"/>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6"/>
        <v>0</v>
      </c>
      <c r="AO113" s="1082">
        <f>SUMIF('FS_Detail(M)'!$L$10:$EQ$10,$AI113,'FS_Detail(M)'!$L$136:$EQ$136)+SUMIF('FS_Detail(M)'!$L$10:$EQ$10,$AI113,'FS_Detail(M)'!$L$141:$EQ$141)</f>
        <v>0</v>
      </c>
      <c r="AP113" s="1082">
        <f ca="1">SUMIF('IS(M)'!$M$11:$ER$11,$AI113,'IS(M)'!$M$100:$ER$100)+SUMIF('IS(M)'!$M$11:$ER$11,$AI113,'IS(M)'!$M$110:$ER$110)</f>
        <v>0</v>
      </c>
      <c r="AQ113" s="1082">
        <f t="shared" ca="1" si="90"/>
        <v>0</v>
      </c>
      <c r="AR113" s="1084">
        <f t="shared" ca="1" si="91"/>
        <v>0</v>
      </c>
      <c r="AU113" s="2768"/>
      <c r="AV113" s="2573">
        <v>0.08</v>
      </c>
      <c r="AW113" s="2579">
        <v>1.1360988387444777</v>
      </c>
      <c r="AX113" s="2579">
        <v>1.1028065650816357</v>
      </c>
      <c r="AY113" s="2579">
        <v>1.0714099368942582</v>
      </c>
      <c r="AZ113" s="2579">
        <v>1.0417515303366316</v>
      </c>
      <c r="BA113" s="2580">
        <v>1.0136908830548368</v>
      </c>
    </row>
    <row r="114" spans="2:53" ht="11.25" customHeight="1" thickBot="1">
      <c r="P114" s="2733"/>
      <c r="Q114" s="2734"/>
      <c r="R114" s="2734"/>
      <c r="AH114" s="1061">
        <f t="shared" si="94"/>
        <v>49979</v>
      </c>
      <c r="AI114" s="269">
        <f t="shared" si="95"/>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6"/>
        <v>0</v>
      </c>
      <c r="AO114" s="1083">
        <f>SUMIF('FS_Detail(M)'!$L$10:$EQ$10,$AI114,'FS_Detail(M)'!$L$136:$EQ$136)+SUMIF('FS_Detail(M)'!$L$10:$EQ$10,$AI114,'FS_Detail(M)'!$L$141:$EQ$141)</f>
        <v>0</v>
      </c>
      <c r="AP114" s="1083">
        <f ca="1">SUMIF('IS(M)'!$M$11:$ER$11,$AI114,'IS(M)'!$M$100:$ER$100)+SUMIF('IS(M)'!$M$11:$ER$11,$AI114,'IS(M)'!$M$110:$ER$110)</f>
        <v>0</v>
      </c>
      <c r="AQ114" s="1083">
        <f t="shared" ca="1" si="90"/>
        <v>0</v>
      </c>
      <c r="AR114" s="1087">
        <f t="shared" ca="1" si="91"/>
        <v>0</v>
      </c>
      <c r="AU114" s="2768"/>
      <c r="AV114" s="2573">
        <v>0.1</v>
      </c>
      <c r="AW114" s="2579">
        <v>1.1071146879634832</v>
      </c>
      <c r="AX114" s="2579">
        <v>1.0746717667044798</v>
      </c>
      <c r="AY114" s="2579">
        <v>1.0440761292182312</v>
      </c>
      <c r="AZ114" s="2579">
        <v>1.015174367855789</v>
      </c>
      <c r="BA114" s="2580">
        <v>0.98782960373846129</v>
      </c>
    </row>
    <row r="115" spans="2:53" ht="11.25" customHeight="1" thickBot="1">
      <c r="M115" s="2630" t="s">
        <v>2434</v>
      </c>
      <c r="O115" s="1077">
        <f>채권금리!B1</f>
        <v>46274</v>
      </c>
      <c r="P115" s="2732"/>
      <c r="Q115" s="2732"/>
      <c r="R115" s="2732"/>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2769"/>
      <c r="AV115" s="2574">
        <v>0.12</v>
      </c>
      <c r="AW115" s="2579">
        <v>1.078130537182489</v>
      </c>
      <c r="AX115" s="2579">
        <v>1.0465369683273245</v>
      </c>
      <c r="AY115" s="2579">
        <v>1.0167423215422047</v>
      </c>
      <c r="AZ115" s="2579">
        <v>0.98859720537494677</v>
      </c>
      <c r="BA115" s="2580">
        <v>0.96196832442208602</v>
      </c>
    </row>
    <row r="116" spans="2:53" ht="11.25" customHeight="1">
      <c r="M116" s="2731"/>
      <c r="N116" s="2732"/>
      <c r="O116" s="2638"/>
      <c r="AH116" s="261"/>
      <c r="AI116" s="5" t="s">
        <v>260</v>
      </c>
      <c r="AJ116" s="1092"/>
      <c r="AK116" s="1093"/>
      <c r="AL116" s="1093"/>
      <c r="AM116" s="1093"/>
      <c r="AN116" s="1093"/>
      <c r="AO116" s="1093"/>
      <c r="AP116" s="1093"/>
      <c r="AQ116" s="1093"/>
      <c r="AR116" s="1094">
        <f>AVERAGE(AN95:AN104)</f>
        <v>0</v>
      </c>
    </row>
    <row r="117" spans="2:53" ht="11.25" customHeight="1">
      <c r="M117" s="2732" t="s">
        <v>1898</v>
      </c>
      <c r="N117" s="2732"/>
      <c r="O117" s="2741">
        <v>3.1300000000000001E-2</v>
      </c>
      <c r="AH117" s="263"/>
      <c r="AI117" s="32" t="s">
        <v>265</v>
      </c>
      <c r="AJ117" s="66"/>
      <c r="AK117" s="5"/>
      <c r="AL117" s="5"/>
      <c r="AM117" s="5"/>
      <c r="AN117" s="5"/>
      <c r="AO117" s="65"/>
      <c r="AP117" s="5"/>
      <c r="AQ117" s="5"/>
      <c r="AR117" s="958" t="e">
        <f ca="1">((AQ115-'Sell-down'!J55)/AR116)*(12/O39)</f>
        <v>#DIV/0!</v>
      </c>
    </row>
    <row r="118" spans="2:53" ht="11.25" customHeight="1">
      <c r="M118" s="259" t="s">
        <v>1899</v>
      </c>
      <c r="O118" s="2740">
        <f>채권금리!J18/100</f>
        <v>4.061E-2</v>
      </c>
      <c r="AH118" s="261"/>
      <c r="AI118" s="5" t="s">
        <v>631</v>
      </c>
      <c r="AJ118" s="66"/>
      <c r="AK118" s="5"/>
      <c r="AL118" s="5"/>
      <c r="AM118" s="5"/>
      <c r="AN118" s="5"/>
      <c r="AO118" s="5"/>
      <c r="AP118" s="5"/>
      <c r="AQ118" s="5"/>
      <c r="AR118" s="958">
        <f ca="1">'Sell-down'!I56</f>
        <v>0</v>
      </c>
      <c r="AU118" s="259" t="s">
        <v>1695</v>
      </c>
    </row>
    <row r="119" spans="2:53" ht="11.25" customHeight="1">
      <c r="AH119" s="261"/>
      <c r="AI119" s="5" t="s">
        <v>267</v>
      </c>
      <c r="AJ119" s="66"/>
      <c r="AK119" s="5"/>
      <c r="AL119" s="5"/>
      <c r="AM119" s="5"/>
      <c r="AN119" s="5"/>
      <c r="AO119" s="5"/>
      <c r="AP119" s="5"/>
      <c r="AQ119" s="5"/>
      <c r="AR119" s="958">
        <f ca="1">'Sell-down'!I57</f>
        <v>0</v>
      </c>
    </row>
    <row r="120" spans="2:53" ht="13.5" customHeight="1" thickBot="1">
      <c r="AH120" s="872"/>
      <c r="AI120" s="138" t="s">
        <v>268</v>
      </c>
      <c r="AJ120" s="859"/>
      <c r="AK120" s="180"/>
      <c r="AL120" s="180"/>
      <c r="AM120" s="180"/>
      <c r="AN120" s="180"/>
      <c r="AO120" s="180"/>
      <c r="AP120" s="180"/>
      <c r="AQ120" s="180"/>
      <c r="AR120" s="1097" t="e">
        <f ca="1">(AQ115+AR116)/AR116</f>
        <v>#DIV/0!</v>
      </c>
      <c r="AU120" s="2575" t="s">
        <v>620</v>
      </c>
      <c r="AV120" s="2576"/>
      <c r="AW120" s="2776" t="s">
        <v>684</v>
      </c>
      <c r="AX120" s="2777"/>
      <c r="AY120" s="2777"/>
      <c r="AZ120" s="2777"/>
      <c r="BA120" s="2769"/>
    </row>
    <row r="121" spans="2:53" ht="11.25" customHeight="1" thickBot="1">
      <c r="AU121" s="2577"/>
      <c r="AV121" s="2578">
        <f>AN48</f>
        <v>1.6366367583310473</v>
      </c>
      <c r="AW121" s="2571">
        <v>5.1999999999999998E-2</v>
      </c>
      <c r="AX121" s="2571">
        <v>5.3999999999999999E-2</v>
      </c>
      <c r="AY121" s="2571">
        <v>5.6000000000000001E-2</v>
      </c>
      <c r="AZ121" s="2571">
        <v>5.8000000000000003E-2</v>
      </c>
      <c r="BA121" s="2572">
        <v>0.06</v>
      </c>
    </row>
    <row r="122" spans="2:53" ht="11.25" customHeight="1" thickBot="1">
      <c r="AU122" s="2778" t="s">
        <v>1240</v>
      </c>
      <c r="AV122" s="2573">
        <v>0.02</v>
      </c>
      <c r="AW122" s="2581">
        <v>1.4663784091254448</v>
      </c>
      <c r="AX122" s="2579">
        <v>1.4120680976763542</v>
      </c>
      <c r="AY122" s="2579">
        <v>1.361637094187913</v>
      </c>
      <c r="AZ122" s="2579">
        <v>1.3146840909400539</v>
      </c>
      <c r="BA122" s="2580">
        <v>1.2708612879087189</v>
      </c>
    </row>
    <row r="123" spans="2:53" ht="11.25" customHeight="1" thickBot="1">
      <c r="AU123" s="2768"/>
      <c r="AV123" s="2573">
        <v>0.04</v>
      </c>
      <c r="AW123" s="2579">
        <v>1.431325948821899</v>
      </c>
      <c r="AX123" s="2579">
        <v>1.3783138766433101</v>
      </c>
      <c r="AY123" s="2579">
        <v>1.329088381048906</v>
      </c>
      <c r="AZ123" s="2579">
        <v>1.2832577472196336</v>
      </c>
      <c r="BA123" s="2580">
        <v>1.2404824889789792</v>
      </c>
    </row>
    <row r="124" spans="2:53" ht="11.25" customHeight="1" thickBot="1">
      <c r="AU124" s="2768"/>
      <c r="AV124" s="2573">
        <v>0.06</v>
      </c>
      <c r="AW124" s="2579">
        <v>1.396273488518353</v>
      </c>
      <c r="AX124" s="2579">
        <v>1.3445596556102657</v>
      </c>
      <c r="AY124" s="2579">
        <v>1.2965396679098991</v>
      </c>
      <c r="AZ124" s="2579">
        <v>1.2518314034992128</v>
      </c>
      <c r="BA124" s="2580">
        <v>1.2101036900492392</v>
      </c>
    </row>
    <row r="125" spans="2:53" ht="11.25" customHeight="1" thickBot="1">
      <c r="AU125" s="2768"/>
      <c r="AV125" s="2573">
        <v>0.08</v>
      </c>
      <c r="AW125" s="2579">
        <v>1.3612210282148081</v>
      </c>
      <c r="AX125" s="2579">
        <v>1.3108054345772227</v>
      </c>
      <c r="AY125" s="2579">
        <v>1.2639909547708932</v>
      </c>
      <c r="AZ125" s="2579">
        <v>1.2204050597787934</v>
      </c>
      <c r="BA125" s="2580">
        <v>1.1797248911195004</v>
      </c>
    </row>
    <row r="126" spans="2:53" ht="11.25" customHeight="1" thickBot="1">
      <c r="AU126" s="2768"/>
      <c r="AV126" s="2573">
        <v>0.1</v>
      </c>
      <c r="AW126" s="2579">
        <v>1.3261685679112623</v>
      </c>
      <c r="AX126" s="2579">
        <v>1.2770512135441785</v>
      </c>
      <c r="AY126" s="2579">
        <v>1.2314422416318864</v>
      </c>
      <c r="AZ126" s="2579">
        <v>1.1889787160583731</v>
      </c>
      <c r="BA126" s="2580">
        <v>1.1493460921897607</v>
      </c>
    </row>
    <row r="127" spans="2:53" ht="11.25" customHeight="1" thickBot="1">
      <c r="AU127" s="2769"/>
      <c r="AV127" s="2574">
        <v>0.12</v>
      </c>
      <c r="AW127" s="2579">
        <v>1.2911161076077162</v>
      </c>
      <c r="AX127" s="2579">
        <v>1.2432969925111341</v>
      </c>
      <c r="AY127" s="2579">
        <v>1.1988935284928794</v>
      </c>
      <c r="AZ127" s="2579">
        <v>1.1575523723379526</v>
      </c>
      <c r="BA127" s="2580">
        <v>1.1189672932600208</v>
      </c>
    </row>
    <row r="130" spans="47:53" ht="11.25" customHeight="1">
      <c r="AU130" s="259" t="s">
        <v>1696</v>
      </c>
    </row>
    <row r="132" spans="47:53" ht="13.5" customHeight="1" thickBot="1">
      <c r="AU132" s="2575" t="s">
        <v>620</v>
      </c>
      <c r="AV132" s="2576"/>
      <c r="AW132" s="2776" t="s">
        <v>684</v>
      </c>
      <c r="AX132" s="2777"/>
      <c r="AY132" s="2777"/>
      <c r="AZ132" s="2777"/>
      <c r="BA132" s="2769"/>
    </row>
    <row r="133" spans="47:53" ht="11.25" customHeight="1" thickBot="1">
      <c r="AU133" s="2577"/>
      <c r="AV133" s="2578">
        <f>AN49</f>
        <v>1.260474277585605</v>
      </c>
      <c r="AW133" s="2571">
        <v>5.1999999999999998E-2</v>
      </c>
      <c r="AX133" s="2571">
        <v>5.3999999999999999E-2</v>
      </c>
      <c r="AY133" s="2571">
        <v>5.6000000000000001E-2</v>
      </c>
      <c r="AZ133" s="2571">
        <v>5.8000000000000003E-2</v>
      </c>
      <c r="BA133" s="2572">
        <v>0.06</v>
      </c>
    </row>
    <row r="134" spans="47:53" ht="11.25" customHeight="1" thickBot="1">
      <c r="AU134" s="2778" t="s">
        <v>1240</v>
      </c>
      <c r="AV134" s="2573">
        <v>0.02</v>
      </c>
      <c r="AW134" s="2581">
        <v>1.1509687135777076</v>
      </c>
      <c r="AX134" s="2579">
        <v>1.1172406926670055</v>
      </c>
      <c r="AY134" s="2579">
        <v>1.0854331284629626</v>
      </c>
      <c r="AZ134" s="2579">
        <v>1.0553865366716004</v>
      </c>
      <c r="BA134" s="2580">
        <v>1.026958616491894</v>
      </c>
    </row>
    <row r="135" spans="47:53" ht="11.25" customHeight="1" thickBot="1">
      <c r="AU135" s="2768"/>
      <c r="AV135" s="2573">
        <v>0.04</v>
      </c>
      <c r="AW135" s="2579">
        <v>1.1234558390753018</v>
      </c>
      <c r="AX135" s="2579">
        <v>1.0905340562452563</v>
      </c>
      <c r="AY135" s="2579">
        <v>1.0594868233272419</v>
      </c>
      <c r="AZ135" s="2579">
        <v>1.0301584683562457</v>
      </c>
      <c r="BA135" s="2580">
        <v>1.0024100921042256</v>
      </c>
    </row>
    <row r="136" spans="47:53" ht="11.25" customHeight="1" thickBot="1">
      <c r="AU136" s="2768"/>
      <c r="AV136" s="2573">
        <v>0.06</v>
      </c>
      <c r="AW136" s="2579">
        <v>1.0959429645728958</v>
      </c>
      <c r="AX136" s="2579">
        <v>1.0638274198235069</v>
      </c>
      <c r="AY136" s="2579">
        <v>1.0335405181915209</v>
      </c>
      <c r="AZ136" s="2579">
        <v>1.0049304000408907</v>
      </c>
      <c r="BA136" s="2580">
        <v>0.97786156771655686</v>
      </c>
    </row>
    <row r="137" spans="47:53" ht="11.25" customHeight="1" thickBot="1">
      <c r="AU137" s="2768"/>
      <c r="AV137" s="2573">
        <v>0.08</v>
      </c>
      <c r="AW137" s="2579">
        <v>1.0684300900704908</v>
      </c>
      <c r="AX137" s="2579">
        <v>1.0371207834017586</v>
      </c>
      <c r="AY137" s="2579">
        <v>1.0075942130558011</v>
      </c>
      <c r="AZ137" s="2579">
        <v>0.97970233172553667</v>
      </c>
      <c r="BA137" s="2580">
        <v>0.95331304332888922</v>
      </c>
    </row>
    <row r="138" spans="47:53" ht="11.25" customHeight="1" thickBot="1">
      <c r="AU138" s="2768"/>
      <c r="AV138" s="2573">
        <v>0.1</v>
      </c>
      <c r="AW138" s="2579">
        <v>1.0409172155680853</v>
      </c>
      <c r="AX138" s="2579">
        <v>1.0104141469800094</v>
      </c>
      <c r="AY138" s="2579">
        <v>0.98164790792008028</v>
      </c>
      <c r="AZ138" s="2579">
        <v>0.95447426341018193</v>
      </c>
      <c r="BA138" s="2580">
        <v>0.92876451894122081</v>
      </c>
    </row>
    <row r="139" spans="47:53" ht="11.25" customHeight="1" thickBot="1">
      <c r="AU139" s="2769"/>
      <c r="AV139" s="2574">
        <v>0.12</v>
      </c>
      <c r="AW139" s="2579">
        <v>1.0134043410656792</v>
      </c>
      <c r="AX139" s="2579">
        <v>0.98370751055826</v>
      </c>
      <c r="AY139" s="2579">
        <v>0.95570160278435934</v>
      </c>
      <c r="AZ139" s="2579">
        <v>0.92924619509482698</v>
      </c>
      <c r="BA139" s="2580">
        <v>0.90421599455355217</v>
      </c>
    </row>
  </sheetData>
  <mergeCells count="24">
    <mergeCell ref="AU134:AU139"/>
    <mergeCell ref="AU110:AU115"/>
    <mergeCell ref="AW120:BA120"/>
    <mergeCell ref="AU122:AU127"/>
    <mergeCell ref="AW132:BA132"/>
    <mergeCell ref="AW94:BA94"/>
    <mergeCell ref="AU96:AU101"/>
    <mergeCell ref="AW108:BA108"/>
    <mergeCell ref="AV79:AW79"/>
    <mergeCell ref="AV80:AW80"/>
    <mergeCell ref="AV81:AV85"/>
    <mergeCell ref="AV86:AV89"/>
    <mergeCell ref="AZ69:AZ70"/>
    <mergeCell ref="BA69:BA70"/>
    <mergeCell ref="BB69:BB70"/>
    <mergeCell ref="BC69:BC70"/>
    <mergeCell ref="AV78:AW78"/>
    <mergeCell ref="L6:L8"/>
    <mergeCell ref="L9:L10"/>
    <mergeCell ref="AV69:AV70"/>
    <mergeCell ref="AX69:AX70"/>
    <mergeCell ref="AY69:AY70"/>
    <mergeCell ref="AL63:AL64"/>
    <mergeCell ref="AM63:AS63"/>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count="2">
    <dataValidation type="list" allowBlank="1" showInputMessage="1" showErrorMessage="1" sqref="F102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A68" zoomScaleNormal="100" workbookViewId="0">
      <selection activeCell="J79" sqref="J79:N103"/>
    </sheetView>
  </sheetViews>
  <sheetFormatPr defaultColWidth="9" defaultRowHeight="11.25" customHeight="1"/>
  <cols>
    <col min="1" max="2" width="9" style="1189"/>
    <col min="3" max="7" width="11" style="1189" customWidth="1"/>
    <col min="8" max="13" width="10.5" style="1189" bestFit="1" customWidth="1"/>
    <col min="14" max="14" width="11.375" style="1189" bestFit="1" customWidth="1"/>
    <col min="15" max="16" width="9" style="1189"/>
    <col min="17" max="22" width="11" style="1189" customWidth="1"/>
    <col min="23" max="23" width="10.625" style="1189" bestFit="1" customWidth="1"/>
    <col min="24" max="24" width="9.875" style="1189" bestFit="1" customWidth="1"/>
    <col min="25" max="25" width="9" style="1189"/>
    <col min="26" max="29" width="14" style="1189" customWidth="1"/>
    <col min="30" max="16384" width="9" style="1189"/>
  </cols>
  <sheetData>
    <row r="1" spans="2:24" ht="11.25" customHeight="1">
      <c r="B1" s="1188" t="s">
        <v>668</v>
      </c>
    </row>
    <row r="2" spans="2:24" ht="11.25" customHeight="1" thickBot="1"/>
    <row r="3" spans="2:24" ht="16.5" customHeight="1">
      <c r="B3" s="1163" t="s">
        <v>620</v>
      </c>
      <c r="C3" s="1164">
        <f>'A&amp;R'!Y35</f>
        <v>1</v>
      </c>
      <c r="D3" s="1164">
        <f>'A&amp;R'!Z35</f>
        <v>2</v>
      </c>
      <c r="E3" s="1164">
        <f>'A&amp;R'!AA35</f>
        <v>3</v>
      </c>
      <c r="F3" s="1164">
        <f>'A&amp;R'!AB35</f>
        <v>4</v>
      </c>
      <c r="G3" s="1164">
        <f>'A&amp;R'!AC35</f>
        <v>5</v>
      </c>
      <c r="H3" s="1164">
        <f>'A&amp;R'!AD35</f>
        <v>6</v>
      </c>
      <c r="I3" s="1164">
        <f>'A&amp;R'!AE35</f>
        <v>7</v>
      </c>
      <c r="J3" s="1164">
        <f>'A&amp;R'!AF35</f>
        <v>8</v>
      </c>
      <c r="K3" s="1164">
        <f>'A&amp;R'!AG35</f>
        <v>9</v>
      </c>
      <c r="L3" s="1164">
        <f>'A&amp;R'!AH35</f>
        <v>10</v>
      </c>
      <c r="M3" s="1165" t="s">
        <v>655</v>
      </c>
      <c r="P3" s="1177" t="s">
        <v>620</v>
      </c>
      <c r="Q3" s="2795" t="s">
        <v>669</v>
      </c>
      <c r="R3" s="2775"/>
      <c r="S3" s="1179" t="s">
        <v>264</v>
      </c>
      <c r="U3" s="1177"/>
      <c r="V3" s="2795" t="s">
        <v>843</v>
      </c>
      <c r="W3" s="2775"/>
      <c r="X3" s="1179"/>
    </row>
    <row r="4" spans="2:24" ht="16.5" customHeight="1">
      <c r="B4" s="1155" t="s">
        <v>656</v>
      </c>
      <c r="C4" s="1166">
        <f>'A&amp;R'!Y36/1000</f>
        <v>15119.14196733125</v>
      </c>
      <c r="D4" s="1166">
        <f>'A&amp;R'!Z36/1000</f>
        <v>15464.992784514528</v>
      </c>
      <c r="E4" s="1166">
        <f>'A&amp;R'!AA36/1000</f>
        <v>15934.970745352444</v>
      </c>
      <c r="F4" s="1166">
        <f>'A&amp;R'!AB36/1000</f>
        <v>16617.888375131046</v>
      </c>
      <c r="G4" s="1166">
        <f>'A&amp;R'!AC36/1000</f>
        <v>17043.225625370524</v>
      </c>
      <c r="H4" s="1166">
        <f>'A&amp;R'!AD36/1000</f>
        <v>17469.306266004787</v>
      </c>
      <c r="I4" s="1166">
        <f>'A&amp;R'!AE36/1000</f>
        <v>17906.038922654905</v>
      </c>
      <c r="J4" s="1166">
        <f>'A&amp;R'!AF36/1000</f>
        <v>18132.751055113906</v>
      </c>
      <c r="K4" s="1166">
        <f>'A&amp;R'!AG36/1000</f>
        <v>18366.946594082259</v>
      </c>
      <c r="L4" s="1166">
        <f>'A&amp;R'!AH36/1000</f>
        <v>18827.592251614664</v>
      </c>
      <c r="M4" s="1167">
        <f>'A&amp;R'!AJ36/1000</f>
        <v>19418.111529104855</v>
      </c>
      <c r="P4" s="1185" t="s">
        <v>670</v>
      </c>
      <c r="Q4" s="2796" t="s">
        <v>671</v>
      </c>
      <c r="R4" s="2797"/>
      <c r="S4" s="1190"/>
      <c r="U4" s="1185" t="s">
        <v>844</v>
      </c>
      <c r="V4" s="1340"/>
      <c r="W4" s="1341">
        <f>J48</f>
        <v>50000</v>
      </c>
      <c r="X4" s="1190"/>
    </row>
    <row r="5" spans="2:24" ht="11.25" customHeight="1">
      <c r="B5" s="1155" t="s">
        <v>657</v>
      </c>
      <c r="C5" s="1166">
        <f>'A&amp;R'!Y37/1000</f>
        <v>-704.33985074999987</v>
      </c>
      <c r="D5" s="1166">
        <f>'A&amp;R'!Z37/1000</f>
        <v>-721.94834701875004</v>
      </c>
      <c r="E5" s="1166">
        <f>'A&amp;R'!AA37/1000</f>
        <v>-5526.0683946104436</v>
      </c>
      <c r="F5" s="1166">
        <f>'A&amp;R'!AB37/1000</f>
        <v>-111.29051629770116</v>
      </c>
      <c r="G5" s="1166">
        <f>'A&amp;R'!AC37/1000</f>
        <v>-114.07277920514368</v>
      </c>
      <c r="H5" s="1166">
        <f>'A&amp;R'!AD37/1000</f>
        <v>-116.92459868527227</v>
      </c>
      <c r="I5" s="1166">
        <f>'A&amp;R'!AE37/1000</f>
        <v>-119.84771365240405</v>
      </c>
      <c r="J5" s="1166">
        <f>'A&amp;R'!AF37/1000</f>
        <v>-122.84390649371414</v>
      </c>
      <c r="K5" s="1166">
        <f>'A&amp;R'!AG37/1000</f>
        <v>0</v>
      </c>
      <c r="L5" s="1166">
        <f>'A&amp;R'!AH37/1000</f>
        <v>0</v>
      </c>
      <c r="M5" s="1167">
        <f>'A&amp;R'!AJ37/1000</f>
        <v>0</v>
      </c>
      <c r="P5" s="1186" t="s">
        <v>620</v>
      </c>
      <c r="Q5" s="1191" t="s">
        <v>405</v>
      </c>
      <c r="R5" s="1191" t="s">
        <v>1</v>
      </c>
      <c r="S5" s="1192" t="s">
        <v>672</v>
      </c>
      <c r="U5" s="1186"/>
      <c r="V5" s="1191"/>
      <c r="W5" s="1191"/>
      <c r="X5" s="1192"/>
    </row>
    <row r="6" spans="2:24" ht="11.25" customHeight="1">
      <c r="B6" s="1155" t="s">
        <v>658</v>
      </c>
      <c r="C6" s="1166">
        <f>'A&amp;R'!Y38/1000</f>
        <v>779.35488779109392</v>
      </c>
      <c r="D6" s="1166">
        <f>'A&amp;R'!Z38/1000</f>
        <v>796.87175598587089</v>
      </c>
      <c r="E6" s="1166">
        <f>'A&amp;R'!AA38/1000</f>
        <v>814.8265458855177</v>
      </c>
      <c r="F6" s="1166">
        <f>'A&amp;R'!AB38/1000</f>
        <v>833.23020553265587</v>
      </c>
      <c r="G6" s="1166">
        <f>'A&amp;R'!AC38/1000</f>
        <v>852.09395667097203</v>
      </c>
      <c r="H6" s="1166">
        <f>'A&amp;R'!AD38/1000</f>
        <v>871.42930158774618</v>
      </c>
      <c r="I6" s="1166">
        <f>'A&amp;R'!AE38/1000</f>
        <v>891.24803012743985</v>
      </c>
      <c r="J6" s="1166">
        <f>'A&amp;R'!AF38/1000</f>
        <v>911.55111424284325</v>
      </c>
      <c r="K6" s="1166">
        <f>'A&amp;R'!AG38/1000</f>
        <v>932.35827674830807</v>
      </c>
      <c r="L6" s="1166">
        <f>'A&amp;R'!AH38/1000</f>
        <v>953.70022966701572</v>
      </c>
      <c r="M6" s="1167">
        <f>'A&amp;R'!AJ38/1000</f>
        <v>982.07390138546793</v>
      </c>
      <c r="P6" s="1185" t="s">
        <v>673</v>
      </c>
      <c r="Q6" s="1227">
        <f>'A&amp;R'!D35</f>
        <v>46326</v>
      </c>
      <c r="R6" s="1227">
        <f>'A&amp;R'!E35</f>
        <v>46326</v>
      </c>
      <c r="S6" s="1198">
        <f>'A&amp;R'!F35</f>
        <v>0</v>
      </c>
      <c r="U6" s="1185" t="s">
        <v>845</v>
      </c>
      <c r="V6" s="1342">
        <v>0.5</v>
      </c>
      <c r="W6" s="1166">
        <f>W4*V6</f>
        <v>25000</v>
      </c>
      <c r="X6" s="1198"/>
    </row>
    <row r="7" spans="2:24" ht="11.25" customHeight="1">
      <c r="B7" s="1155" t="s">
        <v>187</v>
      </c>
      <c r="C7" s="1166">
        <f>'A&amp;R'!Y39/1000</f>
        <v>142.943214904</v>
      </c>
      <c r="D7" s="1166">
        <f>'A&amp;R'!Z39/1000</f>
        <v>142.943214904</v>
      </c>
      <c r="E7" s="1166">
        <f>'A&amp;R'!AA39/1000</f>
        <v>142.943214904</v>
      </c>
      <c r="F7" s="1166">
        <f>'A&amp;R'!AB39/1000</f>
        <v>142.943214904</v>
      </c>
      <c r="G7" s="1166">
        <f>'A&amp;R'!AC39/1000</f>
        <v>142.943214904</v>
      </c>
      <c r="H7" s="1166">
        <f>'A&amp;R'!AD39/1000</f>
        <v>142.943214904</v>
      </c>
      <c r="I7" s="1166">
        <f>'A&amp;R'!AE39/1000</f>
        <v>142.943214904</v>
      </c>
      <c r="J7" s="1166">
        <f>'A&amp;R'!AF39/1000</f>
        <v>142.943214904</v>
      </c>
      <c r="K7" s="1166">
        <f>'A&amp;R'!AG39/1000</f>
        <v>142.943214904</v>
      </c>
      <c r="L7" s="1166">
        <f>'A&amp;R'!AH39/1000</f>
        <v>142.943214904</v>
      </c>
      <c r="M7" s="1167">
        <f>'A&amp;R'!AJ39/1000</f>
        <v>142.943214904</v>
      </c>
      <c r="P7" s="1185" t="s">
        <v>674</v>
      </c>
      <c r="Q7" s="1227">
        <f>'A&amp;R'!D37</f>
        <v>46326</v>
      </c>
      <c r="R7" s="1227">
        <f>'A&amp;R'!E37</f>
        <v>49979</v>
      </c>
      <c r="S7" s="1198">
        <f>'A&amp;R'!F37</f>
        <v>120</v>
      </c>
      <c r="U7" s="1185" t="s">
        <v>846</v>
      </c>
      <c r="V7" s="1345" t="str">
        <f t="shared" ref="V7:W9" si="0">I49</f>
        <v>CoC_C.G제외</v>
      </c>
      <c r="W7" s="1343">
        <f t="shared" ca="1" si="0"/>
        <v>7.5000000000000011E-2</v>
      </c>
      <c r="X7" s="1198"/>
    </row>
    <row r="8" spans="2:24" ht="11.25" customHeight="1">
      <c r="B8" s="1156" t="s">
        <v>222</v>
      </c>
      <c r="C8" s="1168">
        <f>SUM(C4:C7)</f>
        <v>15337.100219276344</v>
      </c>
      <c r="D8" s="1168">
        <f t="shared" ref="D8:M8" si="1">SUM(D4:D7)</f>
        <v>15682.85940838565</v>
      </c>
      <c r="E8" s="1168">
        <f t="shared" si="1"/>
        <v>11366.672111531519</v>
      </c>
      <c r="F8" s="1168">
        <f t="shared" si="1"/>
        <v>17482.77127927</v>
      </c>
      <c r="G8" s="1168">
        <f t="shared" si="1"/>
        <v>17924.190017740351</v>
      </c>
      <c r="H8" s="1168">
        <f t="shared" si="1"/>
        <v>18366.754183811259</v>
      </c>
      <c r="I8" s="1168">
        <f t="shared" si="1"/>
        <v>18820.382454033941</v>
      </c>
      <c r="J8" s="1168">
        <f t="shared" si="1"/>
        <v>19064.401477767035</v>
      </c>
      <c r="K8" s="1168">
        <f t="shared" si="1"/>
        <v>19442.248085734569</v>
      </c>
      <c r="L8" s="1168">
        <f t="shared" si="1"/>
        <v>19924.235696185679</v>
      </c>
      <c r="M8" s="1169">
        <f t="shared" si="1"/>
        <v>20543.128645394325</v>
      </c>
      <c r="P8" s="1185" t="s">
        <v>675</v>
      </c>
      <c r="Q8" s="1228">
        <f>'A&amp;R'!D38</f>
        <v>49979</v>
      </c>
      <c r="R8" s="1228">
        <f>'A&amp;R'!E38</f>
        <v>49979</v>
      </c>
      <c r="S8" s="1199">
        <f>'A&amp;R'!F38</f>
        <v>0</v>
      </c>
      <c r="U8" s="1185"/>
      <c r="V8" s="1346" t="str">
        <f t="shared" si="0"/>
        <v>IRR_C.G포함</v>
      </c>
      <c r="W8" s="1344">
        <f t="shared" ca="1" si="0"/>
        <v>9.2431551034658277E-2</v>
      </c>
      <c r="X8" s="1199"/>
    </row>
    <row r="9" spans="2:24" ht="11.25" customHeight="1" thickBot="1">
      <c r="B9" s="1155" t="s">
        <v>73</v>
      </c>
      <c r="C9" s="1166">
        <f>'A&amp;R'!Y42/1000</f>
        <v>60</v>
      </c>
      <c r="D9" s="1166">
        <f>'A&amp;R'!Z42/1000</f>
        <v>60.899999999999991</v>
      </c>
      <c r="E9" s="1166">
        <f>'A&amp;R'!AA42/1000</f>
        <v>61.813499999999991</v>
      </c>
      <c r="F9" s="1166">
        <f>'A&amp;R'!AB42/1000</f>
        <v>62.74070249999999</v>
      </c>
      <c r="G9" s="1166">
        <f>'A&amp;R'!AC42/1000</f>
        <v>63.681813037499964</v>
      </c>
      <c r="H9" s="1166">
        <f>'A&amp;R'!AD42/1000</f>
        <v>64.63704023306245</v>
      </c>
      <c r="I9" s="1166">
        <f>'A&amp;R'!AE42/1000</f>
        <v>65.60659583655837</v>
      </c>
      <c r="J9" s="1166">
        <f>'A&amp;R'!AF42/1000</f>
        <v>66.590694774106751</v>
      </c>
      <c r="K9" s="1166">
        <f>'A&amp;R'!AG42/1000</f>
        <v>67.589555195718347</v>
      </c>
      <c r="L9" s="1166">
        <f>'A&amp;R'!AH42/1000</f>
        <v>68.603398523654121</v>
      </c>
      <c r="M9" s="1167">
        <f>'A&amp;R'!AJ42/1000</f>
        <v>69.632449501508887</v>
      </c>
      <c r="P9" s="1187" t="s">
        <v>676</v>
      </c>
      <c r="Q9" s="1229">
        <f>'A&amp;R'!D39</f>
        <v>46326</v>
      </c>
      <c r="R9" s="1229">
        <f>'A&amp;R'!E39</f>
        <v>49979</v>
      </c>
      <c r="S9" s="1200">
        <f>'A&amp;R'!F39</f>
        <v>120</v>
      </c>
      <c r="U9" s="1187"/>
      <c r="V9" s="1229" t="str">
        <f t="shared" si="0"/>
        <v>E.Multiple</v>
      </c>
      <c r="W9" s="1347">
        <f t="shared" ca="1" si="0"/>
        <v>1.992302139097764</v>
      </c>
      <c r="X9" s="1200"/>
    </row>
    <row r="10" spans="2:24" ht="11.25" customHeight="1">
      <c r="B10" s="1155" t="s">
        <v>75</v>
      </c>
      <c r="C10" s="1166">
        <f>'A&amp;R'!Y43/1000</f>
        <v>637.00073600459996</v>
      </c>
      <c r="D10" s="1166">
        <f>'A&amp;R'!Z43/1000</f>
        <v>649.74075072469191</v>
      </c>
      <c r="E10" s="1166">
        <f>'A&amp;R'!AA43/1000</f>
        <v>662.73556573918586</v>
      </c>
      <c r="F10" s="1166">
        <f>'A&amp;R'!AB43/1000</f>
        <v>675.99027705396941</v>
      </c>
      <c r="G10" s="1166">
        <f>'A&amp;R'!AC43/1000</f>
        <v>689.51008259504863</v>
      </c>
      <c r="H10" s="1166">
        <f>'A&amp;R'!AD43/1000</f>
        <v>703.30028424694979</v>
      </c>
      <c r="I10" s="1166">
        <f>'A&amp;R'!AE43/1000</f>
        <v>717.36628993188879</v>
      </c>
      <c r="J10" s="1166">
        <f>'A&amp;R'!AF43/1000</f>
        <v>731.71361573052673</v>
      </c>
      <c r="K10" s="1166">
        <f>'A&amp;R'!AG43/1000</f>
        <v>746.34788804513721</v>
      </c>
      <c r="L10" s="1166">
        <f>'A&amp;R'!AH43/1000</f>
        <v>761.27484580603982</v>
      </c>
      <c r="M10" s="1167">
        <f>'A&amp;R'!AJ43/1000</f>
        <v>776.50034272216067</v>
      </c>
    </row>
    <row r="11" spans="2:24" ht="11.25" customHeight="1">
      <c r="B11" s="1155" t="s">
        <v>78</v>
      </c>
      <c r="C11" s="1166">
        <f>'A&amp;R'!Y44/1000</f>
        <v>31.191548553000004</v>
      </c>
      <c r="D11" s="1166">
        <f>'A&amp;R'!Z44/1000</f>
        <v>31.815379524059992</v>
      </c>
      <c r="E11" s="1166">
        <f>'A&amp;R'!AA44/1000</f>
        <v>32.451687114541201</v>
      </c>
      <c r="F11" s="1166">
        <f>'A&amp;R'!AB44/1000</f>
        <v>33.100720856832019</v>
      </c>
      <c r="G11" s="1166">
        <f>'A&amp;R'!AC44/1000</f>
        <v>33.762735273968651</v>
      </c>
      <c r="H11" s="1166">
        <f>'A&amp;R'!AD44/1000</f>
        <v>34.437989979448041</v>
      </c>
      <c r="I11" s="1166">
        <f>'A&amp;R'!AE44/1000</f>
        <v>35.126749779036992</v>
      </c>
      <c r="J11" s="1166">
        <f>'A&amp;R'!AF44/1000</f>
        <v>35.829284774617733</v>
      </c>
      <c r="K11" s="1166">
        <f>'A&amp;R'!AG44/1000</f>
        <v>36.545870470110088</v>
      </c>
      <c r="L11" s="1166">
        <f>'A&amp;R'!AH44/1000</f>
        <v>37.276787879512291</v>
      </c>
      <c r="M11" s="1167">
        <f>'A&amp;R'!AJ44/1000</f>
        <v>38.022323637102552</v>
      </c>
    </row>
    <row r="12" spans="2:24" ht="11.25" customHeight="1">
      <c r="B12" s="1155" t="s">
        <v>80</v>
      </c>
      <c r="C12" s="1166">
        <f>'A&amp;R'!Y45/1000</f>
        <v>0</v>
      </c>
      <c r="D12" s="1166">
        <f>'A&amp;R'!Z45/1000</f>
        <v>0</v>
      </c>
      <c r="E12" s="1166">
        <f>'A&amp;R'!AA45/1000</f>
        <v>0</v>
      </c>
      <c r="F12" s="1166">
        <f>'A&amp;R'!AB45/1000</f>
        <v>0</v>
      </c>
      <c r="G12" s="1166">
        <f>'A&amp;R'!AC45/1000</f>
        <v>0</v>
      </c>
      <c r="H12" s="1166">
        <f>'A&amp;R'!AD45/1000</f>
        <v>0</v>
      </c>
      <c r="I12" s="1166">
        <f>'A&amp;R'!AE45/1000</f>
        <v>0</v>
      </c>
      <c r="J12" s="1166">
        <f>'A&amp;R'!AF45/1000</f>
        <v>0</v>
      </c>
      <c r="K12" s="1166">
        <f>'A&amp;R'!AG45/1000</f>
        <v>0</v>
      </c>
      <c r="L12" s="1166">
        <f>'A&amp;R'!AH45/1000</f>
        <v>0</v>
      </c>
      <c r="M12" s="1167">
        <f>'A&amp;R'!AJ45/1000</f>
        <v>0</v>
      </c>
    </row>
    <row r="13" spans="2:24" ht="11.25" customHeight="1" thickBot="1">
      <c r="B13" s="1155" t="s">
        <v>83</v>
      </c>
      <c r="C13" s="1166">
        <f>'A&amp;R'!Y46/1000</f>
        <v>742.28470000000004</v>
      </c>
      <c r="D13" s="1166">
        <f>'A&amp;R'!Z46/1000</f>
        <v>727.43900600000018</v>
      </c>
      <c r="E13" s="1166">
        <f>'A&amp;R'!AA46/1000</f>
        <v>712.89022587999989</v>
      </c>
      <c r="F13" s="1166">
        <f>'A&amp;R'!AB46/1000</f>
        <v>698.63242136240001</v>
      </c>
      <c r="G13" s="1166">
        <f>'A&amp;R'!AC46/1000</f>
        <v>684.65977293515209</v>
      </c>
      <c r="H13" s="1166">
        <f>'A&amp;R'!AD46/1000</f>
        <v>670.96657747644883</v>
      </c>
      <c r="I13" s="1166">
        <f>'A&amp;R'!AE46/1000</f>
        <v>657.54724592692003</v>
      </c>
      <c r="J13" s="1166">
        <f>'A&amp;R'!AF46/1000</f>
        <v>644.39630100838178</v>
      </c>
      <c r="K13" s="1166">
        <f>'A&amp;R'!AG46/1000</f>
        <v>631.50837498821386</v>
      </c>
      <c r="L13" s="1166">
        <f>'A&amp;R'!AH46/1000</f>
        <v>618.87820748844968</v>
      </c>
      <c r="M13" s="1167">
        <f>'A&amp;R'!AJ46/1000</f>
        <v>606.50064333868056</v>
      </c>
    </row>
    <row r="14" spans="2:24" ht="11.25" customHeight="1">
      <c r="B14" s="1155" t="s">
        <v>659</v>
      </c>
      <c r="C14" s="1166">
        <f>SUM('A&amp;R'!Y47:Y51)/1000</f>
        <v>750.38488297219999</v>
      </c>
      <c r="D14" s="1166">
        <f>SUM('A&amp;R'!Z47:Z51)/1000</f>
        <v>751.17788627219977</v>
      </c>
      <c r="E14" s="1166">
        <f>SUM('A&amp;R'!AA47:AA51)/1000</f>
        <v>752.19370160369999</v>
      </c>
      <c r="F14" s="1166">
        <f>SUM('A&amp;R'!AB47:AB51)/1000</f>
        <v>753.43368092784738</v>
      </c>
      <c r="G14" s="1166">
        <f>SUM('A&amp;R'!AC47:AC51)/1000</f>
        <v>754.89924980920523</v>
      </c>
      <c r="H14" s="1166">
        <f>SUM('A&amp;R'!AD47:AD51)/1000</f>
        <v>756.59190818935645</v>
      </c>
      <c r="I14" s="1166">
        <f>SUM('A&amp;R'!AE47:AE51)/1000</f>
        <v>758.51323118645951</v>
      </c>
      <c r="J14" s="1166">
        <f>SUM('A&amp;R'!AF47:AF51)/1000</f>
        <v>760.664869921113</v>
      </c>
      <c r="K14" s="1166">
        <f>SUM('A&amp;R'!AG47:AG51)/1000</f>
        <v>763.04855236890432</v>
      </c>
      <c r="L14" s="1166">
        <f>SUM('A&amp;R'!AH47:AH51)/1000</f>
        <v>765.66608424001925</v>
      </c>
      <c r="M14" s="1167">
        <f>SUM('A&amp;R'!AJ47:AJ51)/1000</f>
        <v>768.51934988630876</v>
      </c>
      <c r="P14" s="1177" t="s">
        <v>620</v>
      </c>
      <c r="Q14" s="1178" t="s">
        <v>677</v>
      </c>
      <c r="R14" s="1178" t="s">
        <v>678</v>
      </c>
      <c r="S14" s="1178" t="s">
        <v>236</v>
      </c>
      <c r="T14" s="1179" t="s">
        <v>264</v>
      </c>
    </row>
    <row r="15" spans="2:24" ht="11.25" customHeight="1">
      <c r="B15" s="1155" t="s">
        <v>840</v>
      </c>
      <c r="C15" s="1166">
        <f>SUM('A&amp;R'!Y52)/1000</f>
        <v>10.87337</v>
      </c>
      <c r="D15" s="1166">
        <f>SUM('A&amp;R'!Z52)/1000</f>
        <v>0</v>
      </c>
      <c r="E15" s="1166">
        <f>SUM('A&amp;R'!AA52)/1000</f>
        <v>68.398392522169118</v>
      </c>
      <c r="F15" s="1166">
        <f>SUM('A&amp;R'!AB52)/1000</f>
        <v>43.755497312074368</v>
      </c>
      <c r="G15" s="1166">
        <f>SUM('A&amp;R'!AC52)/1000</f>
        <v>0</v>
      </c>
      <c r="H15" s="1166">
        <f>SUM('A&amp;R'!AD52)/1000</f>
        <v>0</v>
      </c>
      <c r="I15" s="1166">
        <f>SUM('A&amp;R'!AE52)/1000</f>
        <v>0</v>
      </c>
      <c r="J15" s="1166">
        <f>SUM('A&amp;R'!AF52)/1000</f>
        <v>677.53827343214505</v>
      </c>
      <c r="K15" s="1166">
        <f>SUM('A&amp;R'!AG52)/1000</f>
        <v>91.722329183405492</v>
      </c>
      <c r="L15" s="1166">
        <f>SUM('A&amp;R'!AH52)/1000</f>
        <v>0</v>
      </c>
      <c r="M15" s="1167">
        <f>'A&amp;R'!AJ52/1000</f>
        <v>0</v>
      </c>
      <c r="P15" s="1185" t="s">
        <v>270</v>
      </c>
      <c r="Q15" s="1201">
        <f>'A&amp;R'!AA23</f>
        <v>57604.4335397471</v>
      </c>
      <c r="R15" s="1212">
        <f>'A&amp;R'!AC23/1000000</f>
        <v>1203.3612250000001</v>
      </c>
      <c r="S15" s="1206">
        <f>'A&amp;R'!AF7</f>
        <v>2.5000000000000001E-2</v>
      </c>
      <c r="T15" s="1196"/>
    </row>
    <row r="16" spans="2:24" ht="11.25" customHeight="1">
      <c r="B16" s="1156" t="s">
        <v>223</v>
      </c>
      <c r="C16" s="1168">
        <f>SUM(C9:C15)</f>
        <v>2231.7352375297996</v>
      </c>
      <c r="D16" s="1168">
        <f t="shared" ref="D16:M16" si="2">SUM(D9:D15)</f>
        <v>2221.0730225209518</v>
      </c>
      <c r="E16" s="1168">
        <f t="shared" si="2"/>
        <v>2290.4830728595962</v>
      </c>
      <c r="F16" s="1168">
        <f t="shared" si="2"/>
        <v>2267.6533000131235</v>
      </c>
      <c r="G16" s="1168">
        <f t="shared" si="2"/>
        <v>2226.5136536508744</v>
      </c>
      <c r="H16" s="1168">
        <f t="shared" si="2"/>
        <v>2229.9338001252654</v>
      </c>
      <c r="I16" s="1168">
        <f t="shared" si="2"/>
        <v>2234.1601126608639</v>
      </c>
      <c r="J16" s="1168">
        <f t="shared" si="2"/>
        <v>2916.7330396408911</v>
      </c>
      <c r="K16" s="1168">
        <f t="shared" si="2"/>
        <v>2336.7625702514897</v>
      </c>
      <c r="L16" s="1168">
        <f t="shared" si="2"/>
        <v>2251.6993239376752</v>
      </c>
      <c r="M16" s="1169">
        <f t="shared" si="2"/>
        <v>2259.1751090857615</v>
      </c>
      <c r="P16" s="1185" t="s">
        <v>657</v>
      </c>
      <c r="Q16" s="1204">
        <f>'A&amp;R'!AG23</f>
        <v>0.45731391007917005</v>
      </c>
      <c r="R16" s="1213">
        <f>AVERAGE('A&amp;R'!Y37:AH37)/12000</f>
        <v>-62.811134222611898</v>
      </c>
      <c r="S16" s="1206">
        <v>0</v>
      </c>
      <c r="T16" s="1196"/>
    </row>
    <row r="17" spans="2:20" ht="11.25" customHeight="1">
      <c r="B17" s="1156" t="s">
        <v>660</v>
      </c>
      <c r="C17" s="1168">
        <f t="shared" ref="C17:M17" si="3">C8-C16</f>
        <v>13105.364981746545</v>
      </c>
      <c r="D17" s="1168">
        <f t="shared" si="3"/>
        <v>13461.786385864698</v>
      </c>
      <c r="E17" s="1168">
        <f t="shared" si="3"/>
        <v>9076.1890386719242</v>
      </c>
      <c r="F17" s="1168">
        <f t="shared" si="3"/>
        <v>15215.117979256876</v>
      </c>
      <c r="G17" s="1168">
        <f t="shared" si="3"/>
        <v>15697.676364089477</v>
      </c>
      <c r="H17" s="1168">
        <f t="shared" si="3"/>
        <v>16136.820383685994</v>
      </c>
      <c r="I17" s="1168">
        <f t="shared" si="3"/>
        <v>16586.222341373075</v>
      </c>
      <c r="J17" s="1168">
        <f t="shared" si="3"/>
        <v>16147.668438126144</v>
      </c>
      <c r="K17" s="1168">
        <f t="shared" si="3"/>
        <v>17105.48551548308</v>
      </c>
      <c r="L17" s="1168">
        <f t="shared" si="3"/>
        <v>17672.536372248003</v>
      </c>
      <c r="M17" s="1169">
        <f t="shared" si="3"/>
        <v>18283.953536308563</v>
      </c>
      <c r="P17" s="1208" t="s">
        <v>187</v>
      </c>
      <c r="Q17" s="1209">
        <f>'A&amp;R'!AD23/'A&amp;R'!Y23</f>
        <v>2972.067603379212</v>
      </c>
      <c r="R17" s="1214">
        <f>'A&amp;R'!AD23/1000000</f>
        <v>62.086730000000003</v>
      </c>
      <c r="S17" s="1210">
        <v>2.5000000000000001E-2</v>
      </c>
      <c r="T17" s="1211"/>
    </row>
    <row r="18" spans="2:20" ht="11.25" customHeight="1">
      <c r="B18" s="1156" t="s">
        <v>661</v>
      </c>
      <c r="C18" s="1158"/>
      <c r="D18" s="1159"/>
      <c r="E18" s="1168"/>
      <c r="F18" s="1168"/>
      <c r="G18" s="1168"/>
      <c r="H18" s="1168"/>
      <c r="I18" s="1168"/>
      <c r="J18" s="1159"/>
      <c r="K18" s="1159"/>
      <c r="L18" s="1168"/>
      <c r="M18" s="1170">
        <f>'A&amp;R'!AJ55</f>
        <v>4.8918868912827713E-2</v>
      </c>
    </row>
    <row r="19" spans="2:20" ht="11.25" customHeight="1">
      <c r="B19" s="1160" t="s">
        <v>205</v>
      </c>
      <c r="C19" s="1161"/>
      <c r="D19" s="1162"/>
      <c r="E19" s="1171"/>
      <c r="F19" s="1171"/>
      <c r="G19" s="1171"/>
      <c r="H19" s="1171"/>
      <c r="I19" s="1171"/>
      <c r="J19" s="1162"/>
      <c r="K19" s="1162"/>
      <c r="L19" s="1171"/>
      <c r="M19" s="1172">
        <f>'A&amp;R'!P31/1000</f>
        <v>2100</v>
      </c>
    </row>
    <row r="20" spans="2:20" ht="11.25" customHeight="1" thickBot="1">
      <c r="B20" s="1157" t="s">
        <v>662</v>
      </c>
      <c r="C20" s="1173"/>
      <c r="D20" s="1173"/>
      <c r="E20" s="1173"/>
      <c r="F20" s="1173"/>
      <c r="G20" s="1173"/>
      <c r="H20" s="1173"/>
      <c r="I20" s="1173"/>
      <c r="J20" s="1173"/>
      <c r="K20" s="1173"/>
      <c r="L20" s="1173"/>
      <c r="M20" s="1174">
        <f>M17/M18+M19</f>
        <v>375860.75822378771</v>
      </c>
    </row>
    <row r="22" spans="2:20" ht="11.25" customHeight="1" thickBot="1"/>
    <row r="23" spans="2:20" ht="11.25" customHeight="1">
      <c r="B23" s="1188" t="s">
        <v>1082</v>
      </c>
      <c r="I23" s="1188" t="s">
        <v>19</v>
      </c>
      <c r="P23" s="1177" t="s">
        <v>620</v>
      </c>
      <c r="Q23" s="1178" t="s">
        <v>677</v>
      </c>
      <c r="R23" s="1178" t="s">
        <v>678</v>
      </c>
      <c r="S23" s="1178" t="s">
        <v>236</v>
      </c>
      <c r="T23" s="1179" t="s">
        <v>264</v>
      </c>
    </row>
    <row r="24" spans="2:20" ht="11.25" customHeight="1" thickBot="1">
      <c r="P24" s="1185" t="s">
        <v>73</v>
      </c>
      <c r="Q24" s="1224">
        <f>'A&amp;R'!N68</f>
        <v>173.12381880702196</v>
      </c>
      <c r="R24" s="1213">
        <f>'A&amp;R'!O68/1000</f>
        <v>5</v>
      </c>
      <c r="S24" s="1206">
        <f>'A&amp;R'!Q68</f>
        <v>1.4999999999999999E-2</v>
      </c>
      <c r="T24" s="1196"/>
    </row>
    <row r="25" spans="2:20" ht="11.25" customHeight="1">
      <c r="B25" s="1177" t="s">
        <v>620</v>
      </c>
      <c r="C25" s="1178" t="s">
        <v>259</v>
      </c>
      <c r="D25" s="1178" t="s">
        <v>261</v>
      </c>
      <c r="E25" s="1178" t="s">
        <v>667</v>
      </c>
      <c r="F25" s="1178" t="s">
        <v>59</v>
      </c>
      <c r="G25" s="1179" t="s">
        <v>263</v>
      </c>
      <c r="I25" s="1177" t="s">
        <v>620</v>
      </c>
      <c r="J25" s="1178" t="s">
        <v>259</v>
      </c>
      <c r="K25" s="1178" t="s">
        <v>261</v>
      </c>
      <c r="L25" s="1178" t="s">
        <v>667</v>
      </c>
      <c r="M25" s="1178" t="s">
        <v>59</v>
      </c>
      <c r="N25" s="1179" t="s">
        <v>263</v>
      </c>
      <c r="P25" s="1185" t="s">
        <v>75</v>
      </c>
      <c r="Q25" s="1224">
        <f>'A&amp;R'!N69</f>
        <v>1838</v>
      </c>
      <c r="R25" s="1213">
        <f>'A&amp;R'!O69/1000</f>
        <v>53.083394667049994</v>
      </c>
      <c r="S25" s="1206">
        <f>'A&amp;R'!Q69</f>
        <v>0.02</v>
      </c>
      <c r="T25" s="1196"/>
    </row>
    <row r="26" spans="2:20" ht="11.25" customHeight="1">
      <c r="B26" s="1183">
        <f>'A&amp;R'!C42</f>
        <v>0</v>
      </c>
      <c r="C26" s="1166">
        <f>'A&amp;R'!D42/1000</f>
        <v>0</v>
      </c>
      <c r="D26" s="1181">
        <f ca="1">'A&amp;R'!E42/1000</f>
        <v>0</v>
      </c>
      <c r="E26" s="1181">
        <f>'A&amp;R'!F42/1000</f>
        <v>0</v>
      </c>
      <c r="F26" s="1166">
        <f ca="1">SUM(D26:E26)</f>
        <v>0</v>
      </c>
      <c r="G26" s="1682">
        <f>'A&amp;R'!G42</f>
        <v>0</v>
      </c>
      <c r="I26" s="1183">
        <f>'A&amp;R'!C42</f>
        <v>0</v>
      </c>
      <c r="J26" s="1166">
        <f>'A&amp;R'!H42/1000</f>
        <v>0</v>
      </c>
      <c r="K26" s="1181">
        <f ca="1">'A&amp;R'!I42/1000</f>
        <v>0</v>
      </c>
      <c r="L26" s="1181">
        <f>'A&amp;R'!J42/1000</f>
        <v>0</v>
      </c>
      <c r="M26" s="1166">
        <f ca="1">SUM(K26:L26)</f>
        <v>0</v>
      </c>
      <c r="N26" s="1682">
        <f>'A&amp;R'!K42</f>
        <v>0</v>
      </c>
      <c r="P26" s="1185" t="s">
        <v>78</v>
      </c>
      <c r="Q26" s="1224">
        <f>'A&amp;R'!N70</f>
        <v>90</v>
      </c>
      <c r="R26" s="1213">
        <f>'A&amp;R'!O70/1000</f>
        <v>2.59929571275</v>
      </c>
      <c r="S26" s="1206">
        <f>'A&amp;R'!Q70</f>
        <v>0.02</v>
      </c>
      <c r="T26" s="1196"/>
    </row>
    <row r="27" spans="2:20" ht="11.25" customHeight="1">
      <c r="B27" s="1183">
        <f>'A&amp;R'!C43</f>
        <v>1</v>
      </c>
      <c r="C27" s="1166">
        <f>'A&amp;R'!D43/1000</f>
        <v>24000</v>
      </c>
      <c r="D27" s="1181">
        <f ca="1">'A&amp;R'!E43/1000</f>
        <v>840.00000000000011</v>
      </c>
      <c r="E27" s="1181">
        <f>'A&amp;R'!F43/1000</f>
        <v>0</v>
      </c>
      <c r="F27" s="1166">
        <f t="shared" ref="F27:F46" ca="1" si="4">SUM(D27:E27)</f>
        <v>840.00000000000011</v>
      </c>
      <c r="G27" s="1682">
        <f ca="1">'A&amp;R'!G43</f>
        <v>7.0000000000000007E-2</v>
      </c>
      <c r="I27" s="1183">
        <f>'A&amp;R'!C43</f>
        <v>1</v>
      </c>
      <c r="J27" s="1166">
        <f>'A&amp;R'!H43/1000</f>
        <v>50000</v>
      </c>
      <c r="K27" s="1181">
        <f ca="1">'A&amp;R'!I43/1000</f>
        <v>1875</v>
      </c>
      <c r="L27" s="1181">
        <f>'A&amp;R'!J43/1000</f>
        <v>0</v>
      </c>
      <c r="M27" s="1166">
        <f t="shared" ref="M27:M46" ca="1" si="5">SUM(K27:L27)</f>
        <v>1875</v>
      </c>
      <c r="N27" s="1682">
        <f ca="1">'A&amp;R'!K43</f>
        <v>7.4999999999999997E-2</v>
      </c>
      <c r="P27" s="1185" t="s">
        <v>80</v>
      </c>
      <c r="Q27" s="1224">
        <f>'A&amp;R'!N71</f>
        <v>0</v>
      </c>
      <c r="R27" s="1213">
        <f>'A&amp;R'!O71/1000</f>
        <v>0</v>
      </c>
      <c r="S27" s="1206">
        <f>'A&amp;R'!Q71</f>
        <v>0.02</v>
      </c>
      <c r="T27" s="1196"/>
    </row>
    <row r="28" spans="2:20" ht="11.25" customHeight="1">
      <c r="B28" s="1183">
        <f>'A&amp;R'!C44</f>
        <v>2</v>
      </c>
      <c r="C28" s="1166">
        <f>'A&amp;R'!D44/1000</f>
        <v>24000</v>
      </c>
      <c r="D28" s="1181">
        <f ca="1">'A&amp;R'!E44/1000</f>
        <v>840.00000000000011</v>
      </c>
      <c r="E28" s="1181">
        <f>'A&amp;R'!F44/1000</f>
        <v>0</v>
      </c>
      <c r="F28" s="1166">
        <f t="shared" ca="1" si="4"/>
        <v>840.00000000000011</v>
      </c>
      <c r="G28" s="1682">
        <f ca="1">'A&amp;R'!G44</f>
        <v>7.0000000000000007E-2</v>
      </c>
      <c r="I28" s="1183">
        <f>'A&amp;R'!C44</f>
        <v>2</v>
      </c>
      <c r="J28" s="1166">
        <f>'A&amp;R'!H44/1000</f>
        <v>50000</v>
      </c>
      <c r="K28" s="1181">
        <f ca="1">'A&amp;R'!I44/1000</f>
        <v>1875</v>
      </c>
      <c r="L28" s="1181">
        <f>'A&amp;R'!J44/1000</f>
        <v>0</v>
      </c>
      <c r="M28" s="1166">
        <f t="shared" ca="1" si="5"/>
        <v>1875</v>
      </c>
      <c r="N28" s="1682">
        <f ca="1">'A&amp;R'!K44</f>
        <v>7.4999999999999997E-2</v>
      </c>
      <c r="P28" s="1185" t="s">
        <v>83</v>
      </c>
      <c r="Q28" s="1224">
        <f>'A&amp;R'!N72</f>
        <v>2141.7860317670779</v>
      </c>
      <c r="R28" s="1213">
        <f>'A&amp;R'!O72/1000</f>
        <v>61.857058333333342</v>
      </c>
      <c r="S28" s="1206">
        <f>'A&amp;R'!Q72</f>
        <v>-0.02</v>
      </c>
      <c r="T28" s="1196"/>
    </row>
    <row r="29" spans="2:20" ht="11.25" customHeight="1" thickBot="1">
      <c r="B29" s="1183">
        <f>'A&amp;R'!C45</f>
        <v>3</v>
      </c>
      <c r="C29" s="1166">
        <f>'A&amp;R'!D45/1000</f>
        <v>24000</v>
      </c>
      <c r="D29" s="1181">
        <f ca="1">'A&amp;R'!E45/1000</f>
        <v>840.00000000000011</v>
      </c>
      <c r="E29" s="1181">
        <f>'A&amp;R'!F45/1000</f>
        <v>0</v>
      </c>
      <c r="F29" s="1166">
        <f t="shared" ca="1" si="4"/>
        <v>840.00000000000011</v>
      </c>
      <c r="G29" s="1682">
        <f ca="1">'A&amp;R'!G45</f>
        <v>7.0000000000000007E-2</v>
      </c>
      <c r="I29" s="1183">
        <f>'A&amp;R'!C45</f>
        <v>3</v>
      </c>
      <c r="J29" s="1166">
        <f>'A&amp;R'!H45/1000</f>
        <v>50000</v>
      </c>
      <c r="K29" s="1181">
        <f ca="1">'A&amp;R'!I45/1000</f>
        <v>1875</v>
      </c>
      <c r="L29" s="1181">
        <f>'A&amp;R'!J45/1000</f>
        <v>0</v>
      </c>
      <c r="M29" s="1166">
        <f t="shared" ca="1" si="5"/>
        <v>1875</v>
      </c>
      <c r="N29" s="1682">
        <f ca="1">'A&amp;R'!K45</f>
        <v>7.4999999999999997E-2</v>
      </c>
      <c r="P29" s="1187" t="s">
        <v>659</v>
      </c>
      <c r="Q29" s="1225">
        <f>SUM('A&amp;R'!N73:N77)</f>
        <v>2169.3161985609099</v>
      </c>
      <c r="R29" s="1215">
        <f>SUM('A&amp;R'!O73:O77)/1000</f>
        <v>62.652158827983335</v>
      </c>
      <c r="S29" s="1207">
        <f>'A&amp;R'!Q77</f>
        <v>0</v>
      </c>
      <c r="T29" s="1197"/>
    </row>
    <row r="30" spans="2:20" ht="11.25" customHeight="1">
      <c r="B30" s="1183">
        <f>'A&amp;R'!C46</f>
        <v>4</v>
      </c>
      <c r="C30" s="1166">
        <f>'A&amp;R'!D46/1000</f>
        <v>24000</v>
      </c>
      <c r="D30" s="1181">
        <f ca="1">'A&amp;R'!E46/1000</f>
        <v>840.00000000000011</v>
      </c>
      <c r="E30" s="1181">
        <f>'A&amp;R'!F46/1000</f>
        <v>0</v>
      </c>
      <c r="F30" s="1166">
        <f t="shared" ca="1" si="4"/>
        <v>840.00000000000011</v>
      </c>
      <c r="G30" s="1682">
        <f ca="1">'A&amp;R'!G46</f>
        <v>7.0000000000000007E-2</v>
      </c>
      <c r="I30" s="1183">
        <f>'A&amp;R'!C46</f>
        <v>4</v>
      </c>
      <c r="J30" s="1166">
        <f>'A&amp;R'!H46/1000</f>
        <v>50000</v>
      </c>
      <c r="K30" s="1181">
        <f ca="1">'A&amp;R'!I46/1000</f>
        <v>1875</v>
      </c>
      <c r="L30" s="1181">
        <f>'A&amp;R'!J46/1000</f>
        <v>0</v>
      </c>
      <c r="M30" s="1166">
        <f t="shared" ca="1" si="5"/>
        <v>1875</v>
      </c>
      <c r="N30" s="1682">
        <f ca="1">'A&amp;R'!K46</f>
        <v>7.4999999999999997E-2</v>
      </c>
    </row>
    <row r="31" spans="2:20" ht="11.25" customHeight="1">
      <c r="B31" s="1183">
        <f>'A&amp;R'!C47</f>
        <v>5</v>
      </c>
      <c r="C31" s="1166">
        <f>'A&amp;R'!D47/1000</f>
        <v>24000</v>
      </c>
      <c r="D31" s="1181">
        <f ca="1">'A&amp;R'!E47/1000</f>
        <v>840.00000000000011</v>
      </c>
      <c r="E31" s="1181">
        <f>'A&amp;R'!F47/1000</f>
        <v>0</v>
      </c>
      <c r="F31" s="1166">
        <f t="shared" ca="1" si="4"/>
        <v>840.00000000000011</v>
      </c>
      <c r="G31" s="1682">
        <f ca="1">'A&amp;R'!G47</f>
        <v>7.0000000000000007E-2</v>
      </c>
      <c r="I31" s="1183">
        <f>'A&amp;R'!C47</f>
        <v>5</v>
      </c>
      <c r="J31" s="1166">
        <f>'A&amp;R'!H47/1000</f>
        <v>50000</v>
      </c>
      <c r="K31" s="1181">
        <f ca="1">'A&amp;R'!I47/1000</f>
        <v>1875</v>
      </c>
      <c r="L31" s="1181">
        <f>'A&amp;R'!J47/1000</f>
        <v>0</v>
      </c>
      <c r="M31" s="1166">
        <f t="shared" ca="1" si="5"/>
        <v>1875</v>
      </c>
      <c r="N31" s="1682">
        <f ca="1">'A&amp;R'!K47</f>
        <v>7.4999999999999997E-2</v>
      </c>
    </row>
    <row r="32" spans="2:20" ht="11.25" customHeight="1" thickBot="1">
      <c r="B32" s="1183">
        <f>'A&amp;R'!C48</f>
        <v>6</v>
      </c>
      <c r="C32" s="1166">
        <f>'A&amp;R'!D48/1000</f>
        <v>24000</v>
      </c>
      <c r="D32" s="1181">
        <f ca="1">'A&amp;R'!E48/1000</f>
        <v>840.00000000000011</v>
      </c>
      <c r="E32" s="1181">
        <f>'A&amp;R'!F48/1000</f>
        <v>0</v>
      </c>
      <c r="F32" s="1166">
        <f t="shared" ca="1" si="4"/>
        <v>840.00000000000011</v>
      </c>
      <c r="G32" s="1682">
        <f ca="1">'A&amp;R'!G48</f>
        <v>7.0000000000000007E-2</v>
      </c>
      <c r="I32" s="1183">
        <f>'A&amp;R'!C48</f>
        <v>6</v>
      </c>
      <c r="J32" s="1166">
        <f>'A&amp;R'!H48/1000</f>
        <v>50000</v>
      </c>
      <c r="K32" s="1181">
        <f ca="1">'A&amp;R'!I48/1000</f>
        <v>1875</v>
      </c>
      <c r="L32" s="1181">
        <f>'A&amp;R'!J48/1000</f>
        <v>0</v>
      </c>
      <c r="M32" s="1166">
        <f t="shared" ca="1" si="5"/>
        <v>1875</v>
      </c>
      <c r="N32" s="1682">
        <f ca="1">'A&amp;R'!K48</f>
        <v>7.4999999999999997E-2</v>
      </c>
    </row>
    <row r="33" spans="2:29" ht="11.25" customHeight="1">
      <c r="B33" s="1183">
        <f>'A&amp;R'!C49</f>
        <v>7</v>
      </c>
      <c r="C33" s="1166">
        <f>'A&amp;R'!D49/1000</f>
        <v>24000</v>
      </c>
      <c r="D33" s="1181">
        <f ca="1">'A&amp;R'!E49/1000</f>
        <v>840.00000000000011</v>
      </c>
      <c r="E33" s="1181">
        <f>'A&amp;R'!F49/1000</f>
        <v>0</v>
      </c>
      <c r="F33" s="1166">
        <f t="shared" ca="1" si="4"/>
        <v>840.00000000000011</v>
      </c>
      <c r="G33" s="1682">
        <f ca="1">'A&amp;R'!G49</f>
        <v>7.0000000000000007E-2</v>
      </c>
      <c r="I33" s="1183">
        <f>'A&amp;R'!C49</f>
        <v>7</v>
      </c>
      <c r="J33" s="1166">
        <f>'A&amp;R'!H49/1000</f>
        <v>50000</v>
      </c>
      <c r="K33" s="1181">
        <f ca="1">'A&amp;R'!I49/1000</f>
        <v>1875</v>
      </c>
      <c r="L33" s="1181">
        <f>'A&amp;R'!J49/1000</f>
        <v>0</v>
      </c>
      <c r="M33" s="1166">
        <f t="shared" ca="1" si="5"/>
        <v>1875</v>
      </c>
      <c r="N33" s="1682">
        <f ca="1">'A&amp;R'!K49</f>
        <v>7.4999999999999997E-2</v>
      </c>
      <c r="P33" s="1177" t="s">
        <v>620</v>
      </c>
      <c r="Q33" s="1178" t="s">
        <v>849</v>
      </c>
      <c r="R33" s="1178" t="s">
        <v>678</v>
      </c>
      <c r="S33" s="1178" t="str">
        <f>S23</f>
        <v>상승률</v>
      </c>
      <c r="T33" s="1179" t="s">
        <v>264</v>
      </c>
    </row>
    <row r="34" spans="2:29" ht="11.25" customHeight="1">
      <c r="B34" s="1183">
        <f>'A&amp;R'!C50</f>
        <v>8</v>
      </c>
      <c r="C34" s="1166">
        <f>'A&amp;R'!D50/1000</f>
        <v>24000</v>
      </c>
      <c r="D34" s="1181">
        <f ca="1">'A&amp;R'!E50/1000</f>
        <v>840.00000000000011</v>
      </c>
      <c r="E34" s="1181">
        <f>'A&amp;R'!F50/1000</f>
        <v>0</v>
      </c>
      <c r="F34" s="1166">
        <f t="shared" ca="1" si="4"/>
        <v>840.00000000000011</v>
      </c>
      <c r="G34" s="1682">
        <f ca="1">'A&amp;R'!G50</f>
        <v>7.0000000000000007E-2</v>
      </c>
      <c r="I34" s="1183">
        <f>'A&amp;R'!C50</f>
        <v>8</v>
      </c>
      <c r="J34" s="1166">
        <f>'A&amp;R'!H50/1000</f>
        <v>50000</v>
      </c>
      <c r="K34" s="1181">
        <f ca="1">'A&amp;R'!I50/1000</f>
        <v>1875</v>
      </c>
      <c r="L34" s="1181">
        <f>'A&amp;R'!J50/1000</f>
        <v>0</v>
      </c>
      <c r="M34" s="1166">
        <f t="shared" ca="1" si="5"/>
        <v>1875</v>
      </c>
      <c r="N34" s="1682">
        <f ca="1">'A&amp;R'!K50</f>
        <v>7.4999999999999997E-2</v>
      </c>
      <c r="P34" s="1185" t="str">
        <f>'A&amp;R'!L82</f>
        <v>자산관리수수료</v>
      </c>
      <c r="Q34" s="1400">
        <v>2.2300000000000002E-3</v>
      </c>
      <c r="R34" s="1213">
        <f>'A&amp;R'!Q82/1000</f>
        <v>55.54558333333334</v>
      </c>
      <c r="S34" s="1206">
        <f>'A&amp;R'!T82</f>
        <v>0</v>
      </c>
      <c r="T34" s="1196"/>
      <c r="U34" s="1189">
        <f>R34*12</f>
        <v>666.54700000000003</v>
      </c>
    </row>
    <row r="35" spans="2:29" ht="11.25" customHeight="1">
      <c r="B35" s="1183">
        <f>'A&amp;R'!C51</f>
        <v>9</v>
      </c>
      <c r="C35" s="1166">
        <f>'A&amp;R'!D51/1000</f>
        <v>24000</v>
      </c>
      <c r="D35" s="1181">
        <f ca="1">'A&amp;R'!E51/1000</f>
        <v>840.00000000000011</v>
      </c>
      <c r="E35" s="1181">
        <f>'A&amp;R'!F51/1000</f>
        <v>0</v>
      </c>
      <c r="F35" s="1166">
        <f t="shared" ca="1" si="4"/>
        <v>840.00000000000011</v>
      </c>
      <c r="G35" s="1682">
        <f ca="1">'A&amp;R'!G51</f>
        <v>7.0000000000000007E-2</v>
      </c>
      <c r="I35" s="1183">
        <f>'A&amp;R'!C51</f>
        <v>9</v>
      </c>
      <c r="J35" s="1166">
        <f>'A&amp;R'!H51/1000</f>
        <v>50000</v>
      </c>
      <c r="K35" s="1181">
        <f ca="1">'A&amp;R'!I51/1000</f>
        <v>1856.0563038810928</v>
      </c>
      <c r="L35" s="1181">
        <f>'A&amp;R'!J51/1000</f>
        <v>0</v>
      </c>
      <c r="M35" s="1166">
        <f t="shared" ca="1" si="5"/>
        <v>1856.0563038810928</v>
      </c>
      <c r="N35" s="1682">
        <f ca="1">'A&amp;R'!K51</f>
        <v>7.4242252155243715E-2</v>
      </c>
      <c r="P35" s="1185" t="str">
        <f>'A&amp;R'!L83</f>
        <v>자산보관수수료</v>
      </c>
      <c r="Q35" s="1400">
        <v>5.0000000000000002E-5</v>
      </c>
      <c r="R35" s="1213">
        <f>'A&amp;R'!Q83/1000</f>
        <v>1</v>
      </c>
      <c r="S35" s="1206">
        <f>'A&amp;R'!T83</f>
        <v>0</v>
      </c>
      <c r="T35" s="1196"/>
    </row>
    <row r="36" spans="2:29" ht="11.25" customHeight="1">
      <c r="B36" s="1183">
        <f>'A&amp;R'!C52</f>
        <v>10</v>
      </c>
      <c r="C36" s="1166">
        <f>'A&amp;R'!D52/1000</f>
        <v>24000</v>
      </c>
      <c r="D36" s="1181">
        <f ca="1">'A&amp;R'!E52/1000</f>
        <v>840.00000000000011</v>
      </c>
      <c r="E36" s="1181">
        <f>'A&amp;R'!F52/1000</f>
        <v>0</v>
      </c>
      <c r="F36" s="1166">
        <f t="shared" ca="1" si="4"/>
        <v>840.00000000000011</v>
      </c>
      <c r="G36" s="1682">
        <f ca="1">'A&amp;R'!G52</f>
        <v>7.0000000000000007E-2</v>
      </c>
      <c r="I36" s="1183">
        <f>'A&amp;R'!C52</f>
        <v>10</v>
      </c>
      <c r="J36" s="1166">
        <f>'A&amp;R'!H52/1000</f>
        <v>50000</v>
      </c>
      <c r="K36" s="1181">
        <f ca="1">'A&amp;R'!I52/1000</f>
        <v>1761.7292937996685</v>
      </c>
      <c r="L36" s="1181">
        <f>'A&amp;R'!J52/1000</f>
        <v>0</v>
      </c>
      <c r="M36" s="1166">
        <f t="shared" ca="1" si="5"/>
        <v>1761.7292937996685</v>
      </c>
      <c r="N36" s="1682">
        <f ca="1">'A&amp;R'!K52</f>
        <v>7.0469171751986748E-2</v>
      </c>
      <c r="P36" s="1185" t="str">
        <f>'A&amp;R'!L84</f>
        <v>사무수탁수수료</v>
      </c>
      <c r="Q36" s="1401">
        <f>'A&amp;R'!P84</f>
        <v>8.7102177554438865E-5</v>
      </c>
      <c r="R36" s="1213">
        <f>'A&amp;R'!Q84/1000</f>
        <v>2.1695700725851479</v>
      </c>
      <c r="S36" s="1206">
        <f>'A&amp;R'!T84</f>
        <v>0</v>
      </c>
      <c r="T36" s="1196"/>
    </row>
    <row r="37" spans="2:29" ht="11.25" customHeight="1">
      <c r="B37" s="1183">
        <f>'A&amp;R'!C53</f>
        <v>11</v>
      </c>
      <c r="C37" s="1166">
        <f>'A&amp;R'!D53/1000</f>
        <v>24000</v>
      </c>
      <c r="D37" s="1181">
        <f ca="1">'A&amp;R'!E53/1000</f>
        <v>840.00000000000011</v>
      </c>
      <c r="E37" s="1181">
        <f>'A&amp;R'!F53/1000</f>
        <v>0</v>
      </c>
      <c r="F37" s="1166">
        <f t="shared" ca="1" si="4"/>
        <v>840.00000000000011</v>
      </c>
      <c r="G37" s="1682">
        <f ca="1">'A&amp;R'!G53</f>
        <v>7.0000000000000007E-2</v>
      </c>
      <c r="I37" s="1183">
        <f>'A&amp;R'!C53</f>
        <v>11</v>
      </c>
      <c r="J37" s="1166">
        <f>'A&amp;R'!H53/1000</f>
        <v>50000</v>
      </c>
      <c r="K37" s="1181">
        <f ca="1">'A&amp;R'!I53/1000</f>
        <v>1838.0823751356359</v>
      </c>
      <c r="L37" s="1181">
        <f>'A&amp;R'!J53/1000</f>
        <v>0</v>
      </c>
      <c r="M37" s="1166">
        <f t="shared" ca="1" si="5"/>
        <v>1838.0823751356359</v>
      </c>
      <c r="N37" s="1682">
        <f ca="1">'A&amp;R'!K53</f>
        <v>7.352329500542544E-2</v>
      </c>
      <c r="P37" s="1185" t="str">
        <f>'A&amp;R'!L80</f>
        <v>임원급여</v>
      </c>
      <c r="Q37" s="1206" t="s">
        <v>527</v>
      </c>
      <c r="R37" s="1213">
        <f>'A&amp;R'!Q80/1000</f>
        <v>2</v>
      </c>
      <c r="S37" s="1206">
        <v>0.02</v>
      </c>
      <c r="T37" s="1196"/>
    </row>
    <row r="38" spans="2:29" ht="11.25" customHeight="1">
      <c r="B38" s="1183">
        <f>'A&amp;R'!C54</f>
        <v>12</v>
      </c>
      <c r="C38" s="1166">
        <f>'A&amp;R'!D54/1000</f>
        <v>24000</v>
      </c>
      <c r="D38" s="1181">
        <f ca="1">'A&amp;R'!E54/1000</f>
        <v>840.00000000000011</v>
      </c>
      <c r="E38" s="1181">
        <f>'A&amp;R'!F54/1000</f>
        <v>0</v>
      </c>
      <c r="F38" s="1166">
        <f t="shared" ca="1" si="4"/>
        <v>840.00000000000011</v>
      </c>
      <c r="G38" s="1682">
        <f ca="1">'A&amp;R'!G54</f>
        <v>7.0000000000000007E-2</v>
      </c>
      <c r="I38" s="1183">
        <f>'A&amp;R'!C54</f>
        <v>12</v>
      </c>
      <c r="J38" s="1166">
        <f>'A&amp;R'!H54/1000</f>
        <v>50000</v>
      </c>
      <c r="K38" s="1181">
        <f ca="1">'A&amp;R'!I54/1000</f>
        <v>2044.1320271836025</v>
      </c>
      <c r="L38" s="1181">
        <f>'A&amp;R'!J54/1000</f>
        <v>0</v>
      </c>
      <c r="M38" s="1166">
        <f t="shared" ca="1" si="5"/>
        <v>2044.1320271836025</v>
      </c>
      <c r="N38" s="1682">
        <f ca="1">'A&amp;R'!K54</f>
        <v>8.1765281087344099E-2</v>
      </c>
      <c r="P38" s="1185" t="str">
        <f>'A&amp;R'!L81</f>
        <v>회계감사수수료</v>
      </c>
      <c r="Q38" s="1206" t="s">
        <v>527</v>
      </c>
      <c r="R38" s="1213">
        <f>'A&amp;R'!R81/1000</f>
        <v>72</v>
      </c>
      <c r="S38" s="1206">
        <v>0.02</v>
      </c>
      <c r="T38" s="1196"/>
    </row>
    <row r="39" spans="2:29" ht="11.25" customHeight="1" thickBot="1">
      <c r="B39" s="1183">
        <f>'A&amp;R'!C55</f>
        <v>13</v>
      </c>
      <c r="C39" s="1166">
        <f>'A&amp;R'!D55/1000</f>
        <v>24000</v>
      </c>
      <c r="D39" s="1181">
        <f ca="1">'A&amp;R'!E55/1000</f>
        <v>840.00000000000011</v>
      </c>
      <c r="E39" s="1181">
        <f>'A&amp;R'!F55/1000</f>
        <v>0</v>
      </c>
      <c r="F39" s="1166">
        <f t="shared" ca="1" si="4"/>
        <v>840.00000000000011</v>
      </c>
      <c r="G39" s="1682">
        <f ca="1">'A&amp;R'!G55</f>
        <v>7.0000000000000007E-2</v>
      </c>
      <c r="I39" s="1183">
        <f>'A&amp;R'!C55</f>
        <v>13</v>
      </c>
      <c r="J39" s="1166">
        <f>'A&amp;R'!H55/1000</f>
        <v>50000</v>
      </c>
      <c r="K39" s="1181">
        <f ca="1">'A&amp;R'!I55/1000</f>
        <v>1875</v>
      </c>
      <c r="L39" s="1181">
        <f>'A&amp;R'!J55/1000</f>
        <v>0</v>
      </c>
      <c r="M39" s="1166">
        <f t="shared" ca="1" si="5"/>
        <v>1875</v>
      </c>
      <c r="N39" s="1682">
        <f ca="1">'A&amp;R'!K55</f>
        <v>7.4999999999999997E-2</v>
      </c>
      <c r="P39" s="1187"/>
      <c r="Q39" s="1225"/>
      <c r="R39" s="1215"/>
      <c r="S39" s="1207"/>
      <c r="T39" s="1197"/>
    </row>
    <row r="40" spans="2:29" ht="11.25" customHeight="1">
      <c r="B40" s="1183">
        <f>'A&amp;R'!C56</f>
        <v>14</v>
      </c>
      <c r="C40" s="1166">
        <f>'A&amp;R'!D56/1000</f>
        <v>24000</v>
      </c>
      <c r="D40" s="1181">
        <f ca="1">'A&amp;R'!E56/1000</f>
        <v>840.00000000000011</v>
      </c>
      <c r="E40" s="1181">
        <f>'A&amp;R'!F56/1000</f>
        <v>0</v>
      </c>
      <c r="F40" s="1166">
        <f t="shared" ca="1" si="4"/>
        <v>840.00000000000011</v>
      </c>
      <c r="G40" s="1682">
        <f ca="1">'A&amp;R'!G56</f>
        <v>7.0000000000000007E-2</v>
      </c>
      <c r="I40" s="1183">
        <f>'A&amp;R'!C56</f>
        <v>14</v>
      </c>
      <c r="J40" s="1166">
        <f>'A&amp;R'!H56/1000</f>
        <v>50000</v>
      </c>
      <c r="K40" s="1181">
        <f ca="1">'A&amp;R'!I56/1000</f>
        <v>1875</v>
      </c>
      <c r="L40" s="1181">
        <f>'A&amp;R'!J56/1000</f>
        <v>0</v>
      </c>
      <c r="M40" s="1166">
        <f t="shared" ca="1" si="5"/>
        <v>1875</v>
      </c>
      <c r="N40" s="1682">
        <f ca="1">'A&amp;R'!K56</f>
        <v>7.4999999999999997E-2</v>
      </c>
    </row>
    <row r="41" spans="2:29" ht="11.25" customHeight="1">
      <c r="B41" s="1183">
        <f>'A&amp;R'!C57</f>
        <v>15</v>
      </c>
      <c r="C41" s="1166">
        <f>'A&amp;R'!D57/1000</f>
        <v>24000</v>
      </c>
      <c r="D41" s="1181">
        <f ca="1">'A&amp;R'!E57/1000</f>
        <v>840.00000000000011</v>
      </c>
      <c r="E41" s="1181">
        <f>'A&amp;R'!F57/1000</f>
        <v>0</v>
      </c>
      <c r="F41" s="1166">
        <f t="shared" ca="1" si="4"/>
        <v>840.00000000000011</v>
      </c>
      <c r="G41" s="1682">
        <f ca="1">'A&amp;R'!G57</f>
        <v>7.0000000000000007E-2</v>
      </c>
      <c r="I41" s="1183">
        <f>'A&amp;R'!C57</f>
        <v>15</v>
      </c>
      <c r="J41" s="1166">
        <f>'A&amp;R'!H57/1000</f>
        <v>50000</v>
      </c>
      <c r="K41" s="1181">
        <f ca="1">'A&amp;R'!I57/1000</f>
        <v>1875</v>
      </c>
      <c r="L41" s="1181">
        <f>'A&amp;R'!J57/1000</f>
        <v>0</v>
      </c>
      <c r="M41" s="1166">
        <f t="shared" ca="1" si="5"/>
        <v>1875</v>
      </c>
      <c r="N41" s="1682">
        <f ca="1">'A&amp;R'!K57</f>
        <v>7.4999999999999997E-2</v>
      </c>
    </row>
    <row r="42" spans="2:29" ht="11.25" customHeight="1" thickBot="1">
      <c r="B42" s="1183">
        <f>'A&amp;R'!C58</f>
        <v>16</v>
      </c>
      <c r="C42" s="1166">
        <f>'A&amp;R'!D58/1000</f>
        <v>24000</v>
      </c>
      <c r="D42" s="1181">
        <f ca="1">'A&amp;R'!E58/1000</f>
        <v>840.00000000000011</v>
      </c>
      <c r="E42" s="1181">
        <f>'A&amp;R'!F58/1000</f>
        <v>0</v>
      </c>
      <c r="F42" s="1166">
        <f t="shared" ca="1" si="4"/>
        <v>840.00000000000011</v>
      </c>
      <c r="G42" s="1682">
        <f ca="1">'A&amp;R'!G58</f>
        <v>7.0000000000000007E-2</v>
      </c>
      <c r="I42" s="1183">
        <f>'A&amp;R'!C58</f>
        <v>16</v>
      </c>
      <c r="J42" s="1166">
        <f>'A&amp;R'!H58/1000</f>
        <v>50000</v>
      </c>
      <c r="K42" s="1181">
        <f ca="1">'A&amp;R'!I58/1000</f>
        <v>1875</v>
      </c>
      <c r="L42" s="1181">
        <f>'A&amp;R'!J58/1000</f>
        <v>0</v>
      </c>
      <c r="M42" s="1166">
        <f t="shared" ca="1" si="5"/>
        <v>1875</v>
      </c>
      <c r="N42" s="1682">
        <f ca="1">'A&amp;R'!K58</f>
        <v>7.4999999999999997E-2</v>
      </c>
    </row>
    <row r="43" spans="2:29" ht="11.25" customHeight="1">
      <c r="B43" s="1183">
        <f>'A&amp;R'!C59</f>
        <v>17</v>
      </c>
      <c r="C43" s="1166">
        <f>'A&amp;R'!D59/1000</f>
        <v>24000</v>
      </c>
      <c r="D43" s="1181">
        <f ca="1">'A&amp;R'!E59/1000</f>
        <v>840.00000000000011</v>
      </c>
      <c r="E43" s="1181">
        <f>'A&amp;R'!F59/1000</f>
        <v>0</v>
      </c>
      <c r="F43" s="1166">
        <f t="shared" ca="1" si="4"/>
        <v>840.00000000000011</v>
      </c>
      <c r="G43" s="1682">
        <f ca="1">'A&amp;R'!G59</f>
        <v>7.0000000000000007E-2</v>
      </c>
      <c r="I43" s="1183">
        <f>'A&amp;R'!C59</f>
        <v>17</v>
      </c>
      <c r="J43" s="1166">
        <f>'A&amp;R'!H59/1000</f>
        <v>50000</v>
      </c>
      <c r="K43" s="1181">
        <f ca="1">'A&amp;R'!I59/1000</f>
        <v>1875</v>
      </c>
      <c r="L43" s="1181">
        <f>'A&amp;R'!J59/1000</f>
        <v>0</v>
      </c>
      <c r="M43" s="1166">
        <f t="shared" ca="1" si="5"/>
        <v>1875</v>
      </c>
      <c r="N43" s="1682">
        <f ca="1">'A&amp;R'!K59</f>
        <v>7.4999999999999997E-2</v>
      </c>
      <c r="P43" s="1177" t="s">
        <v>620</v>
      </c>
      <c r="Q43" s="1178" t="s">
        <v>679</v>
      </c>
      <c r="R43" s="1178" t="s">
        <v>680</v>
      </c>
      <c r="S43" s="1179" t="s">
        <v>264</v>
      </c>
      <c r="Z43" s="1177" t="s">
        <v>24</v>
      </c>
      <c r="AA43" s="1178" t="s">
        <v>25</v>
      </c>
      <c r="AB43" s="1178" t="s">
        <v>24</v>
      </c>
      <c r="AC43" s="1179" t="s">
        <v>25</v>
      </c>
    </row>
    <row r="44" spans="2:29" ht="11.25" customHeight="1">
      <c r="B44" s="1183">
        <f>'A&amp;R'!C60</f>
        <v>18</v>
      </c>
      <c r="C44" s="1166">
        <f>'A&amp;R'!D60/1000</f>
        <v>24000</v>
      </c>
      <c r="D44" s="1181">
        <f ca="1">'A&amp;R'!E60/1000</f>
        <v>840.00000000000011</v>
      </c>
      <c r="E44" s="1181">
        <f>'A&amp;R'!F60/1000</f>
        <v>0</v>
      </c>
      <c r="F44" s="1166">
        <f t="shared" ca="1" si="4"/>
        <v>840.00000000000011</v>
      </c>
      <c r="G44" s="1682">
        <f ca="1">'A&amp;R'!G60</f>
        <v>7.0000000000000007E-2</v>
      </c>
      <c r="I44" s="1183">
        <f>'A&amp;R'!C60</f>
        <v>18</v>
      </c>
      <c r="J44" s="1166">
        <f>'A&amp;R'!H60/1000</f>
        <v>50000</v>
      </c>
      <c r="K44" s="1181">
        <f ca="1">'A&amp;R'!I60/1000</f>
        <v>1875</v>
      </c>
      <c r="L44" s="1181">
        <f>'A&amp;R'!J60/1000</f>
        <v>0</v>
      </c>
      <c r="M44" s="1166">
        <f t="shared" ca="1" si="5"/>
        <v>1875</v>
      </c>
      <c r="N44" s="1682">
        <f ca="1">'A&amp;R'!K60</f>
        <v>7.4999999999999997E-2</v>
      </c>
      <c r="P44" s="1185" t="s">
        <v>681</v>
      </c>
      <c r="Q44" s="1193"/>
      <c r="R44" s="1708">
        <f>'A&amp;R'!P8/1000</f>
        <v>270000</v>
      </c>
      <c r="S44" s="1680">
        <f t="shared" ref="S44:S49" si="6">R44/$R$50</f>
        <v>0.90331214452994335</v>
      </c>
      <c r="U44" s="1301">
        <f t="shared" ref="U44:U49" si="7">R44*1000</f>
        <v>270000000</v>
      </c>
      <c r="W44" s="1301">
        <f>Q55</f>
        <v>2100</v>
      </c>
      <c r="X44" s="1718">
        <f t="shared" ref="X44:X50" si="8">W44/$W$51</f>
        <v>7.0257611241217799E-3</v>
      </c>
      <c r="Z44" s="1185" t="s">
        <v>38</v>
      </c>
      <c r="AA44" s="1708">
        <f>R44/100</f>
        <v>2700</v>
      </c>
      <c r="AB44" s="1708" t="s">
        <v>2436</v>
      </c>
      <c r="AC44" s="2748">
        <f>W44/100</f>
        <v>21</v>
      </c>
    </row>
    <row r="45" spans="2:29" ht="11.25" customHeight="1">
      <c r="B45" s="1183">
        <f>'A&amp;R'!C61</f>
        <v>19</v>
      </c>
      <c r="C45" s="1166">
        <f>'A&amp;R'!D61/1000</f>
        <v>24000</v>
      </c>
      <c r="D45" s="1181">
        <f ca="1">'A&amp;R'!E61/1000</f>
        <v>840.00000000000011</v>
      </c>
      <c r="E45" s="1181">
        <f>'A&amp;R'!F61/1000</f>
        <v>0</v>
      </c>
      <c r="F45" s="1166">
        <f t="shared" ca="1" si="4"/>
        <v>840.00000000000011</v>
      </c>
      <c r="G45" s="1682">
        <f ca="1">'A&amp;R'!G61</f>
        <v>7.0000000000000007E-2</v>
      </c>
      <c r="I45" s="1183">
        <f>'A&amp;R'!C61</f>
        <v>19</v>
      </c>
      <c r="J45" s="1166">
        <f>'A&amp;R'!H61/1000</f>
        <v>50000</v>
      </c>
      <c r="K45" s="1181">
        <f ca="1">'A&amp;R'!I61/1000</f>
        <v>1875</v>
      </c>
      <c r="L45" s="1181">
        <f>'A&amp;R'!J61/1000</f>
        <v>0</v>
      </c>
      <c r="M45" s="1166">
        <f t="shared" ca="1" si="5"/>
        <v>1875</v>
      </c>
      <c r="N45" s="1682">
        <f ca="1">'A&amp;R'!K61</f>
        <v>7.4999999999999997E-2</v>
      </c>
      <c r="P45" s="1185" t="s">
        <v>682</v>
      </c>
      <c r="Q45" s="1193"/>
      <c r="R45" s="1708">
        <f>'A&amp;R'!P9/1000</f>
        <v>1350</v>
      </c>
      <c r="S45" s="1680">
        <f t="shared" si="6"/>
        <v>4.5165607226497163E-3</v>
      </c>
      <c r="U45" s="1301">
        <f t="shared" si="7"/>
        <v>1350000</v>
      </c>
      <c r="W45" s="1301">
        <f>Q56</f>
        <v>160000</v>
      </c>
      <c r="X45" s="1718">
        <f t="shared" si="8"/>
        <v>0.53529608564737374</v>
      </c>
      <c r="Z45" s="1185" t="s">
        <v>2435</v>
      </c>
      <c r="AA45" s="1708">
        <f>AA49-AA44-AA46-AA47-AA48</f>
        <v>142.74615225132001</v>
      </c>
      <c r="AB45" s="1708" t="s">
        <v>646</v>
      </c>
      <c r="AC45" s="2748">
        <f>W45/100</f>
        <v>1600</v>
      </c>
    </row>
    <row r="46" spans="2:29" ht="11.25" customHeight="1">
      <c r="B46" s="1183">
        <f>'A&amp;R'!C62</f>
        <v>20</v>
      </c>
      <c r="C46" s="1166">
        <f>'A&amp;R'!D62/1000</f>
        <v>24000</v>
      </c>
      <c r="D46" s="1181">
        <f ca="1">'A&amp;R'!E62/1000</f>
        <v>840.00000000000011</v>
      </c>
      <c r="E46" s="1181">
        <f>'A&amp;R'!F62/1000</f>
        <v>0</v>
      </c>
      <c r="F46" s="1166">
        <f t="shared" ca="1" si="4"/>
        <v>840.00000000000011</v>
      </c>
      <c r="G46" s="1682">
        <f ca="1">'A&amp;R'!G62</f>
        <v>7.0000000000000007E-2</v>
      </c>
      <c r="I46" s="1183">
        <f>'A&amp;R'!C62</f>
        <v>20</v>
      </c>
      <c r="J46" s="1166">
        <f>'A&amp;R'!H62/1000</f>
        <v>50000</v>
      </c>
      <c r="K46" s="1181">
        <f ca="1">'A&amp;R'!I62/1000</f>
        <v>1875</v>
      </c>
      <c r="L46" s="1181">
        <f>'A&amp;R'!J62/1000</f>
        <v>12115.106954888193</v>
      </c>
      <c r="M46" s="1166">
        <f t="shared" ca="1" si="5"/>
        <v>13990.106954888193</v>
      </c>
      <c r="N46" s="1682">
        <f ca="1">'A&amp;R'!K62</f>
        <v>0.55960427819552772</v>
      </c>
      <c r="P46" s="1185" t="s">
        <v>683</v>
      </c>
      <c r="Q46" s="1193"/>
      <c r="R46" s="1708">
        <f>'A&amp;R'!P18/1000</f>
        <v>12498.030494600001</v>
      </c>
      <c r="S46" s="1680">
        <f t="shared" si="6"/>
        <v>4.1813417512880577E-2</v>
      </c>
      <c r="U46" s="1301">
        <f t="shared" si="7"/>
        <v>12498030.494600002</v>
      </c>
      <c r="W46" s="1301">
        <f>Q57</f>
        <v>38000</v>
      </c>
      <c r="X46" s="1718">
        <f t="shared" si="8"/>
        <v>0.12713282034125126</v>
      </c>
      <c r="Z46" s="1185" t="s">
        <v>72</v>
      </c>
      <c r="AA46" s="1708">
        <f>R48/100</f>
        <v>43.9</v>
      </c>
      <c r="AB46" s="1708" t="s">
        <v>1433</v>
      </c>
      <c r="AC46" s="2748">
        <f>W46/100</f>
        <v>380</v>
      </c>
    </row>
    <row r="47" spans="2:29" ht="11.25" customHeight="1">
      <c r="B47" s="1175" t="s">
        <v>104</v>
      </c>
      <c r="C47" s="1168"/>
      <c r="D47" s="1182">
        <f ca="1">SUM(D26:D46)</f>
        <v>16800.000000000004</v>
      </c>
      <c r="E47" s="1182">
        <f>SUM(E26:E46)</f>
        <v>0</v>
      </c>
      <c r="F47" s="1168">
        <f ca="1">SUM(F26:F46)</f>
        <v>16800.000000000004</v>
      </c>
      <c r="G47" s="1180"/>
      <c r="I47" s="1175" t="s">
        <v>104</v>
      </c>
      <c r="J47" s="1168"/>
      <c r="K47" s="1182">
        <f ca="1">SUM(K26:K46)</f>
        <v>37500</v>
      </c>
      <c r="L47" s="1182">
        <f>SUM(L26:L46)</f>
        <v>12115.106954888193</v>
      </c>
      <c r="M47" s="1168">
        <f ca="1">SUM(M26:M46)</f>
        <v>49615.106954888193</v>
      </c>
      <c r="N47" s="1180"/>
      <c r="P47" s="1185" t="s">
        <v>691</v>
      </c>
      <c r="Q47" s="1193"/>
      <c r="R47" s="1708">
        <f>'A&amp;R'!P17/1000+('A&amp;R'!P19+'A&amp;R'!P26)/1000</f>
        <v>661.9695053999518</v>
      </c>
      <c r="S47" s="1680">
        <f t="shared" si="6"/>
        <v>2.2146855316157641E-3</v>
      </c>
      <c r="U47" s="1301">
        <f t="shared" si="7"/>
        <v>661969.50539995183</v>
      </c>
      <c r="W47" s="1301">
        <f>Q59</f>
        <v>24000</v>
      </c>
      <c r="X47" s="1718">
        <f t="shared" si="8"/>
        <v>8.0294412847106061E-2</v>
      </c>
      <c r="Z47" s="1185" t="s">
        <v>587</v>
      </c>
      <c r="AA47" s="1708">
        <f>'A&amp;R'!P26/100000</f>
        <v>2.3538477486795188</v>
      </c>
      <c r="AB47" s="1708" t="s">
        <v>2437</v>
      </c>
      <c r="AC47" s="2748">
        <f>SUM(W47:W50)/100</f>
        <v>988</v>
      </c>
    </row>
    <row r="48" spans="2:29" ht="11.25" customHeight="1">
      <c r="B48" s="1175" t="s">
        <v>663</v>
      </c>
      <c r="C48" s="2800">
        <f>'A&amp;R'!G64/1000</f>
        <v>24000</v>
      </c>
      <c r="D48" s="2801"/>
      <c r="E48" s="2801"/>
      <c r="F48" s="2801"/>
      <c r="G48" s="2801"/>
      <c r="I48" s="1175" t="s">
        <v>663</v>
      </c>
      <c r="J48" s="2800">
        <f>'A&amp;R'!K64/1000</f>
        <v>50000</v>
      </c>
      <c r="K48" s="2801"/>
      <c r="L48" s="2801"/>
      <c r="M48" s="2801"/>
      <c r="N48" s="2801"/>
      <c r="P48" s="1185" t="s">
        <v>179</v>
      </c>
      <c r="Q48" s="1193"/>
      <c r="R48" s="1708">
        <f>'A&amp;R'!P24/1000</f>
        <v>4390</v>
      </c>
      <c r="S48" s="1680">
        <f t="shared" si="6"/>
        <v>1.4687186349949819E-2</v>
      </c>
      <c r="U48" s="1301">
        <f t="shared" si="7"/>
        <v>4390000</v>
      </c>
      <c r="W48" s="1301">
        <f>'A&amp;R'!T19/1000</f>
        <v>50000</v>
      </c>
      <c r="X48" s="1718">
        <f t="shared" si="8"/>
        <v>0.16728002676480427</v>
      </c>
      <c r="Z48" s="1185" t="s">
        <v>2438</v>
      </c>
      <c r="AA48" s="1708">
        <f>R49/100</f>
        <v>100</v>
      </c>
      <c r="AB48" s="1708"/>
      <c r="AC48" s="2748"/>
    </row>
    <row r="49" spans="2:29" ht="11.25" customHeight="1">
      <c r="B49" s="1175" t="s">
        <v>664</v>
      </c>
      <c r="C49" s="2802">
        <f ca="1">'A&amp;R'!G65</f>
        <v>7.0000000000000021E-2</v>
      </c>
      <c r="D49" s="2803"/>
      <c r="E49" s="2803"/>
      <c r="F49" s="2803"/>
      <c r="G49" s="2803"/>
      <c r="I49" s="1175" t="s">
        <v>664</v>
      </c>
      <c r="J49" s="2802">
        <f ca="1">'A&amp;R'!K65</f>
        <v>7.5000000000000011E-2</v>
      </c>
      <c r="K49" s="2803"/>
      <c r="L49" s="2803"/>
      <c r="M49" s="2803"/>
      <c r="N49" s="2803"/>
      <c r="P49" s="1185" t="s">
        <v>177</v>
      </c>
      <c r="Q49" s="1193"/>
      <c r="R49" s="1708">
        <f>(+'A&amp;R'!T12)/1000</f>
        <v>10000</v>
      </c>
      <c r="S49" s="1680">
        <f t="shared" si="6"/>
        <v>3.3456005352960866E-2</v>
      </c>
      <c r="U49" s="1301">
        <f t="shared" si="7"/>
        <v>10000000</v>
      </c>
      <c r="W49" s="1301">
        <f>'A&amp;R'!T20/1000</f>
        <v>10000</v>
      </c>
      <c r="X49" s="1718">
        <f t="shared" si="8"/>
        <v>3.3456005352960859E-2</v>
      </c>
      <c r="Z49" s="1185" t="s">
        <v>59</v>
      </c>
      <c r="AA49" s="1708">
        <f>R50/100</f>
        <v>2988.9999999999995</v>
      </c>
      <c r="AB49" s="1708" t="s">
        <v>59</v>
      </c>
      <c r="AC49" s="2748">
        <f>SUM(AC44:AC48)</f>
        <v>2989</v>
      </c>
    </row>
    <row r="50" spans="2:29" ht="11.25" customHeight="1" thickBot="1">
      <c r="B50" s="1175" t="s">
        <v>665</v>
      </c>
      <c r="C50" s="2804">
        <f ca="1">'A&amp;R'!G68</f>
        <v>7.122499999999965E-2</v>
      </c>
      <c r="D50" s="2805"/>
      <c r="E50" s="2805"/>
      <c r="F50" s="2805"/>
      <c r="G50" s="2805"/>
      <c r="I50" s="1175" t="s">
        <v>665</v>
      </c>
      <c r="J50" s="2804">
        <f ca="1">'A&amp;R'!K68</f>
        <v>9.2431551034658277E-2</v>
      </c>
      <c r="K50" s="2805"/>
      <c r="L50" s="2805"/>
      <c r="M50" s="2805"/>
      <c r="N50" s="2805"/>
      <c r="P50" s="1187" t="s">
        <v>104</v>
      </c>
      <c r="Q50" s="1194"/>
      <c r="R50" s="1709">
        <f>SUM(R44:R49)</f>
        <v>298899.99999999994</v>
      </c>
      <c r="S50" s="1681">
        <f>SUM(S44:S49)</f>
        <v>1</v>
      </c>
      <c r="W50" s="1301">
        <f>Q62</f>
        <v>14800</v>
      </c>
      <c r="X50" s="1718">
        <f t="shared" si="8"/>
        <v>4.9514887922382067E-2</v>
      </c>
    </row>
    <row r="51" spans="2:29" ht="11.25" customHeight="1" thickBot="1">
      <c r="B51" s="1176" t="s">
        <v>666</v>
      </c>
      <c r="C51" s="2798">
        <f ca="1">'A&amp;R'!G69</f>
        <v>1.7</v>
      </c>
      <c r="D51" s="2799"/>
      <c r="E51" s="2799"/>
      <c r="F51" s="2799"/>
      <c r="G51" s="2799"/>
      <c r="I51" s="1176" t="s">
        <v>666</v>
      </c>
      <c r="J51" s="2798">
        <f ca="1">'A&amp;R'!K69</f>
        <v>1.992302139097764</v>
      </c>
      <c r="K51" s="2799"/>
      <c r="L51" s="2799"/>
      <c r="M51" s="2799"/>
      <c r="N51" s="2799"/>
      <c r="W51" s="1301">
        <f>SUM(W44:W50)</f>
        <v>298900</v>
      </c>
      <c r="X51" s="1718">
        <f>SUM(X44:X50)</f>
        <v>1</v>
      </c>
    </row>
    <row r="53" spans="2:29" ht="11.25" customHeight="1" thickBot="1">
      <c r="J53" s="1339">
        <v>0.5</v>
      </c>
      <c r="N53" s="1338">
        <f>J48*J53</f>
        <v>25000</v>
      </c>
    </row>
    <row r="54" spans="2:29" ht="11.25" customHeight="1">
      <c r="P54" s="1177" t="s">
        <v>620</v>
      </c>
      <c r="Q54" s="1178" t="s">
        <v>25</v>
      </c>
      <c r="R54" s="1178" t="s">
        <v>208</v>
      </c>
      <c r="S54" s="1178" t="s">
        <v>209</v>
      </c>
      <c r="T54" s="1178" t="s">
        <v>684</v>
      </c>
      <c r="U54" s="1178" t="s">
        <v>685</v>
      </c>
      <c r="V54" s="1178" t="s">
        <v>686</v>
      </c>
      <c r="W54" s="1179" t="s">
        <v>264</v>
      </c>
    </row>
    <row r="55" spans="2:29" ht="11.25" customHeight="1">
      <c r="P55" s="1185" t="s">
        <v>687</v>
      </c>
      <c r="Q55" s="1710">
        <f>'A&amp;R'!P31/1000</f>
        <v>2100</v>
      </c>
      <c r="R55" s="1195" t="s">
        <v>509</v>
      </c>
      <c r="S55" s="1195" t="s">
        <v>509</v>
      </c>
      <c r="T55" s="1195" t="s">
        <v>509</v>
      </c>
      <c r="U55" s="1195" t="s">
        <v>509</v>
      </c>
      <c r="V55" s="1195" t="s">
        <v>509</v>
      </c>
      <c r="W55" s="1196" t="s">
        <v>690</v>
      </c>
    </row>
    <row r="56" spans="2:29" ht="11.25" customHeight="1">
      <c r="P56" s="1185" t="s">
        <v>688</v>
      </c>
      <c r="Q56" s="1708">
        <f>'A&amp;R'!P32/1000</f>
        <v>160000</v>
      </c>
      <c r="R56" s="1227">
        <f>'A&amp;R'!M32</f>
        <v>46326</v>
      </c>
      <c r="S56" s="1227">
        <f>'A&amp;R'!N32</f>
        <v>47057</v>
      </c>
      <c r="T56" s="1216">
        <f>'A&amp;R'!Q32</f>
        <v>4.7750000000000001E-2</v>
      </c>
      <c r="U56" s="1216">
        <f>'A&amp;R'!R32</f>
        <v>1.4500000000000001E-2</v>
      </c>
      <c r="V56" s="1216">
        <f>'A&amp;R'!S32</f>
        <v>5.5E-2</v>
      </c>
      <c r="W56" s="1226">
        <f>'A&amp;R'!T32</f>
        <v>0.48460388639760837</v>
      </c>
    </row>
    <row r="57" spans="2:29" ht="11.25" customHeight="1" thickBot="1">
      <c r="P57" s="1185" t="s">
        <v>689</v>
      </c>
      <c r="Q57" s="1708">
        <f>'A&amp;R'!P35/1000</f>
        <v>38000</v>
      </c>
      <c r="R57" s="1227">
        <f>'A&amp;R'!M35</f>
        <v>46326</v>
      </c>
      <c r="S57" s="1227">
        <f>'A&amp;R'!N35</f>
        <v>47057</v>
      </c>
      <c r="T57" s="1216">
        <f>'A&amp;R'!Q35</f>
        <v>0.06</v>
      </c>
      <c r="U57" s="1216">
        <f>'A&amp;R'!R35</f>
        <v>0.01</v>
      </c>
      <c r="V57" s="1216">
        <f>'A&amp;R'!S35</f>
        <v>6.5000000000000002E-2</v>
      </c>
      <c r="W57" s="1226">
        <f>'A&amp;R'!T35</f>
        <v>0.59820627802690585</v>
      </c>
    </row>
    <row r="58" spans="2:29" ht="11.25" customHeight="1" thickTop="1">
      <c r="P58" s="1219" t="s">
        <v>620</v>
      </c>
      <c r="Q58" s="1220" t="s">
        <v>25</v>
      </c>
      <c r="R58" s="1220" t="s">
        <v>208</v>
      </c>
      <c r="S58" s="1220" t="s">
        <v>209</v>
      </c>
      <c r="T58" s="1220" t="s">
        <v>692</v>
      </c>
      <c r="U58" s="1220" t="s">
        <v>693</v>
      </c>
      <c r="V58" s="1220" t="s">
        <v>694</v>
      </c>
      <c r="W58" s="1221" t="s">
        <v>243</v>
      </c>
    </row>
    <row r="59" spans="2:29" ht="11.25" customHeight="1" thickBot="1">
      <c r="P59" s="1185" t="s">
        <v>1082</v>
      </c>
      <c r="Q59" s="1710">
        <f>'A&amp;R'!P41/1000</f>
        <v>24000</v>
      </c>
      <c r="R59" s="1230">
        <f>'A&amp;R'!M41</f>
        <v>46326</v>
      </c>
      <c r="S59" s="1230">
        <f>'A&amp;R'!N41</f>
        <v>49979</v>
      </c>
      <c r="T59" s="1205">
        <f>'A&amp;R'!S41</f>
        <v>7.0000000000000007E-2</v>
      </c>
      <c r="U59" s="1205">
        <f>'A&amp;R'!T41</f>
        <v>0</v>
      </c>
      <c r="V59" s="1205">
        <f ca="1">'A&amp;R'!G68</f>
        <v>7.122499999999965E-2</v>
      </c>
      <c r="W59" s="1217">
        <f>'A&amp;R'!R41</f>
        <v>0.24291497975708501</v>
      </c>
    </row>
    <row r="60" spans="2:29" ht="11.25" customHeight="1">
      <c r="B60" s="1177" t="s">
        <v>24</v>
      </c>
      <c r="C60" s="1178" t="s">
        <v>484</v>
      </c>
      <c r="D60" s="1178" t="s">
        <v>796</v>
      </c>
      <c r="E60" s="1178" t="s">
        <v>799</v>
      </c>
      <c r="P60" s="1185" t="s">
        <v>1083</v>
      </c>
      <c r="Q60" s="1710">
        <f>'A&amp;R'!P42/1000</f>
        <v>50000</v>
      </c>
      <c r="R60" s="1230">
        <f>'A&amp;R'!M42</f>
        <v>46326</v>
      </c>
      <c r="S60" s="1230">
        <f>'A&amp;R'!N42</f>
        <v>49979</v>
      </c>
      <c r="T60" s="1205">
        <f>'A&amp;R'!S42</f>
        <v>7.4999999999999997E-2</v>
      </c>
      <c r="U60" s="1205">
        <f>'A&amp;R'!T42</f>
        <v>0.2</v>
      </c>
      <c r="V60" s="1205">
        <f ca="1">'A&amp;R'!K68</f>
        <v>9.2431551034658277E-2</v>
      </c>
      <c r="W60" s="1217">
        <f>'A&amp;R'!R42</f>
        <v>0.50607287449392713</v>
      </c>
    </row>
    <row r="61" spans="2:29" ht="11.25" customHeight="1">
      <c r="B61" s="1183"/>
      <c r="C61" s="1166"/>
      <c r="D61" s="1181"/>
      <c r="E61" s="1181"/>
      <c r="P61" s="1185" t="s">
        <v>1087</v>
      </c>
      <c r="Q61" s="1710">
        <f>'A&amp;R'!P43/1000</f>
        <v>10000</v>
      </c>
      <c r="R61" s="1230">
        <f>'A&amp;R'!M43</f>
        <v>46326</v>
      </c>
      <c r="S61" s="1230">
        <f>'A&amp;R'!N43</f>
        <v>47057</v>
      </c>
      <c r="T61" s="1205">
        <f>'A&amp;R'!S43</f>
        <v>0</v>
      </c>
      <c r="U61" s="1205">
        <f>'A&amp;R'!T43</f>
        <v>0</v>
      </c>
      <c r="V61" s="1205">
        <f>'A&amp;R'!G98</f>
        <v>0</v>
      </c>
      <c r="W61" s="1217">
        <f>'A&amp;R'!R43</f>
        <v>0.10121457489878542</v>
      </c>
    </row>
    <row r="62" spans="2:29" ht="11.25" customHeight="1">
      <c r="B62" s="1183" t="s">
        <v>485</v>
      </c>
      <c r="C62" s="1166">
        <f>MIN(C64:C73)</f>
        <v>9076.1890386719206</v>
      </c>
      <c r="D62" s="1181">
        <f>MIN(D64:D73)</f>
        <v>7640</v>
      </c>
      <c r="E62" s="1403">
        <f>MIN(E64:E73)</f>
        <v>7.9396798401725185E-2</v>
      </c>
      <c r="P62" s="1208" t="s">
        <v>225</v>
      </c>
      <c r="Q62" s="1711">
        <f>'A&amp;R'!P44/1000</f>
        <v>14800</v>
      </c>
      <c r="R62" s="1231">
        <f>'A&amp;R'!M44</f>
        <v>46326</v>
      </c>
      <c r="S62" s="1231">
        <f>'A&amp;R'!N44</f>
        <v>49979</v>
      </c>
      <c r="T62" s="1222" t="s">
        <v>695</v>
      </c>
      <c r="U62" s="1222">
        <f>'A&amp;R'!T44</f>
        <v>0.8</v>
      </c>
      <c r="V62" s="1222">
        <f ca="1">'A&amp;R'!K98</f>
        <v>0.16438586395039967</v>
      </c>
      <c r="W62" s="1218">
        <f>'A&amp;R'!R44</f>
        <v>0.14979757085020243</v>
      </c>
    </row>
    <row r="63" spans="2:29" ht="11.25" customHeight="1">
      <c r="B63" s="1183" t="s">
        <v>486</v>
      </c>
      <c r="C63" s="1166">
        <f>AVERAGE(C64:C73)</f>
        <v>15020.48678005458</v>
      </c>
      <c r="D63" s="1181">
        <f>AVERAGE(D64:D73)</f>
        <v>30687.7</v>
      </c>
      <c r="E63" s="1403">
        <f>AVERAGE(E64:E73)</f>
        <v>1.4351333779413249</v>
      </c>
      <c r="P63" s="1208" t="s">
        <v>1039</v>
      </c>
      <c r="Q63" s="1711">
        <f>'A&amp;R'!P45/1000</f>
        <v>0</v>
      </c>
      <c r="R63" s="1231">
        <f>'A&amp;R'!M45</f>
        <v>46326</v>
      </c>
      <c r="S63" s="1231">
        <f>'A&amp;R'!N45</f>
        <v>47057</v>
      </c>
      <c r="T63" s="1222" t="s">
        <v>1038</v>
      </c>
      <c r="U63" s="1222" t="s">
        <v>1037</v>
      </c>
      <c r="V63" s="1222" t="s">
        <v>1037</v>
      </c>
      <c r="W63" s="1218"/>
    </row>
    <row r="64" spans="2:29" ht="11.25" customHeight="1">
      <c r="B64" s="1402">
        <f>'A&amp;R'!Z67</f>
        <v>1</v>
      </c>
      <c r="C64" s="1166">
        <f>'A&amp;R'!Z68</f>
        <v>13105.364981746541</v>
      </c>
      <c r="D64" s="1181">
        <f>'A&amp;R'!Z70</f>
        <v>7640</v>
      </c>
      <c r="E64" s="1403">
        <f t="shared" ref="E64:E73" si="9">IFERROR(C64/D64,)</f>
        <v>1.7153619086055683</v>
      </c>
    </row>
    <row r="65" spans="2:35" ht="11.25" customHeight="1" thickBot="1">
      <c r="B65" s="1402">
        <f t="shared" ref="B65:B73" si="10">B64+1</f>
        <v>2</v>
      </c>
      <c r="C65" s="1166">
        <f>'A&amp;R'!AA68</f>
        <v>13461.7863858647</v>
      </c>
      <c r="D65" s="1181">
        <f>'A&amp;R'!AA70</f>
        <v>7640</v>
      </c>
      <c r="E65" s="1403">
        <f t="shared" si="9"/>
        <v>1.7620139248514004</v>
      </c>
    </row>
    <row r="66" spans="2:35" ht="11.25" customHeight="1">
      <c r="B66" s="1402">
        <f t="shared" si="10"/>
        <v>3</v>
      </c>
      <c r="C66" s="1166">
        <f>'A&amp;R'!AB68</f>
        <v>9076.1890386719206</v>
      </c>
      <c r="D66" s="1181">
        <f>'A&amp;R'!AB70</f>
        <v>10224</v>
      </c>
      <c r="E66" s="1403">
        <f t="shared" si="9"/>
        <v>0.8877336696666589</v>
      </c>
      <c r="P66" s="1177" t="s">
        <v>620</v>
      </c>
      <c r="Q66" s="1178" t="s">
        <v>25</v>
      </c>
      <c r="R66" s="1178" t="s">
        <v>208</v>
      </c>
      <c r="S66" s="1178" t="s">
        <v>209</v>
      </c>
      <c r="T66" s="1178" t="s">
        <v>684</v>
      </c>
      <c r="U66" s="1178" t="s">
        <v>685</v>
      </c>
      <c r="V66" s="1178" t="s">
        <v>686</v>
      </c>
      <c r="W66" s="1179" t="s">
        <v>264</v>
      </c>
    </row>
    <row r="67" spans="2:35" ht="11.25" customHeight="1">
      <c r="B67" s="1402">
        <f t="shared" si="10"/>
        <v>4</v>
      </c>
      <c r="C67" s="1166">
        <f>'A&amp;R'!AC68</f>
        <v>15215.117979256875</v>
      </c>
      <c r="D67" s="1181">
        <f>'A&amp;R'!AC70</f>
        <v>10224</v>
      </c>
      <c r="E67" s="1403">
        <f t="shared" si="9"/>
        <v>1.4881766411636224</v>
      </c>
      <c r="P67" s="1185" t="s">
        <v>688</v>
      </c>
      <c r="Q67" s="1708">
        <f>'A&amp;R'!P33/1000</f>
        <v>213000</v>
      </c>
      <c r="R67" s="1227">
        <f>'A&amp;R'!M33</f>
        <v>47057</v>
      </c>
      <c r="S67" s="1227">
        <f>'A&amp;R'!N33</f>
        <v>48152</v>
      </c>
      <c r="T67" s="1216">
        <f>'A&amp;R'!Q33</f>
        <v>4.8000000000000001E-2</v>
      </c>
      <c r="U67" s="1216">
        <f>'A&amp;R'!R33</f>
        <v>0</v>
      </c>
      <c r="V67" s="1216">
        <f>'A&amp;R'!S33</f>
        <v>4.8000000000000001E-2</v>
      </c>
      <c r="W67" s="1226">
        <f>'A&amp;R'!T33</f>
        <v>0.61807893824900051</v>
      </c>
    </row>
    <row r="68" spans="2:35" ht="11.25" customHeight="1" thickBot="1">
      <c r="B68" s="1402">
        <f t="shared" si="10"/>
        <v>5</v>
      </c>
      <c r="C68" s="1166">
        <f>'A&amp;R'!AD68</f>
        <v>15697.676364089473</v>
      </c>
      <c r="D68" s="1181">
        <f>'A&amp;R'!AD70</f>
        <v>10224</v>
      </c>
      <c r="E68" s="1403">
        <f t="shared" si="9"/>
        <v>1.5353752312294087</v>
      </c>
      <c r="P68" s="1187" t="s">
        <v>689</v>
      </c>
      <c r="Q68" s="1709">
        <f>'A&amp;R'!P36/1000</f>
        <v>0</v>
      </c>
      <c r="R68" s="1229">
        <f>'A&amp;R'!M36</f>
        <v>47057</v>
      </c>
      <c r="S68" s="1229">
        <f>'A&amp;R'!N36</f>
        <v>48152</v>
      </c>
      <c r="T68" s="1223">
        <f>'A&amp;R'!Q36</f>
        <v>5.7000000000000002E-2</v>
      </c>
      <c r="U68" s="1223">
        <f>'A&amp;R'!R36</f>
        <v>0</v>
      </c>
      <c r="V68" s="1223">
        <f>'A&amp;R'!S36</f>
        <v>5.7000000000000002E-2</v>
      </c>
      <c r="W68" s="1232">
        <f>'A&amp;R'!T36</f>
        <v>0.61807893824900051</v>
      </c>
    </row>
    <row r="69" spans="2:35" ht="11.25" customHeight="1">
      <c r="B69" s="1402">
        <f t="shared" si="10"/>
        <v>6</v>
      </c>
      <c r="C69" s="1166">
        <f>'A&amp;R'!AE68</f>
        <v>16136.820383685998</v>
      </c>
      <c r="D69" s="1181">
        <f>'A&amp;R'!AE70</f>
        <v>9585</v>
      </c>
      <c r="E69" s="1403">
        <f t="shared" si="9"/>
        <v>1.683549335804486</v>
      </c>
    </row>
    <row r="70" spans="2:35" ht="11.25" customHeight="1">
      <c r="B70" s="1402">
        <f t="shared" si="10"/>
        <v>7</v>
      </c>
      <c r="C70" s="1166">
        <f>'A&amp;R'!AF68</f>
        <v>16586.222341373079</v>
      </c>
      <c r="D70" s="1181">
        <f>'A&amp;R'!AF70</f>
        <v>9585</v>
      </c>
      <c r="E70" s="1403">
        <f t="shared" si="9"/>
        <v>1.7304352990477911</v>
      </c>
    </row>
    <row r="71" spans="2:35" ht="11.25" customHeight="1">
      <c r="B71" s="1402">
        <f t="shared" si="10"/>
        <v>8</v>
      </c>
      <c r="C71" s="1166">
        <f>'A&amp;R'!AG68</f>
        <v>16147.668438126142</v>
      </c>
      <c r="D71" s="1181">
        <f>'A&amp;R'!AG70</f>
        <v>9585</v>
      </c>
      <c r="E71" s="1403">
        <f t="shared" si="9"/>
        <v>1.6846811098723153</v>
      </c>
    </row>
    <row r="72" spans="2:35" ht="11.25" customHeight="1">
      <c r="B72" s="1402">
        <f t="shared" si="10"/>
        <v>9</v>
      </c>
      <c r="C72" s="1166">
        <f>'A&amp;R'!AH68</f>
        <v>17105.485515483077</v>
      </c>
      <c r="D72" s="1181">
        <f>'A&amp;R'!AH70</f>
        <v>9585</v>
      </c>
      <c r="E72" s="1403">
        <f t="shared" si="9"/>
        <v>1.7846098607702741</v>
      </c>
    </row>
    <row r="73" spans="2:35" ht="11.25" customHeight="1">
      <c r="B73" s="1402">
        <f t="shared" si="10"/>
        <v>10</v>
      </c>
      <c r="C73" s="1166">
        <f>'A&amp;R'!AI68</f>
        <v>17672.536372248</v>
      </c>
      <c r="D73" s="1181">
        <f>'A&amp;R'!AI70</f>
        <v>222585</v>
      </c>
      <c r="E73" s="1403">
        <f t="shared" si="9"/>
        <v>7.9396798401725185E-2</v>
      </c>
    </row>
    <row r="76" spans="2:35" ht="11.25" customHeight="1" thickBot="1">
      <c r="P76" s="2471" t="s">
        <v>1649</v>
      </c>
      <c r="W76" s="2471" t="s">
        <v>1660</v>
      </c>
      <c r="AD76" s="2471" t="s">
        <v>1661</v>
      </c>
    </row>
    <row r="77" spans="2:35" ht="11.25" customHeight="1">
      <c r="B77" s="1177" t="s">
        <v>620</v>
      </c>
      <c r="C77" s="1178" t="s">
        <v>259</v>
      </c>
      <c r="D77" s="1178" t="s">
        <v>261</v>
      </c>
      <c r="E77" s="1178" t="s">
        <v>667</v>
      </c>
      <c r="F77" s="1178" t="s">
        <v>59</v>
      </c>
      <c r="G77" s="1179" t="s">
        <v>263</v>
      </c>
      <c r="I77" s="1177" t="s">
        <v>620</v>
      </c>
      <c r="J77" s="1178" t="s">
        <v>259</v>
      </c>
      <c r="K77" s="1178" t="s">
        <v>261</v>
      </c>
      <c r="L77" s="1178" t="s">
        <v>667</v>
      </c>
      <c r="M77" s="1178" t="s">
        <v>59</v>
      </c>
      <c r="N77" s="1179" t="s">
        <v>263</v>
      </c>
      <c r="P77" s="1177" t="str">
        <f t="shared" ref="P77:U77" si="11">W77</f>
        <v>구분</v>
      </c>
      <c r="Q77" s="1178" t="str">
        <f t="shared" si="11"/>
        <v>투자잔액</v>
      </c>
      <c r="R77" s="1178" t="str">
        <f t="shared" si="11"/>
        <v>운영배당</v>
      </c>
      <c r="S77" s="1178" t="str">
        <f t="shared" si="11"/>
        <v>C.G</v>
      </c>
      <c r="T77" s="1178" t="str">
        <f t="shared" si="11"/>
        <v>합계</v>
      </c>
      <c r="U77" s="1179" t="str">
        <f t="shared" si="11"/>
        <v>Yield(%)</v>
      </c>
      <c r="W77" s="1177" t="str">
        <f t="shared" ref="W77:AB77" si="12">I77</f>
        <v>구분</v>
      </c>
      <c r="X77" s="1178" t="str">
        <f t="shared" si="12"/>
        <v>투자잔액</v>
      </c>
      <c r="Y77" s="1178" t="str">
        <f t="shared" si="12"/>
        <v>운영배당</v>
      </c>
      <c r="Z77" s="1178" t="str">
        <f t="shared" si="12"/>
        <v>C.G</v>
      </c>
      <c r="AA77" s="1178" t="str">
        <f t="shared" si="12"/>
        <v>합계</v>
      </c>
      <c r="AB77" s="1179" t="str">
        <f t="shared" si="12"/>
        <v>Yield(%)</v>
      </c>
      <c r="AD77" s="1177" t="str">
        <f t="shared" ref="AD77:AI77" si="13">P77</f>
        <v>구분</v>
      </c>
      <c r="AE77" s="1178" t="str">
        <f t="shared" si="13"/>
        <v>투자잔액</v>
      </c>
      <c r="AF77" s="1178" t="str">
        <f t="shared" si="13"/>
        <v>운영배당</v>
      </c>
      <c r="AG77" s="1178" t="str">
        <f t="shared" si="13"/>
        <v>C.G</v>
      </c>
      <c r="AH77" s="1178" t="str">
        <f t="shared" si="13"/>
        <v>합계</v>
      </c>
      <c r="AI77" s="1179" t="str">
        <f t="shared" si="13"/>
        <v>Yield(%)</v>
      </c>
    </row>
    <row r="78" spans="2:35" ht="11.25" customHeight="1">
      <c r="B78" s="1183">
        <f t="shared" ref="B78:B98" si="14">B26</f>
        <v>0</v>
      </c>
      <c r="C78" s="1166">
        <f>'A&amp;R'!D72/1000</f>
        <v>0</v>
      </c>
      <c r="D78" s="1181">
        <f ca="1">'A&amp;R'!E72</f>
        <v>0</v>
      </c>
      <c r="E78" s="1181">
        <f>'A&amp;R'!F72</f>
        <v>0</v>
      </c>
      <c r="F78" s="1166">
        <f t="shared" ref="F78:F98" ca="1" si="15">SUM(D78:E78)</f>
        <v>0</v>
      </c>
      <c r="G78" s="1184">
        <f>'A&amp;R'!G72</f>
        <v>0</v>
      </c>
      <c r="I78" s="1183">
        <f t="shared" ref="I78:I98" si="16">I26</f>
        <v>0</v>
      </c>
      <c r="J78" s="1166">
        <f>'A&amp;R'!H72/1000</f>
        <v>0</v>
      </c>
      <c r="K78" s="1181">
        <f ca="1">'A&amp;R'!I72/1000</f>
        <v>0</v>
      </c>
      <c r="L78" s="1181">
        <f>'A&amp;R'!J72/1000</f>
        <v>0</v>
      </c>
      <c r="M78" s="1166">
        <f t="shared" ref="M78:M98" ca="1" si="17">SUM(K78:L78)</f>
        <v>0</v>
      </c>
      <c r="N78" s="1184">
        <f>'A&amp;R'!K72</f>
        <v>0</v>
      </c>
      <c r="P78" s="1183">
        <f t="shared" ref="P78:P104" si="18">W78</f>
        <v>0</v>
      </c>
      <c r="Q78" s="1166">
        <f>'Report-sj'!J349</f>
        <v>0</v>
      </c>
      <c r="R78" s="1181">
        <f>'Report-sj'!F349</f>
        <v>0</v>
      </c>
      <c r="S78" s="1181">
        <f>'Report-sj'!G349</f>
        <v>0</v>
      </c>
      <c r="T78" s="1166">
        <f t="shared" ref="T78:T98" si="19">SUM(R78:S78)</f>
        <v>0</v>
      </c>
      <c r="U78" s="1184">
        <f>IFERROR(SUM(R78:S78)/Q78*(12/6),)</f>
        <v>0</v>
      </c>
      <c r="W78" s="1183">
        <f t="shared" ref="W78:W101" si="20">I78</f>
        <v>0</v>
      </c>
      <c r="X78" s="1166">
        <f>'Report-sj'!J375</f>
        <v>0</v>
      </c>
      <c r="Y78" s="1181">
        <f>'Report-sj'!F375</f>
        <v>0</v>
      </c>
      <c r="Z78" s="1181">
        <f>'Report-sj'!G375</f>
        <v>0</v>
      </c>
      <c r="AA78" s="1166">
        <f t="shared" ref="AA78:AA98" si="21">SUM(Y78:Z78)</f>
        <v>0</v>
      </c>
      <c r="AB78" s="1184">
        <f>IFERROR(SUM(Y78:Z78)/X78*(12/6),)</f>
        <v>0</v>
      </c>
      <c r="AD78" s="1183">
        <f t="shared" ref="AD78:AD100" si="22">P78</f>
        <v>0</v>
      </c>
      <c r="AE78" s="1166">
        <f>'Report-sj'!J402</f>
        <v>0</v>
      </c>
      <c r="AF78" s="1181">
        <f>'Report-sj'!F402</f>
        <v>0</v>
      </c>
      <c r="AG78" s="1181">
        <f>'Report-sj'!G402</f>
        <v>0</v>
      </c>
      <c r="AH78" s="1166">
        <f t="shared" ref="AH78:AH98" si="23">SUM(AF78:AG78)</f>
        <v>0</v>
      </c>
      <c r="AI78" s="1184">
        <f>IFERROR(SUM(AF78:AG78)/AE78*(12/6),)</f>
        <v>0</v>
      </c>
    </row>
    <row r="79" spans="2:35" ht="11.25" customHeight="1">
      <c r="B79" s="1183">
        <f t="shared" si="14"/>
        <v>1</v>
      </c>
      <c r="C79" s="1166">
        <f>'A&amp;R'!D73/1000</f>
        <v>10000</v>
      </c>
      <c r="D79" s="1181">
        <f>'A&amp;R'!E73</f>
        <v>0</v>
      </c>
      <c r="E79" s="1181">
        <f>'A&amp;R'!F73</f>
        <v>0</v>
      </c>
      <c r="F79" s="1166">
        <f t="shared" si="15"/>
        <v>0</v>
      </c>
      <c r="G79" s="1184">
        <f>'A&amp;R'!G73</f>
        <v>0</v>
      </c>
      <c r="I79" s="1183">
        <f t="shared" si="16"/>
        <v>1</v>
      </c>
      <c r="J79" s="1166">
        <f>'A&amp;R'!H73/1000</f>
        <v>14800</v>
      </c>
      <c r="K79" s="1181">
        <f ca="1">'A&amp;R'!I73/1000</f>
        <v>555</v>
      </c>
      <c r="L79" s="1181">
        <f>'A&amp;R'!J73/1000</f>
        <v>0</v>
      </c>
      <c r="M79" s="1166">
        <f t="shared" ca="1" si="17"/>
        <v>555</v>
      </c>
      <c r="N79" s="1184">
        <f ca="1">'A&amp;R'!K73</f>
        <v>7.4999999999999997E-2</v>
      </c>
      <c r="P79" s="1183">
        <f t="shared" si="18"/>
        <v>1</v>
      </c>
      <c r="Q79" s="1166">
        <f>'Report-sj'!J350</f>
        <v>98800</v>
      </c>
      <c r="R79" s="1181">
        <f ca="1">'Report-sj'!F350</f>
        <v>3270</v>
      </c>
      <c r="S79" s="1181">
        <f>'Report-sj'!G350</f>
        <v>0</v>
      </c>
      <c r="T79" s="1166">
        <f t="shared" ca="1" si="19"/>
        <v>3270</v>
      </c>
      <c r="U79" s="1184">
        <f t="shared" ref="U79:U98" ca="1" si="24">IFERROR(SUM(R79:S79)/Q79*(12/6),)</f>
        <v>6.6194331983805671E-2</v>
      </c>
      <c r="W79" s="1183">
        <f t="shared" si="20"/>
        <v>1</v>
      </c>
      <c r="X79" s="1166">
        <f>'Report-sj'!J376</f>
        <v>14800</v>
      </c>
      <c r="Y79" s="1181">
        <f ca="1">'Report-sj'!F376</f>
        <v>555</v>
      </c>
      <c r="Z79" s="1181">
        <f>'Report-sj'!G376</f>
        <v>0</v>
      </c>
      <c r="AA79" s="1166">
        <f t="shared" ca="1" si="21"/>
        <v>555</v>
      </c>
      <c r="AB79" s="1184">
        <f t="shared" ref="AB79:AB98" ca="1" si="25">IFERROR(SUM(Y79:Z79)/X79*(12/6),)</f>
        <v>7.4999999999999997E-2</v>
      </c>
      <c r="AD79" s="1183">
        <f t="shared" si="22"/>
        <v>1</v>
      </c>
      <c r="AE79" s="1166">
        <f>'Report-sj'!J403</f>
        <v>14800</v>
      </c>
      <c r="AF79" s="1181">
        <f ca="1">'Report-sj'!F403</f>
        <v>1032.1722237300191</v>
      </c>
      <c r="AG79" s="1181">
        <f>'Report-sj'!G403</f>
        <v>0</v>
      </c>
      <c r="AH79" s="1166">
        <f t="shared" ca="1" si="23"/>
        <v>1032.1722237300191</v>
      </c>
      <c r="AI79" s="1184">
        <f t="shared" ref="AI79:AI98" ca="1" si="26">IFERROR(SUM(AF79:AG79)/AE79*(12/6),)</f>
        <v>0.13948273293648908</v>
      </c>
    </row>
    <row r="80" spans="2:35" ht="11.25" customHeight="1">
      <c r="B80" s="1183">
        <f t="shared" si="14"/>
        <v>2</v>
      </c>
      <c r="C80" s="1166">
        <f>'A&amp;R'!D74/1000</f>
        <v>10000</v>
      </c>
      <c r="D80" s="1181">
        <f>'A&amp;R'!E74</f>
        <v>0</v>
      </c>
      <c r="E80" s="1181">
        <f>'A&amp;R'!F74</f>
        <v>0</v>
      </c>
      <c r="F80" s="1166">
        <f t="shared" si="15"/>
        <v>0</v>
      </c>
      <c r="G80" s="1184">
        <f>'A&amp;R'!G74</f>
        <v>0</v>
      </c>
      <c r="I80" s="1183">
        <f t="shared" si="16"/>
        <v>2</v>
      </c>
      <c r="J80" s="1166">
        <f>'A&amp;R'!H74/1000</f>
        <v>14800</v>
      </c>
      <c r="K80" s="1181">
        <f ca="1">'A&amp;R'!I74/1000</f>
        <v>555</v>
      </c>
      <c r="L80" s="1181">
        <f>'A&amp;R'!J74/1000</f>
        <v>0</v>
      </c>
      <c r="M80" s="1166">
        <f t="shared" ca="1" si="17"/>
        <v>555</v>
      </c>
      <c r="N80" s="1184">
        <f ca="1">'A&amp;R'!K74</f>
        <v>7.4999999999999997E-2</v>
      </c>
      <c r="P80" s="1183">
        <f t="shared" si="18"/>
        <v>2</v>
      </c>
      <c r="Q80" s="1166">
        <f>'Report-sj'!J351</f>
        <v>98800</v>
      </c>
      <c r="R80" s="1181">
        <f ca="1">'Report-sj'!F351</f>
        <v>3270</v>
      </c>
      <c r="S80" s="1181">
        <f>'Report-sj'!G351</f>
        <v>0</v>
      </c>
      <c r="T80" s="1166">
        <f t="shared" ca="1" si="19"/>
        <v>3270</v>
      </c>
      <c r="U80" s="1184">
        <f t="shared" ca="1" si="24"/>
        <v>6.6194331983805671E-2</v>
      </c>
      <c r="W80" s="1183">
        <f t="shared" si="20"/>
        <v>2</v>
      </c>
      <c r="X80" s="1166">
        <f>'Report-sj'!J377</f>
        <v>14800</v>
      </c>
      <c r="Y80" s="1181">
        <f ca="1">'Report-sj'!F377</f>
        <v>555</v>
      </c>
      <c r="Z80" s="1181">
        <f>'Report-sj'!G377</f>
        <v>0</v>
      </c>
      <c r="AA80" s="1166">
        <f t="shared" ca="1" si="21"/>
        <v>555</v>
      </c>
      <c r="AB80" s="1184">
        <f t="shared" ca="1" si="25"/>
        <v>7.4999999999999997E-2</v>
      </c>
      <c r="AD80" s="1183">
        <f t="shared" si="22"/>
        <v>2</v>
      </c>
      <c r="AE80" s="1166">
        <f>'Report-sj'!J404</f>
        <v>14800</v>
      </c>
      <c r="AF80" s="1181">
        <f ca="1">'Report-sj'!F404</f>
        <v>1567.8757446425211</v>
      </c>
      <c r="AG80" s="1181">
        <f>'Report-sj'!G404</f>
        <v>0</v>
      </c>
      <c r="AH80" s="1166">
        <f t="shared" ca="1" si="23"/>
        <v>1567.8757446425211</v>
      </c>
      <c r="AI80" s="1184">
        <f t="shared" ca="1" si="26"/>
        <v>0.21187510062736772</v>
      </c>
    </row>
    <row r="81" spans="2:35" ht="11.25" customHeight="1">
      <c r="B81" s="1183">
        <f t="shared" si="14"/>
        <v>3</v>
      </c>
      <c r="C81" s="1166">
        <f>'A&amp;R'!D75/1000</f>
        <v>10000</v>
      </c>
      <c r="D81" s="1181">
        <f>'A&amp;R'!E75</f>
        <v>0</v>
      </c>
      <c r="E81" s="1181">
        <f>'A&amp;R'!F75</f>
        <v>0</v>
      </c>
      <c r="F81" s="1166">
        <f t="shared" si="15"/>
        <v>0</v>
      </c>
      <c r="G81" s="1184">
        <f>'A&amp;R'!G75</f>
        <v>0</v>
      </c>
      <c r="I81" s="1183">
        <f t="shared" si="16"/>
        <v>3</v>
      </c>
      <c r="J81" s="1166">
        <f>'A&amp;R'!H75/1000</f>
        <v>14800</v>
      </c>
      <c r="K81" s="1181">
        <f ca="1">'A&amp;R'!I75/1000</f>
        <v>0</v>
      </c>
      <c r="L81" s="1181">
        <f>'A&amp;R'!J75/1000</f>
        <v>0</v>
      </c>
      <c r="M81" s="1166">
        <f t="shared" ca="1" si="17"/>
        <v>0</v>
      </c>
      <c r="N81" s="1184">
        <f ca="1">'A&amp;R'!K75</f>
        <v>0</v>
      </c>
      <c r="P81" s="1183">
        <f t="shared" si="18"/>
        <v>3</v>
      </c>
      <c r="Q81" s="1166">
        <f>'Report-sj'!J352</f>
        <v>98800</v>
      </c>
      <c r="R81" s="1181">
        <f ca="1">'Report-sj'!F352</f>
        <v>2715</v>
      </c>
      <c r="S81" s="1181">
        <f>'Report-sj'!G352</f>
        <v>0</v>
      </c>
      <c r="T81" s="1166">
        <f t="shared" ca="1" si="19"/>
        <v>2715</v>
      </c>
      <c r="U81" s="1184">
        <f t="shared" ca="1" si="24"/>
        <v>5.4959514170040483E-2</v>
      </c>
      <c r="W81" s="1183">
        <f t="shared" si="20"/>
        <v>3</v>
      </c>
      <c r="X81" s="1166">
        <f>'Report-sj'!J378</f>
        <v>65900</v>
      </c>
      <c r="Y81" s="1181">
        <f ca="1">'Report-sj'!F378</f>
        <v>1875</v>
      </c>
      <c r="Z81" s="1181">
        <f>'Report-sj'!G378</f>
        <v>0</v>
      </c>
      <c r="AA81" s="1166">
        <f t="shared" ca="1" si="21"/>
        <v>1875</v>
      </c>
      <c r="AB81" s="1184">
        <f t="shared" ca="1" si="25"/>
        <v>5.6904400606980272E-2</v>
      </c>
      <c r="AD81" s="1183">
        <f t="shared" si="22"/>
        <v>3</v>
      </c>
      <c r="AE81" s="1166">
        <f>'Report-sj'!J405</f>
        <v>65900</v>
      </c>
      <c r="AF81" s="1181">
        <f ca="1">'Report-sj'!F405</f>
        <v>1289.4331038831324</v>
      </c>
      <c r="AG81" s="1181">
        <f>'Report-sj'!G405</f>
        <v>0</v>
      </c>
      <c r="AH81" s="1166">
        <f t="shared" ca="1" si="23"/>
        <v>1289.4331038831324</v>
      </c>
      <c r="AI81" s="1184">
        <f t="shared" ca="1" si="26"/>
        <v>3.9133022879609479E-2</v>
      </c>
    </row>
    <row r="82" spans="2:35" ht="11.25" customHeight="1">
      <c r="B82" s="1183">
        <f t="shared" si="14"/>
        <v>4</v>
      </c>
      <c r="C82" s="1166">
        <f>'A&amp;R'!D76/1000</f>
        <v>10000</v>
      </c>
      <c r="D82" s="1181">
        <f>'A&amp;R'!E76</f>
        <v>0</v>
      </c>
      <c r="E82" s="1181">
        <f>'A&amp;R'!F76</f>
        <v>0</v>
      </c>
      <c r="F82" s="1166">
        <f t="shared" si="15"/>
        <v>0</v>
      </c>
      <c r="G82" s="1184">
        <f>'A&amp;R'!G76</f>
        <v>0</v>
      </c>
      <c r="I82" s="1183">
        <f t="shared" si="16"/>
        <v>4</v>
      </c>
      <c r="J82" s="1166">
        <f>'A&amp;R'!H76/1000</f>
        <v>14800</v>
      </c>
      <c r="K82" s="1181">
        <f ca="1">'A&amp;R'!I76/1000</f>
        <v>0</v>
      </c>
      <c r="L82" s="1181">
        <f>'A&amp;R'!J76/1000</f>
        <v>0</v>
      </c>
      <c r="M82" s="1166">
        <f t="shared" ca="1" si="17"/>
        <v>0</v>
      </c>
      <c r="N82" s="1184">
        <f ca="1">'A&amp;R'!K76</f>
        <v>0</v>
      </c>
      <c r="P82" s="1183">
        <f t="shared" si="18"/>
        <v>4</v>
      </c>
      <c r="Q82" s="1166">
        <f>'Report-sj'!J353</f>
        <v>98800</v>
      </c>
      <c r="R82" s="1181">
        <f ca="1">'Report-sj'!F353</f>
        <v>2715</v>
      </c>
      <c r="S82" s="1181">
        <f>'Report-sj'!G353</f>
        <v>0</v>
      </c>
      <c r="T82" s="1166">
        <f t="shared" ca="1" si="19"/>
        <v>2715</v>
      </c>
      <c r="U82" s="1184">
        <f t="shared" ca="1" si="24"/>
        <v>5.4959514170040483E-2</v>
      </c>
      <c r="W82" s="1183">
        <f t="shared" si="20"/>
        <v>4</v>
      </c>
      <c r="X82" s="1166">
        <f>'Report-sj'!J379</f>
        <v>65900</v>
      </c>
      <c r="Y82" s="1181">
        <f ca="1">'Report-sj'!F379</f>
        <v>1875</v>
      </c>
      <c r="Z82" s="1181">
        <f>'Report-sj'!G379</f>
        <v>0</v>
      </c>
      <c r="AA82" s="1166">
        <f t="shared" ca="1" si="21"/>
        <v>1875</v>
      </c>
      <c r="AB82" s="1184">
        <f t="shared" ca="1" si="25"/>
        <v>5.6904400606980272E-2</v>
      </c>
      <c r="AD82" s="1183">
        <f t="shared" si="22"/>
        <v>4</v>
      </c>
      <c r="AE82" s="1166">
        <f>'Report-sj'!J406</f>
        <v>65900</v>
      </c>
      <c r="AF82" s="1181">
        <f ca="1">'Report-sj'!F406</f>
        <v>1691.9902478144384</v>
      </c>
      <c r="AG82" s="1181">
        <f>'Report-sj'!G406</f>
        <v>0</v>
      </c>
      <c r="AH82" s="1166">
        <f t="shared" ca="1" si="23"/>
        <v>1691.9902478144384</v>
      </c>
      <c r="AI82" s="1184">
        <f t="shared" ca="1" si="26"/>
        <v>5.1350235138526205E-2</v>
      </c>
    </row>
    <row r="83" spans="2:35" ht="11.25" customHeight="1">
      <c r="B83" s="1183">
        <f t="shared" si="14"/>
        <v>5</v>
      </c>
      <c r="C83" s="1166">
        <f>'A&amp;R'!D77/1000</f>
        <v>0</v>
      </c>
      <c r="D83" s="1181">
        <f>'A&amp;R'!E77</f>
        <v>0</v>
      </c>
      <c r="E83" s="1181">
        <f>'A&amp;R'!F77</f>
        <v>0</v>
      </c>
      <c r="F83" s="1166">
        <f t="shared" si="15"/>
        <v>0</v>
      </c>
      <c r="G83" s="1184">
        <f>'A&amp;R'!G77</f>
        <v>0</v>
      </c>
      <c r="I83" s="1183">
        <f t="shared" si="16"/>
        <v>5</v>
      </c>
      <c r="J83" s="1166">
        <f>'A&amp;R'!H77/1000</f>
        <v>14800</v>
      </c>
      <c r="K83" s="1181">
        <f ca="1">'A&amp;R'!I77/1000</f>
        <v>0</v>
      </c>
      <c r="L83" s="1181">
        <f>'A&amp;R'!J77/1000</f>
        <v>0</v>
      </c>
      <c r="M83" s="1166">
        <f t="shared" ca="1" si="17"/>
        <v>0</v>
      </c>
      <c r="N83" s="1184">
        <f ca="1">'A&amp;R'!K77</f>
        <v>0</v>
      </c>
      <c r="P83" s="1183">
        <f t="shared" si="18"/>
        <v>5</v>
      </c>
      <c r="Q83" s="1166">
        <f>'Report-sj'!J354</f>
        <v>88800</v>
      </c>
      <c r="R83" s="1181">
        <f ca="1">'Report-sj'!F354</f>
        <v>2715</v>
      </c>
      <c r="S83" s="1181">
        <f>'Report-sj'!G354</f>
        <v>0</v>
      </c>
      <c r="T83" s="1166">
        <f t="shared" ca="1" si="19"/>
        <v>2715</v>
      </c>
      <c r="U83" s="1184">
        <f t="shared" ca="1" si="24"/>
        <v>6.1148648648648649E-2</v>
      </c>
      <c r="W83" s="1183">
        <f t="shared" si="20"/>
        <v>5</v>
      </c>
      <c r="X83" s="1166">
        <f>'Report-sj'!J380</f>
        <v>90428</v>
      </c>
      <c r="Y83" s="1181">
        <f ca="1">'Report-sj'!F380</f>
        <v>2715</v>
      </c>
      <c r="Z83" s="1181">
        <f>'Report-sj'!G380</f>
        <v>0</v>
      </c>
      <c r="AA83" s="1166">
        <f t="shared" ca="1" si="21"/>
        <v>2715</v>
      </c>
      <c r="AB83" s="1184">
        <f t="shared" ca="1" si="25"/>
        <v>6.0047772813730263E-2</v>
      </c>
      <c r="AD83" s="1183">
        <f t="shared" si="22"/>
        <v>5</v>
      </c>
      <c r="AE83" s="1166">
        <f>'Report-sj'!J407</f>
        <v>90428</v>
      </c>
      <c r="AF83" s="1181">
        <f ca="1">'Report-sj'!F407</f>
        <v>1698.176213320718</v>
      </c>
      <c r="AG83" s="1181">
        <f>'Report-sj'!G407</f>
        <v>0</v>
      </c>
      <c r="AH83" s="1166">
        <f t="shared" ca="1" si="23"/>
        <v>1698.176213320718</v>
      </c>
      <c r="AI83" s="1184">
        <f t="shared" ca="1" si="26"/>
        <v>3.7558637000060117E-2</v>
      </c>
    </row>
    <row r="84" spans="2:35" ht="11.25" customHeight="1">
      <c r="B84" s="1183">
        <f t="shared" si="14"/>
        <v>6</v>
      </c>
      <c r="C84" s="1166">
        <f>'A&amp;R'!D78/1000</f>
        <v>0</v>
      </c>
      <c r="D84" s="1181">
        <f>'A&amp;R'!E78</f>
        <v>0</v>
      </c>
      <c r="E84" s="1181">
        <f>'A&amp;R'!F78</f>
        <v>0</v>
      </c>
      <c r="F84" s="1166">
        <f t="shared" si="15"/>
        <v>0</v>
      </c>
      <c r="G84" s="1184">
        <f>'A&amp;R'!G78</f>
        <v>0</v>
      </c>
      <c r="I84" s="1183">
        <f t="shared" si="16"/>
        <v>6</v>
      </c>
      <c r="J84" s="1166">
        <f>'A&amp;R'!H78/1000</f>
        <v>14800</v>
      </c>
      <c r="K84" s="1181">
        <f ca="1">'A&amp;R'!I78/1000</f>
        <v>0</v>
      </c>
      <c r="L84" s="1181">
        <f>'A&amp;R'!J78/1000</f>
        <v>0</v>
      </c>
      <c r="M84" s="1166">
        <f t="shared" ca="1" si="17"/>
        <v>0</v>
      </c>
      <c r="N84" s="1184">
        <f ca="1">'A&amp;R'!K78</f>
        <v>0</v>
      </c>
      <c r="P84" s="1183">
        <f t="shared" si="18"/>
        <v>6</v>
      </c>
      <c r="Q84" s="1166">
        <f>'Report-sj'!J355</f>
        <v>88800</v>
      </c>
      <c r="R84" s="1181">
        <f ca="1">'Report-sj'!F355</f>
        <v>2715</v>
      </c>
      <c r="S84" s="1181">
        <f>'Report-sj'!G355</f>
        <v>0</v>
      </c>
      <c r="T84" s="1166">
        <f t="shared" ca="1" si="19"/>
        <v>2715</v>
      </c>
      <c r="U84" s="1184">
        <f t="shared" ca="1" si="24"/>
        <v>6.1148648648648649E-2</v>
      </c>
      <c r="W84" s="1183">
        <f t="shared" si="20"/>
        <v>6</v>
      </c>
      <c r="X84" s="1166">
        <f>'Report-sj'!J381</f>
        <v>90428</v>
      </c>
      <c r="Y84" s="1181">
        <f ca="1">'Report-sj'!F381</f>
        <v>2715</v>
      </c>
      <c r="Z84" s="1181">
        <f>'Report-sj'!G381</f>
        <v>0</v>
      </c>
      <c r="AA84" s="1166">
        <f t="shared" ca="1" si="21"/>
        <v>2715</v>
      </c>
      <c r="AB84" s="1184">
        <f t="shared" ca="1" si="25"/>
        <v>6.0047772813730263E-2</v>
      </c>
      <c r="AD84" s="1183">
        <f t="shared" si="22"/>
        <v>6</v>
      </c>
      <c r="AE84" s="1166">
        <f>'Report-sj'!J408</f>
        <v>90428</v>
      </c>
      <c r="AF84" s="1181">
        <f ca="1">'Report-sj'!F408</f>
        <v>0</v>
      </c>
      <c r="AG84" s="1181">
        <f>'Report-sj'!G408</f>
        <v>0</v>
      </c>
      <c r="AH84" s="1166">
        <f t="shared" ca="1" si="23"/>
        <v>0</v>
      </c>
      <c r="AI84" s="1184">
        <f t="shared" ca="1" si="26"/>
        <v>0</v>
      </c>
    </row>
    <row r="85" spans="2:35" ht="11.25" customHeight="1">
      <c r="B85" s="1183">
        <f t="shared" si="14"/>
        <v>7</v>
      </c>
      <c r="C85" s="1166">
        <f>'A&amp;R'!D79/1000</f>
        <v>0</v>
      </c>
      <c r="D85" s="1181">
        <f>'A&amp;R'!E79</f>
        <v>0</v>
      </c>
      <c r="E85" s="1181">
        <f>'A&amp;R'!F79</f>
        <v>0</v>
      </c>
      <c r="F85" s="1166">
        <f t="shared" si="15"/>
        <v>0</v>
      </c>
      <c r="G85" s="1184">
        <f>'A&amp;R'!G79</f>
        <v>0</v>
      </c>
      <c r="I85" s="1183">
        <f t="shared" si="16"/>
        <v>7</v>
      </c>
      <c r="J85" s="1166">
        <f>'A&amp;R'!H79/1000</f>
        <v>14800</v>
      </c>
      <c r="K85" s="1181">
        <f ca="1">'A&amp;R'!I79/1000</f>
        <v>0</v>
      </c>
      <c r="L85" s="1181">
        <f>'A&amp;R'!J79/1000</f>
        <v>0</v>
      </c>
      <c r="M85" s="1166">
        <f t="shared" ca="1" si="17"/>
        <v>0</v>
      </c>
      <c r="N85" s="1184">
        <f ca="1">'A&amp;R'!K79</f>
        <v>0</v>
      </c>
      <c r="P85" s="1183">
        <f t="shared" si="18"/>
        <v>7</v>
      </c>
      <c r="Q85" s="1166">
        <f>'Report-sj'!J356</f>
        <v>88800</v>
      </c>
      <c r="R85" s="1181">
        <f ca="1">'Report-sj'!F356</f>
        <v>2715</v>
      </c>
      <c r="S85" s="1181">
        <f>'Report-sj'!G356</f>
        <v>0</v>
      </c>
      <c r="T85" s="1166">
        <f t="shared" ca="1" si="19"/>
        <v>2715</v>
      </c>
      <c r="U85" s="1184">
        <f t="shared" ca="1" si="24"/>
        <v>6.1148648648648649E-2</v>
      </c>
      <c r="W85" s="1183">
        <f t="shared" si="20"/>
        <v>7</v>
      </c>
      <c r="X85" s="1166">
        <f>'Report-sj'!J382</f>
        <v>90428</v>
      </c>
      <c r="Y85" s="1181">
        <f ca="1">'Report-sj'!F382</f>
        <v>2715</v>
      </c>
      <c r="Z85" s="1181">
        <f>'Report-sj'!G382</f>
        <v>0</v>
      </c>
      <c r="AA85" s="1166">
        <f t="shared" ca="1" si="21"/>
        <v>2715</v>
      </c>
      <c r="AB85" s="1184">
        <f t="shared" ca="1" si="25"/>
        <v>6.0047772813730263E-2</v>
      </c>
      <c r="AD85" s="1183">
        <f t="shared" si="22"/>
        <v>7</v>
      </c>
      <c r="AE85" s="1166">
        <f>'Report-sj'!J409</f>
        <v>90428</v>
      </c>
      <c r="AF85" s="1181">
        <f ca="1">'Report-sj'!F409</f>
        <v>0</v>
      </c>
      <c r="AG85" s="1181">
        <f>'Report-sj'!G409</f>
        <v>0</v>
      </c>
      <c r="AH85" s="1166">
        <f t="shared" ca="1" si="23"/>
        <v>0</v>
      </c>
      <c r="AI85" s="1184">
        <f t="shared" ca="1" si="26"/>
        <v>0</v>
      </c>
    </row>
    <row r="86" spans="2:35" ht="11.25" customHeight="1">
      <c r="B86" s="1183">
        <f t="shared" si="14"/>
        <v>8</v>
      </c>
      <c r="C86" s="1166">
        <f>'A&amp;R'!D80/1000</f>
        <v>0</v>
      </c>
      <c r="D86" s="1181">
        <f>'A&amp;R'!E80</f>
        <v>0</v>
      </c>
      <c r="E86" s="1181">
        <f>'A&amp;R'!F80</f>
        <v>0</v>
      </c>
      <c r="F86" s="1166">
        <f t="shared" si="15"/>
        <v>0</v>
      </c>
      <c r="G86" s="1184">
        <f>'A&amp;R'!G80</f>
        <v>0</v>
      </c>
      <c r="I86" s="1183">
        <f t="shared" si="16"/>
        <v>8</v>
      </c>
      <c r="J86" s="1166">
        <f>'A&amp;R'!H80/1000</f>
        <v>14800</v>
      </c>
      <c r="K86" s="1181">
        <f ca="1">'A&amp;R'!I80/1000</f>
        <v>0</v>
      </c>
      <c r="L86" s="1181">
        <f>'A&amp;R'!J80/1000</f>
        <v>0</v>
      </c>
      <c r="M86" s="1166">
        <f t="shared" ca="1" si="17"/>
        <v>0</v>
      </c>
      <c r="N86" s="1184">
        <f ca="1">'A&amp;R'!K80</f>
        <v>0</v>
      </c>
      <c r="P86" s="1183">
        <f t="shared" si="18"/>
        <v>8</v>
      </c>
      <c r="Q86" s="1166">
        <f>'Report-sj'!J357</f>
        <v>88800</v>
      </c>
      <c r="R86" s="1181">
        <f ca="1">'Report-sj'!F357</f>
        <v>2715</v>
      </c>
      <c r="S86" s="1181">
        <f>'Report-sj'!G357</f>
        <v>0</v>
      </c>
      <c r="T86" s="1166">
        <f t="shared" ca="1" si="19"/>
        <v>2715</v>
      </c>
      <c r="U86" s="1184">
        <f t="shared" ca="1" si="24"/>
        <v>6.1148648648648649E-2</v>
      </c>
      <c r="W86" s="1183">
        <f t="shared" si="20"/>
        <v>8</v>
      </c>
      <c r="X86" s="1166">
        <f>'Report-sj'!J383</f>
        <v>90428</v>
      </c>
      <c r="Y86" s="1181">
        <f ca="1">'Report-sj'!F383</f>
        <v>2715</v>
      </c>
      <c r="Z86" s="1181">
        <f>'Report-sj'!G383</f>
        <v>0</v>
      </c>
      <c r="AA86" s="1166">
        <f t="shared" ca="1" si="21"/>
        <v>2715</v>
      </c>
      <c r="AB86" s="1184">
        <f t="shared" ca="1" si="25"/>
        <v>6.0047772813730263E-2</v>
      </c>
      <c r="AD86" s="1183">
        <f t="shared" si="22"/>
        <v>8</v>
      </c>
      <c r="AE86" s="1166">
        <f>'Report-sj'!J410</f>
        <v>90428</v>
      </c>
      <c r="AF86" s="1181">
        <f ca="1">'Report-sj'!F410</f>
        <v>957.94825676668916</v>
      </c>
      <c r="AG86" s="1181">
        <f>'Report-sj'!G410</f>
        <v>0</v>
      </c>
      <c r="AH86" s="1166">
        <f t="shared" ca="1" si="23"/>
        <v>957.94825676668916</v>
      </c>
      <c r="AI86" s="1184">
        <f t="shared" ca="1" si="26"/>
        <v>2.1186983163769831E-2</v>
      </c>
    </row>
    <row r="87" spans="2:35" ht="11.25" customHeight="1">
      <c r="B87" s="1183">
        <f t="shared" si="14"/>
        <v>9</v>
      </c>
      <c r="C87" s="1166">
        <f>'A&amp;R'!D81/1000</f>
        <v>0</v>
      </c>
      <c r="D87" s="1181">
        <f>'A&amp;R'!E81</f>
        <v>0</v>
      </c>
      <c r="E87" s="1181">
        <f>'A&amp;R'!F81</f>
        <v>0</v>
      </c>
      <c r="F87" s="1166">
        <f t="shared" si="15"/>
        <v>0</v>
      </c>
      <c r="G87" s="1184">
        <f>'A&amp;R'!G81</f>
        <v>0</v>
      </c>
      <c r="I87" s="1183">
        <f t="shared" si="16"/>
        <v>9</v>
      </c>
      <c r="J87" s="1166">
        <f>'A&amp;R'!H81/1000</f>
        <v>14800</v>
      </c>
      <c r="K87" s="1181">
        <f ca="1">'A&amp;R'!I81/1000</f>
        <v>0</v>
      </c>
      <c r="L87" s="1181">
        <f>'A&amp;R'!J81/1000</f>
        <v>0</v>
      </c>
      <c r="M87" s="1166">
        <f t="shared" ca="1" si="17"/>
        <v>0</v>
      </c>
      <c r="N87" s="1184">
        <f ca="1">'A&amp;R'!K81</f>
        <v>0</v>
      </c>
      <c r="P87" s="1183">
        <f t="shared" si="18"/>
        <v>9</v>
      </c>
      <c r="Q87" s="1166">
        <f>'Report-sj'!J358</f>
        <v>88800</v>
      </c>
      <c r="R87" s="1181">
        <f ca="1">'Report-sj'!F358</f>
        <v>2696.0563038810928</v>
      </c>
      <c r="S87" s="1181">
        <f>'Report-sj'!G358</f>
        <v>0</v>
      </c>
      <c r="T87" s="1166">
        <f t="shared" ca="1" si="19"/>
        <v>2696.0563038810928</v>
      </c>
      <c r="U87" s="1184">
        <f t="shared" ca="1" si="24"/>
        <v>6.0721988826150743E-2</v>
      </c>
      <c r="W87" s="1183">
        <f t="shared" si="20"/>
        <v>9</v>
      </c>
      <c r="X87" s="1166">
        <f>'Report-sj'!J384</f>
        <v>90428</v>
      </c>
      <c r="Y87" s="1181">
        <f ca="1">'Report-sj'!F384</f>
        <v>2696.0563038810928</v>
      </c>
      <c r="Z87" s="1181">
        <f>'Report-sj'!G384</f>
        <v>0</v>
      </c>
      <c r="AA87" s="1166">
        <f t="shared" ca="1" si="21"/>
        <v>2696.0563038810928</v>
      </c>
      <c r="AB87" s="1184">
        <f t="shared" ca="1" si="25"/>
        <v>5.9628794264632475E-2</v>
      </c>
      <c r="AD87" s="1183">
        <f t="shared" si="22"/>
        <v>9</v>
      </c>
      <c r="AE87" s="1166">
        <f>'Report-sj'!J411</f>
        <v>90428</v>
      </c>
      <c r="AF87" s="1181">
        <f ca="1">'Report-sj'!F411</f>
        <v>2257.309378513366</v>
      </c>
      <c r="AG87" s="1181">
        <f>'Report-sj'!G411</f>
        <v>0</v>
      </c>
      <c r="AH87" s="1166">
        <f t="shared" ca="1" si="23"/>
        <v>2257.309378513366</v>
      </c>
      <c r="AI87" s="1184">
        <f t="shared" ca="1" si="26"/>
        <v>4.9925009477448712E-2</v>
      </c>
    </row>
    <row r="88" spans="2:35" ht="11.25" customHeight="1">
      <c r="B88" s="1183">
        <f t="shared" si="14"/>
        <v>10</v>
      </c>
      <c r="C88" s="1166">
        <f>'A&amp;R'!D82/1000</f>
        <v>0</v>
      </c>
      <c r="D88" s="1181">
        <f>'A&amp;R'!E82</f>
        <v>0</v>
      </c>
      <c r="E88" s="1181">
        <f>'A&amp;R'!F82</f>
        <v>0</v>
      </c>
      <c r="F88" s="1166">
        <f t="shared" si="15"/>
        <v>0</v>
      </c>
      <c r="G88" s="1184">
        <f>'A&amp;R'!G82</f>
        <v>0</v>
      </c>
      <c r="I88" s="1183">
        <f t="shared" si="16"/>
        <v>10</v>
      </c>
      <c r="J88" s="1166">
        <f>'A&amp;R'!H82/1000</f>
        <v>14800</v>
      </c>
      <c r="K88" s="1181">
        <f ca="1">'A&amp;R'!I82/1000</f>
        <v>0</v>
      </c>
      <c r="L88" s="1181">
        <f>'A&amp;R'!J82/1000</f>
        <v>0</v>
      </c>
      <c r="M88" s="1166">
        <f t="shared" ca="1" si="17"/>
        <v>0</v>
      </c>
      <c r="N88" s="1184">
        <f ca="1">'A&amp;R'!K82</f>
        <v>0</v>
      </c>
      <c r="P88" s="1183">
        <f t="shared" si="18"/>
        <v>10</v>
      </c>
      <c r="Q88" s="1166">
        <f>'Report-sj'!J359</f>
        <v>88800</v>
      </c>
      <c r="R88" s="1181">
        <f ca="1">'Report-sj'!F359</f>
        <v>2601.7292937996685</v>
      </c>
      <c r="S88" s="1181">
        <f>'Report-sj'!G359</f>
        <v>0</v>
      </c>
      <c r="T88" s="1166">
        <f t="shared" ca="1" si="19"/>
        <v>2601.7292937996685</v>
      </c>
      <c r="U88" s="1184">
        <f t="shared" ca="1" si="24"/>
        <v>5.8597506617109649E-2</v>
      </c>
      <c r="W88" s="1183">
        <f t="shared" si="20"/>
        <v>10</v>
      </c>
      <c r="X88" s="1166">
        <f>'Report-sj'!J385</f>
        <v>90428</v>
      </c>
      <c r="Y88" s="1181">
        <f ca="1">'Report-sj'!F385</f>
        <v>2601.7292937996685</v>
      </c>
      <c r="Z88" s="1181">
        <f>'Report-sj'!G385</f>
        <v>0</v>
      </c>
      <c r="AA88" s="1166">
        <f t="shared" ca="1" si="21"/>
        <v>2601.7292937996685</v>
      </c>
      <c r="AB88" s="1184">
        <f t="shared" ca="1" si="25"/>
        <v>5.7542559689469377E-2</v>
      </c>
      <c r="AD88" s="1183">
        <f t="shared" si="22"/>
        <v>10</v>
      </c>
      <c r="AE88" s="1166">
        <f>'Report-sj'!J412</f>
        <v>90428</v>
      </c>
      <c r="AF88" s="1181">
        <f ca="1">'Report-sj'!F412</f>
        <v>2486.0966414401128</v>
      </c>
      <c r="AG88" s="1181">
        <f>'Report-sj'!G412</f>
        <v>0</v>
      </c>
      <c r="AH88" s="1166">
        <f t="shared" ca="1" si="23"/>
        <v>2486.0966414401128</v>
      </c>
      <c r="AI88" s="1184">
        <f t="shared" ca="1" si="26"/>
        <v>5.4985107299511497E-2</v>
      </c>
    </row>
    <row r="89" spans="2:35" ht="11.25" customHeight="1">
      <c r="B89" s="1183">
        <f t="shared" si="14"/>
        <v>11</v>
      </c>
      <c r="C89" s="1166">
        <f>'A&amp;R'!D83/1000</f>
        <v>0</v>
      </c>
      <c r="D89" s="1181">
        <f>'A&amp;R'!E83</f>
        <v>0</v>
      </c>
      <c r="E89" s="1181">
        <f>'A&amp;R'!F83</f>
        <v>0</v>
      </c>
      <c r="F89" s="1166">
        <f t="shared" si="15"/>
        <v>0</v>
      </c>
      <c r="G89" s="1184">
        <f>'A&amp;R'!G83</f>
        <v>0</v>
      </c>
      <c r="I89" s="1183">
        <f t="shared" si="16"/>
        <v>11</v>
      </c>
      <c r="J89" s="1166">
        <f>'A&amp;R'!H83/1000</f>
        <v>14800</v>
      </c>
      <c r="K89" s="1181">
        <f ca="1">'A&amp;R'!I83/1000</f>
        <v>0</v>
      </c>
      <c r="L89" s="1181">
        <f>'A&amp;R'!J83/1000</f>
        <v>0</v>
      </c>
      <c r="M89" s="1166">
        <f t="shared" ca="1" si="17"/>
        <v>0</v>
      </c>
      <c r="N89" s="1184">
        <f ca="1">'A&amp;R'!K83</f>
        <v>0</v>
      </c>
      <c r="P89" s="1183">
        <f t="shared" si="18"/>
        <v>11</v>
      </c>
      <c r="Q89" s="1166">
        <f>'Report-sj'!J360</f>
        <v>88800</v>
      </c>
      <c r="R89" s="1181">
        <f ca="1">'Report-sj'!F360</f>
        <v>2678.0823751356361</v>
      </c>
      <c r="S89" s="1181">
        <f>'Report-sj'!G360</f>
        <v>0</v>
      </c>
      <c r="T89" s="1166">
        <f t="shared" ca="1" si="19"/>
        <v>2678.0823751356361</v>
      </c>
      <c r="U89" s="1184">
        <f t="shared" ca="1" si="24"/>
        <v>6.0317170611162978E-2</v>
      </c>
      <c r="W89" s="1183">
        <f t="shared" si="20"/>
        <v>11</v>
      </c>
      <c r="X89" s="1166">
        <f>'Report-sj'!J386</f>
        <v>90428</v>
      </c>
      <c r="Y89" s="1181">
        <f ca="1">'Report-sj'!F386</f>
        <v>2678.0823751356361</v>
      </c>
      <c r="Z89" s="1181">
        <f>'Report-sj'!G386</f>
        <v>0</v>
      </c>
      <c r="AA89" s="1166">
        <f t="shared" ca="1" si="21"/>
        <v>2678.0823751356361</v>
      </c>
      <c r="AB89" s="1184">
        <f t="shared" ca="1" si="25"/>
        <v>5.9231264102615033E-2</v>
      </c>
      <c r="AD89" s="1183">
        <f t="shared" si="22"/>
        <v>11</v>
      </c>
      <c r="AE89" s="1166">
        <f>'Report-sj'!J413</f>
        <v>90428</v>
      </c>
      <c r="AF89" s="1181">
        <f ca="1">'Report-sj'!F413</f>
        <v>2785.9463807303869</v>
      </c>
      <c r="AG89" s="1181">
        <f>'Report-sj'!G413</f>
        <v>0</v>
      </c>
      <c r="AH89" s="1166">
        <f t="shared" ca="1" si="23"/>
        <v>2785.9463807303869</v>
      </c>
      <c r="AI89" s="1184">
        <f t="shared" ca="1" si="26"/>
        <v>6.1616896994965871E-2</v>
      </c>
    </row>
    <row r="90" spans="2:35" ht="11.25" customHeight="1">
      <c r="B90" s="1183">
        <f t="shared" si="14"/>
        <v>12</v>
      </c>
      <c r="C90" s="1166">
        <f>'A&amp;R'!D84/1000</f>
        <v>0</v>
      </c>
      <c r="D90" s="1181">
        <f>'A&amp;R'!E84</f>
        <v>0</v>
      </c>
      <c r="E90" s="1181">
        <f>'A&amp;R'!F84</f>
        <v>0</v>
      </c>
      <c r="F90" s="1166">
        <f t="shared" si="15"/>
        <v>0</v>
      </c>
      <c r="G90" s="1184">
        <f>'A&amp;R'!G84</f>
        <v>0</v>
      </c>
      <c r="I90" s="1183">
        <f t="shared" si="16"/>
        <v>12</v>
      </c>
      <c r="J90" s="1166">
        <f>'A&amp;R'!H84/1000</f>
        <v>14800</v>
      </c>
      <c r="K90" s="1181">
        <f ca="1">'A&amp;R'!I84/1000</f>
        <v>0</v>
      </c>
      <c r="L90" s="1181">
        <f>'A&amp;R'!J84/1000</f>
        <v>0</v>
      </c>
      <c r="M90" s="1166">
        <f t="shared" ca="1" si="17"/>
        <v>0</v>
      </c>
      <c r="N90" s="1184">
        <f ca="1">'A&amp;R'!K84</f>
        <v>0</v>
      </c>
      <c r="P90" s="1183">
        <f t="shared" si="18"/>
        <v>12</v>
      </c>
      <c r="Q90" s="1166">
        <f>'Report-sj'!J361</f>
        <v>88800</v>
      </c>
      <c r="R90" s="1181">
        <f ca="1">'Report-sj'!F361</f>
        <v>2884.1320271836025</v>
      </c>
      <c r="S90" s="1181">
        <f>'Report-sj'!G361</f>
        <v>0</v>
      </c>
      <c r="T90" s="1166">
        <f t="shared" ca="1" si="19"/>
        <v>2884.1320271836025</v>
      </c>
      <c r="U90" s="1184">
        <f t="shared" ca="1" si="24"/>
        <v>6.4957928540171225E-2</v>
      </c>
      <c r="W90" s="1183">
        <f t="shared" si="20"/>
        <v>12</v>
      </c>
      <c r="X90" s="1166">
        <f>'Report-sj'!J387</f>
        <v>90428</v>
      </c>
      <c r="Y90" s="1181">
        <f ca="1">'Report-sj'!F387</f>
        <v>2884.1320271836025</v>
      </c>
      <c r="Z90" s="1181">
        <f>'Report-sj'!G387</f>
        <v>0</v>
      </c>
      <c r="AA90" s="1166">
        <f t="shared" ca="1" si="21"/>
        <v>2884.1320271836025</v>
      </c>
      <c r="AB90" s="1184">
        <f t="shared" ca="1" si="25"/>
        <v>6.3788473198204146E-2</v>
      </c>
      <c r="AD90" s="1183">
        <f t="shared" si="22"/>
        <v>12</v>
      </c>
      <c r="AE90" s="1166">
        <f>'Report-sj'!J414</f>
        <v>90428</v>
      </c>
      <c r="AF90" s="1181">
        <f ca="1">'Report-sj'!F414</f>
        <v>3030.0122318941485</v>
      </c>
      <c r="AG90" s="1181">
        <f>'Report-sj'!G414</f>
        <v>0</v>
      </c>
      <c r="AH90" s="1166">
        <f t="shared" ca="1" si="23"/>
        <v>3030.0122318941485</v>
      </c>
      <c r="AI90" s="1184">
        <f t="shared" ca="1" si="26"/>
        <v>6.701491201606026E-2</v>
      </c>
    </row>
    <row r="91" spans="2:35" ht="11.25" customHeight="1">
      <c r="B91" s="1183">
        <f t="shared" si="14"/>
        <v>13</v>
      </c>
      <c r="C91" s="1166">
        <f>'A&amp;R'!D85/1000</f>
        <v>0</v>
      </c>
      <c r="D91" s="1181">
        <f>'A&amp;R'!E85</f>
        <v>0</v>
      </c>
      <c r="E91" s="1181">
        <f>'A&amp;R'!F85</f>
        <v>0</v>
      </c>
      <c r="F91" s="1166">
        <f t="shared" si="15"/>
        <v>0</v>
      </c>
      <c r="G91" s="1184">
        <f>'A&amp;R'!G85</f>
        <v>0</v>
      </c>
      <c r="I91" s="1183">
        <f t="shared" si="16"/>
        <v>13</v>
      </c>
      <c r="J91" s="1166">
        <f>'A&amp;R'!H85/1000</f>
        <v>14800</v>
      </c>
      <c r="K91" s="1181">
        <f ca="1">'A&amp;R'!I85/1000</f>
        <v>0</v>
      </c>
      <c r="L91" s="1181">
        <f>'A&amp;R'!J85/1000</f>
        <v>0</v>
      </c>
      <c r="M91" s="1166">
        <f t="shared" ca="1" si="17"/>
        <v>0</v>
      </c>
      <c r="N91" s="1184">
        <f ca="1">'A&amp;R'!K85</f>
        <v>0</v>
      </c>
      <c r="P91" s="1183">
        <f t="shared" si="18"/>
        <v>13</v>
      </c>
      <c r="Q91" s="1166">
        <f>'Report-sj'!J362</f>
        <v>88800</v>
      </c>
      <c r="R91" s="1181">
        <f ca="1">'Report-sj'!F362</f>
        <v>2715</v>
      </c>
      <c r="S91" s="1181">
        <f>'Report-sj'!G362</f>
        <v>0</v>
      </c>
      <c r="T91" s="1166">
        <f t="shared" ca="1" si="19"/>
        <v>2715</v>
      </c>
      <c r="U91" s="1184">
        <f t="shared" ca="1" si="24"/>
        <v>6.1148648648648649E-2</v>
      </c>
      <c r="W91" s="1183">
        <f t="shared" si="20"/>
        <v>13</v>
      </c>
      <c r="X91" s="1166">
        <f>'Report-sj'!J388</f>
        <v>90428</v>
      </c>
      <c r="Y91" s="1181">
        <f ca="1">'Report-sj'!F388</f>
        <v>2715</v>
      </c>
      <c r="Z91" s="1181">
        <f>'Report-sj'!G388</f>
        <v>0</v>
      </c>
      <c r="AA91" s="1166">
        <f t="shared" ca="1" si="21"/>
        <v>2715</v>
      </c>
      <c r="AB91" s="1184">
        <f t="shared" ca="1" si="25"/>
        <v>6.0047772813730263E-2</v>
      </c>
      <c r="AD91" s="1183">
        <f t="shared" si="22"/>
        <v>13</v>
      </c>
      <c r="AE91" s="1166">
        <f>'Report-sj'!J415</f>
        <v>90428</v>
      </c>
      <c r="AF91" s="1181">
        <f ca="1">'Report-sj'!F415</f>
        <v>3013.0010053553187</v>
      </c>
      <c r="AG91" s="1181">
        <f>'Report-sj'!G415</f>
        <v>0</v>
      </c>
      <c r="AH91" s="1166">
        <f t="shared" ca="1" si="23"/>
        <v>3013.0010053553187</v>
      </c>
      <c r="AI91" s="1184">
        <f t="shared" ca="1" si="26"/>
        <v>6.6638673980521937E-2</v>
      </c>
    </row>
    <row r="92" spans="2:35" ht="11.25" customHeight="1">
      <c r="B92" s="1183">
        <f t="shared" si="14"/>
        <v>14</v>
      </c>
      <c r="C92" s="1166">
        <f>'A&amp;R'!D86/1000</f>
        <v>0</v>
      </c>
      <c r="D92" s="1181">
        <f>'A&amp;R'!E86</f>
        <v>0</v>
      </c>
      <c r="E92" s="1181">
        <f>'A&amp;R'!F86</f>
        <v>0</v>
      </c>
      <c r="F92" s="1166">
        <f t="shared" si="15"/>
        <v>0</v>
      </c>
      <c r="G92" s="1184">
        <f>'A&amp;R'!G86</f>
        <v>0</v>
      </c>
      <c r="I92" s="1183">
        <f t="shared" si="16"/>
        <v>14</v>
      </c>
      <c r="J92" s="1166">
        <f>'A&amp;R'!H86/1000</f>
        <v>14800</v>
      </c>
      <c r="K92" s="1181">
        <f ca="1">'A&amp;R'!I86/1000</f>
        <v>0</v>
      </c>
      <c r="L92" s="1181">
        <f>'A&amp;R'!J86/1000</f>
        <v>0</v>
      </c>
      <c r="M92" s="1166">
        <f t="shared" ca="1" si="17"/>
        <v>0</v>
      </c>
      <c r="N92" s="1184">
        <f ca="1">'A&amp;R'!K86</f>
        <v>0</v>
      </c>
      <c r="P92" s="1183">
        <f t="shared" si="18"/>
        <v>14</v>
      </c>
      <c r="Q92" s="1166">
        <f>'Report-sj'!J363</f>
        <v>88800</v>
      </c>
      <c r="R92" s="1181">
        <f ca="1">'Report-sj'!F363</f>
        <v>2715</v>
      </c>
      <c r="S92" s="1181">
        <f>'Report-sj'!G363</f>
        <v>0</v>
      </c>
      <c r="T92" s="1166">
        <f t="shared" ca="1" si="19"/>
        <v>2715</v>
      </c>
      <c r="U92" s="1184">
        <f t="shared" ca="1" si="24"/>
        <v>6.1148648648648649E-2</v>
      </c>
      <c r="W92" s="1183">
        <f t="shared" si="20"/>
        <v>14</v>
      </c>
      <c r="X92" s="1166">
        <f>'Report-sj'!J389</f>
        <v>90428</v>
      </c>
      <c r="Y92" s="1181">
        <f ca="1">'Report-sj'!F389</f>
        <v>2715</v>
      </c>
      <c r="Z92" s="1181">
        <f>'Report-sj'!G389</f>
        <v>0</v>
      </c>
      <c r="AA92" s="1166">
        <f t="shared" ca="1" si="21"/>
        <v>2715</v>
      </c>
      <c r="AB92" s="1184">
        <f t="shared" ca="1" si="25"/>
        <v>6.0047772813730263E-2</v>
      </c>
      <c r="AD92" s="1183">
        <f t="shared" si="22"/>
        <v>14</v>
      </c>
      <c r="AE92" s="1166">
        <f>'Report-sj'!J416</f>
        <v>90428</v>
      </c>
      <c r="AF92" s="1181">
        <f ca="1">'Report-sj'!F416</f>
        <v>3266.2074371801455</v>
      </c>
      <c r="AG92" s="1181">
        <f>'Report-sj'!G416</f>
        <v>0</v>
      </c>
      <c r="AH92" s="1166">
        <f t="shared" ca="1" si="23"/>
        <v>3266.2074371801455</v>
      </c>
      <c r="AI92" s="1184">
        <f t="shared" ca="1" si="26"/>
        <v>7.223885162074016E-2</v>
      </c>
    </row>
    <row r="93" spans="2:35" ht="11.25" customHeight="1">
      <c r="B93" s="1183">
        <f t="shared" si="14"/>
        <v>15</v>
      </c>
      <c r="C93" s="1166">
        <f>'A&amp;R'!D87/1000</f>
        <v>0</v>
      </c>
      <c r="D93" s="1181">
        <f>'A&amp;R'!E87</f>
        <v>0</v>
      </c>
      <c r="E93" s="1181">
        <f>'A&amp;R'!F87</f>
        <v>0</v>
      </c>
      <c r="F93" s="1166">
        <f t="shared" si="15"/>
        <v>0</v>
      </c>
      <c r="G93" s="1184">
        <f>'A&amp;R'!G87</f>
        <v>0</v>
      </c>
      <c r="I93" s="1183">
        <f t="shared" si="16"/>
        <v>15</v>
      </c>
      <c r="J93" s="1166">
        <f>'A&amp;R'!H87/1000</f>
        <v>14800</v>
      </c>
      <c r="K93" s="1181">
        <f ca="1">'A&amp;R'!I87/1000</f>
        <v>0</v>
      </c>
      <c r="L93" s="1181">
        <f>'A&amp;R'!J87/1000</f>
        <v>0</v>
      </c>
      <c r="M93" s="1166">
        <f t="shared" ca="1" si="17"/>
        <v>0</v>
      </c>
      <c r="N93" s="1184">
        <f ca="1">'A&amp;R'!K87</f>
        <v>0</v>
      </c>
      <c r="P93" s="1183">
        <f t="shared" si="18"/>
        <v>15</v>
      </c>
      <c r="Q93" s="1166">
        <f>'Report-sj'!J364</f>
        <v>88800</v>
      </c>
      <c r="R93" s="1181">
        <f ca="1">'Report-sj'!F364</f>
        <v>2715</v>
      </c>
      <c r="S93" s="1181">
        <f>'Report-sj'!G364</f>
        <v>0</v>
      </c>
      <c r="T93" s="1166">
        <f t="shared" ca="1" si="19"/>
        <v>2715</v>
      </c>
      <c r="U93" s="1184">
        <f t="shared" ca="1" si="24"/>
        <v>6.1148648648648649E-2</v>
      </c>
      <c r="W93" s="1183">
        <f t="shared" si="20"/>
        <v>15</v>
      </c>
      <c r="X93" s="1166">
        <f>'Report-sj'!J390</f>
        <v>90428</v>
      </c>
      <c r="Y93" s="1181">
        <f ca="1">'Report-sj'!F390</f>
        <v>2715</v>
      </c>
      <c r="Z93" s="1181">
        <f>'Report-sj'!G390</f>
        <v>0</v>
      </c>
      <c r="AA93" s="1166">
        <f t="shared" ca="1" si="21"/>
        <v>2715</v>
      </c>
      <c r="AB93" s="1184">
        <f t="shared" ca="1" si="25"/>
        <v>6.0047772813730263E-2</v>
      </c>
      <c r="AD93" s="1183">
        <f t="shared" si="22"/>
        <v>15</v>
      </c>
      <c r="AE93" s="1166">
        <f>'Report-sj'!J417</f>
        <v>90428</v>
      </c>
      <c r="AF93" s="1181">
        <f ca="1">'Report-sj'!F417</f>
        <v>3255.7624850728957</v>
      </c>
      <c r="AG93" s="1181">
        <f>'Report-sj'!G417</f>
        <v>0</v>
      </c>
      <c r="AH93" s="1166">
        <f t="shared" ca="1" si="23"/>
        <v>3255.7624850728957</v>
      </c>
      <c r="AI93" s="1184">
        <f t="shared" ca="1" si="26"/>
        <v>7.2007840161739639E-2</v>
      </c>
    </row>
    <row r="94" spans="2:35" ht="11.25" customHeight="1">
      <c r="B94" s="1183">
        <f t="shared" si="14"/>
        <v>16</v>
      </c>
      <c r="C94" s="1166">
        <f>'A&amp;R'!D88/1000</f>
        <v>0</v>
      </c>
      <c r="D94" s="1181">
        <f>'A&amp;R'!E88</f>
        <v>0</v>
      </c>
      <c r="E94" s="1181">
        <f>'A&amp;R'!F88</f>
        <v>0</v>
      </c>
      <c r="F94" s="1166">
        <f t="shared" si="15"/>
        <v>0</v>
      </c>
      <c r="G94" s="1184">
        <f>'A&amp;R'!G88</f>
        <v>0</v>
      </c>
      <c r="I94" s="1183">
        <f t="shared" si="16"/>
        <v>16</v>
      </c>
      <c r="J94" s="1166">
        <f>'A&amp;R'!H88/1000</f>
        <v>14800</v>
      </c>
      <c r="K94" s="1181">
        <f ca="1">'A&amp;R'!I88/1000</f>
        <v>0</v>
      </c>
      <c r="L94" s="1181">
        <f>'A&amp;R'!J88/1000</f>
        <v>0</v>
      </c>
      <c r="M94" s="1166">
        <f t="shared" ca="1" si="17"/>
        <v>0</v>
      </c>
      <c r="N94" s="1184">
        <f ca="1">'A&amp;R'!K88</f>
        <v>0</v>
      </c>
      <c r="P94" s="1183">
        <f t="shared" si="18"/>
        <v>16</v>
      </c>
      <c r="Q94" s="1166">
        <f>'Report-sj'!J365</f>
        <v>88800</v>
      </c>
      <c r="R94" s="1181">
        <f ca="1">'Report-sj'!F365</f>
        <v>2715</v>
      </c>
      <c r="S94" s="1181">
        <f>'Report-sj'!G365</f>
        <v>0</v>
      </c>
      <c r="T94" s="1166">
        <f t="shared" ca="1" si="19"/>
        <v>2715</v>
      </c>
      <c r="U94" s="1184">
        <f t="shared" ca="1" si="24"/>
        <v>6.1148648648648649E-2</v>
      </c>
      <c r="W94" s="1183">
        <f t="shared" si="20"/>
        <v>16</v>
      </c>
      <c r="X94" s="1166">
        <f>'Report-sj'!J391</f>
        <v>90428</v>
      </c>
      <c r="Y94" s="1181">
        <f ca="1">'Report-sj'!F391</f>
        <v>2715</v>
      </c>
      <c r="Z94" s="1181">
        <f>'Report-sj'!G391</f>
        <v>0</v>
      </c>
      <c r="AA94" s="1166">
        <f t="shared" ca="1" si="21"/>
        <v>2715</v>
      </c>
      <c r="AB94" s="1184">
        <f t="shared" ca="1" si="25"/>
        <v>6.0047772813730263E-2</v>
      </c>
      <c r="AD94" s="1183">
        <f t="shared" si="22"/>
        <v>16</v>
      </c>
      <c r="AE94" s="1166">
        <f>'Report-sj'!J418</f>
        <v>90428</v>
      </c>
      <c r="AF94" s="1181">
        <f ca="1">'Report-sj'!F418</f>
        <v>2609.3619053656039</v>
      </c>
      <c r="AG94" s="1181">
        <f>'Report-sj'!G418</f>
        <v>0</v>
      </c>
      <c r="AH94" s="1166">
        <f t="shared" ca="1" si="23"/>
        <v>2609.3619053656039</v>
      </c>
      <c r="AI94" s="1184">
        <f t="shared" ca="1" si="26"/>
        <v>5.7711370490679967E-2</v>
      </c>
    </row>
    <row r="95" spans="2:35" ht="11.25" customHeight="1">
      <c r="B95" s="1183">
        <f t="shared" si="14"/>
        <v>17</v>
      </c>
      <c r="C95" s="1166">
        <f>'A&amp;R'!D89/1000</f>
        <v>0</v>
      </c>
      <c r="D95" s="1181">
        <f>'A&amp;R'!E89</f>
        <v>0</v>
      </c>
      <c r="E95" s="1181">
        <f>'A&amp;R'!F89</f>
        <v>0</v>
      </c>
      <c r="F95" s="1166">
        <f t="shared" si="15"/>
        <v>0</v>
      </c>
      <c r="G95" s="1184">
        <f>'A&amp;R'!G89</f>
        <v>0</v>
      </c>
      <c r="I95" s="1183">
        <f t="shared" si="16"/>
        <v>17</v>
      </c>
      <c r="J95" s="1166">
        <f>'A&amp;R'!H89/1000</f>
        <v>14800</v>
      </c>
      <c r="K95" s="1181">
        <f ca="1">'A&amp;R'!I89/1000</f>
        <v>0</v>
      </c>
      <c r="L95" s="1181">
        <f>'A&amp;R'!J89/1000</f>
        <v>0</v>
      </c>
      <c r="M95" s="1166">
        <f t="shared" ca="1" si="17"/>
        <v>0</v>
      </c>
      <c r="N95" s="1184">
        <f ca="1">'A&amp;R'!K89</f>
        <v>0</v>
      </c>
      <c r="P95" s="1183">
        <f t="shared" si="18"/>
        <v>17</v>
      </c>
      <c r="Q95" s="1166">
        <f>'Report-sj'!J366</f>
        <v>88800</v>
      </c>
      <c r="R95" s="1181">
        <f ca="1">'Report-sj'!F366</f>
        <v>2715</v>
      </c>
      <c r="S95" s="1181">
        <f>'Report-sj'!G366</f>
        <v>0</v>
      </c>
      <c r="T95" s="1166">
        <f t="shared" ca="1" si="19"/>
        <v>2715</v>
      </c>
      <c r="U95" s="1184">
        <f t="shared" ca="1" si="24"/>
        <v>6.1148648648648649E-2</v>
      </c>
      <c r="W95" s="1183">
        <f t="shared" si="20"/>
        <v>17</v>
      </c>
      <c r="X95" s="1166">
        <f>'Report-sj'!J392</f>
        <v>90428</v>
      </c>
      <c r="Y95" s="1181">
        <f ca="1">'Report-sj'!F392</f>
        <v>2715</v>
      </c>
      <c r="Z95" s="1181">
        <f>'Report-sj'!G392</f>
        <v>0</v>
      </c>
      <c r="AA95" s="1166">
        <f t="shared" ca="1" si="21"/>
        <v>2715</v>
      </c>
      <c r="AB95" s="1184">
        <f t="shared" ca="1" si="25"/>
        <v>6.0047772813730263E-2</v>
      </c>
      <c r="AD95" s="1183">
        <f t="shared" si="22"/>
        <v>17</v>
      </c>
      <c r="AE95" s="1166">
        <f>'Report-sj'!J419</f>
        <v>90428</v>
      </c>
      <c r="AF95" s="1181">
        <f ca="1">'Report-sj'!F419</f>
        <v>3307.4052119484504</v>
      </c>
      <c r="AG95" s="1181">
        <f>'Report-sj'!G419</f>
        <v>0</v>
      </c>
      <c r="AH95" s="1166">
        <f t="shared" ca="1" si="23"/>
        <v>3307.4052119484504</v>
      </c>
      <c r="AI95" s="1184">
        <f t="shared" ca="1" si="26"/>
        <v>7.3150024593012133E-2</v>
      </c>
    </row>
    <row r="96" spans="2:35" ht="11.25" customHeight="1">
      <c r="B96" s="1183">
        <f t="shared" si="14"/>
        <v>18</v>
      </c>
      <c r="C96" s="1166">
        <f>'A&amp;R'!D90/1000</f>
        <v>0</v>
      </c>
      <c r="D96" s="1181">
        <f>'A&amp;R'!E90</f>
        <v>0</v>
      </c>
      <c r="E96" s="1181">
        <f>'A&amp;R'!F90</f>
        <v>0</v>
      </c>
      <c r="F96" s="1166">
        <f t="shared" si="15"/>
        <v>0</v>
      </c>
      <c r="G96" s="1184">
        <f>'A&amp;R'!G90</f>
        <v>0</v>
      </c>
      <c r="I96" s="1183">
        <f t="shared" si="16"/>
        <v>18</v>
      </c>
      <c r="J96" s="1166">
        <f>'A&amp;R'!H90/1000</f>
        <v>14800</v>
      </c>
      <c r="K96" s="1181">
        <f ca="1">'A&amp;R'!I90/1000</f>
        <v>0</v>
      </c>
      <c r="L96" s="1181">
        <f>'A&amp;R'!J90/1000</f>
        <v>0</v>
      </c>
      <c r="M96" s="1166">
        <f t="shared" ca="1" si="17"/>
        <v>0</v>
      </c>
      <c r="N96" s="1184">
        <f ca="1">'A&amp;R'!K90</f>
        <v>0</v>
      </c>
      <c r="P96" s="1183">
        <f t="shared" si="18"/>
        <v>18</v>
      </c>
      <c r="Q96" s="1166">
        <f>'Report-sj'!J367</f>
        <v>88800</v>
      </c>
      <c r="R96" s="1181">
        <f ca="1">'Report-sj'!F367</f>
        <v>2715</v>
      </c>
      <c r="S96" s="1181">
        <f>'Report-sj'!G367</f>
        <v>0</v>
      </c>
      <c r="T96" s="1166">
        <f t="shared" ca="1" si="19"/>
        <v>2715</v>
      </c>
      <c r="U96" s="1184">
        <f t="shared" ca="1" si="24"/>
        <v>6.1148648648648649E-2</v>
      </c>
      <c r="W96" s="1183">
        <f t="shared" si="20"/>
        <v>18</v>
      </c>
      <c r="X96" s="1166">
        <f>'Report-sj'!J393</f>
        <v>90428</v>
      </c>
      <c r="Y96" s="1181">
        <f ca="1">'Report-sj'!F393</f>
        <v>2715</v>
      </c>
      <c r="Z96" s="1181">
        <f>'Report-sj'!G393</f>
        <v>0</v>
      </c>
      <c r="AA96" s="1166">
        <f t="shared" ca="1" si="21"/>
        <v>2715</v>
      </c>
      <c r="AB96" s="1184">
        <f t="shared" ca="1" si="25"/>
        <v>6.0047772813730263E-2</v>
      </c>
      <c r="AD96" s="1183">
        <f t="shared" si="22"/>
        <v>18</v>
      </c>
      <c r="AE96" s="1166">
        <f>'Report-sj'!J420</f>
        <v>90428</v>
      </c>
      <c r="AF96" s="1181">
        <f ca="1">'Report-sj'!F420</f>
        <v>3541.061652048812</v>
      </c>
      <c r="AG96" s="1181">
        <f>'Report-sj'!G420</f>
        <v>0</v>
      </c>
      <c r="AH96" s="1166">
        <f t="shared" ca="1" si="23"/>
        <v>3541.061652048812</v>
      </c>
      <c r="AI96" s="1184">
        <f t="shared" ca="1" si="26"/>
        <v>7.8317814217915074E-2</v>
      </c>
    </row>
    <row r="97" spans="2:35" ht="11.25" customHeight="1">
      <c r="B97" s="1183">
        <f t="shared" si="14"/>
        <v>19</v>
      </c>
      <c r="C97" s="1166">
        <f>'A&amp;R'!D91/1000</f>
        <v>0</v>
      </c>
      <c r="D97" s="1181">
        <f>'A&amp;R'!E91</f>
        <v>0</v>
      </c>
      <c r="E97" s="1181">
        <f>'A&amp;R'!F91</f>
        <v>0</v>
      </c>
      <c r="F97" s="1166">
        <f t="shared" si="15"/>
        <v>0</v>
      </c>
      <c r="G97" s="1184">
        <f>'A&amp;R'!G91</f>
        <v>0</v>
      </c>
      <c r="I97" s="1183">
        <f t="shared" si="16"/>
        <v>19</v>
      </c>
      <c r="J97" s="1166">
        <f>'A&amp;R'!H91/1000</f>
        <v>14800</v>
      </c>
      <c r="K97" s="1181">
        <f ca="1">'A&amp;R'!I91/1000</f>
        <v>0</v>
      </c>
      <c r="L97" s="1181">
        <f>'A&amp;R'!J91/1000</f>
        <v>0</v>
      </c>
      <c r="M97" s="1166">
        <f t="shared" ca="1" si="17"/>
        <v>0</v>
      </c>
      <c r="N97" s="1184">
        <f ca="1">'A&amp;R'!K91</f>
        <v>0</v>
      </c>
      <c r="P97" s="1183">
        <f t="shared" si="18"/>
        <v>19</v>
      </c>
      <c r="Q97" s="1166">
        <f>'Report-sj'!J368</f>
        <v>88800</v>
      </c>
      <c r="R97" s="1181">
        <f ca="1">'Report-sj'!F368</f>
        <v>2715</v>
      </c>
      <c r="S97" s="1181">
        <f>'Report-sj'!G368</f>
        <v>0</v>
      </c>
      <c r="T97" s="1166">
        <f t="shared" ca="1" si="19"/>
        <v>2715</v>
      </c>
      <c r="U97" s="1184">
        <f t="shared" ca="1" si="24"/>
        <v>6.1148648648648649E-2</v>
      </c>
      <c r="W97" s="1183">
        <f t="shared" si="20"/>
        <v>19</v>
      </c>
      <c r="X97" s="1166">
        <f>'Report-sj'!J394</f>
        <v>90428</v>
      </c>
      <c r="Y97" s="1181">
        <f ca="1">'Report-sj'!F394</f>
        <v>2715</v>
      </c>
      <c r="Z97" s="1181">
        <f>'Report-sj'!G394</f>
        <v>0</v>
      </c>
      <c r="AA97" s="1166">
        <f t="shared" ca="1" si="21"/>
        <v>2715</v>
      </c>
      <c r="AB97" s="1184">
        <f t="shared" ca="1" si="25"/>
        <v>6.0047772813730263E-2</v>
      </c>
      <c r="AD97" s="1183">
        <f t="shared" si="22"/>
        <v>19</v>
      </c>
      <c r="AE97" s="1166">
        <f>'Report-sj'!J421</f>
        <v>90428</v>
      </c>
      <c r="AF97" s="1181">
        <f ca="1">'Report-sj'!F421</f>
        <v>3661.6776585005427</v>
      </c>
      <c r="AG97" s="1181">
        <f>'Report-sj'!G421</f>
        <v>0</v>
      </c>
      <c r="AH97" s="1166">
        <f t="shared" ca="1" si="23"/>
        <v>3661.6776585005427</v>
      </c>
      <c r="AI97" s="1184">
        <f t="shared" ca="1" si="26"/>
        <v>8.0985483666575458E-2</v>
      </c>
    </row>
    <row r="98" spans="2:35" ht="11.25" customHeight="1">
      <c r="B98" s="1183">
        <f t="shared" si="14"/>
        <v>20</v>
      </c>
      <c r="C98" s="1166">
        <f>'A&amp;R'!D92/1000</f>
        <v>0</v>
      </c>
      <c r="D98" s="1181">
        <f>'A&amp;R'!E92</f>
        <v>0</v>
      </c>
      <c r="E98" s="1181">
        <f>'A&amp;R'!F92</f>
        <v>0</v>
      </c>
      <c r="F98" s="1166">
        <f t="shared" si="15"/>
        <v>0</v>
      </c>
      <c r="G98" s="1184">
        <f>'A&amp;R'!G92</f>
        <v>0</v>
      </c>
      <c r="I98" s="1183">
        <f t="shared" si="16"/>
        <v>20</v>
      </c>
      <c r="J98" s="1166">
        <f>'A&amp;R'!H92/1000</f>
        <v>14800</v>
      </c>
      <c r="K98" s="1181">
        <f ca="1">'A&amp;R'!I92/1000</f>
        <v>0</v>
      </c>
      <c r="L98" s="1181">
        <f>'A&amp;R'!J92/1000</f>
        <v>48460.427819552773</v>
      </c>
      <c r="M98" s="1166">
        <f t="shared" ca="1" si="17"/>
        <v>48460.427819552773</v>
      </c>
      <c r="N98" s="1184">
        <f ca="1">'A&amp;R'!K92</f>
        <v>6.5487064621017259</v>
      </c>
      <c r="P98" s="1183">
        <f t="shared" si="18"/>
        <v>20</v>
      </c>
      <c r="Q98" s="1166">
        <f>'Report-sj'!J369</f>
        <v>88800</v>
      </c>
      <c r="R98" s="1181">
        <f ca="1">'Report-sj'!F369</f>
        <v>2715</v>
      </c>
      <c r="S98" s="1181">
        <f>'Report-sj'!G369</f>
        <v>60575.534774440966</v>
      </c>
      <c r="T98" s="1166">
        <f t="shared" ca="1" si="19"/>
        <v>63290.534774440966</v>
      </c>
      <c r="U98" s="1184">
        <f t="shared" ca="1" si="24"/>
        <v>1.4254624949198416</v>
      </c>
      <c r="W98" s="1183">
        <f t="shared" si="20"/>
        <v>20</v>
      </c>
      <c r="X98" s="1166">
        <f>'Report-sj'!J395</f>
        <v>90428</v>
      </c>
      <c r="Y98" s="1181">
        <f ca="1">'Report-sj'!F395</f>
        <v>2715</v>
      </c>
      <c r="Z98" s="1181">
        <f>'Report-sj'!G395</f>
        <v>58947.534774440966</v>
      </c>
      <c r="AA98" s="1166">
        <f t="shared" ca="1" si="21"/>
        <v>61662.534774440966</v>
      </c>
      <c r="AB98" s="1184">
        <f t="shared" ca="1" si="25"/>
        <v>1.3637929573680931</v>
      </c>
      <c r="AD98" s="1183">
        <f t="shared" si="22"/>
        <v>20</v>
      </c>
      <c r="AE98" s="1166">
        <f>'Report-sj'!J422</f>
        <v>90428</v>
      </c>
      <c r="AF98" s="1181">
        <f ca="1">'Report-sj'!F422</f>
        <v>3812.2689509162883</v>
      </c>
      <c r="AG98" s="1181">
        <f ca="1">'Report-sj'!G422</f>
        <v>61983.828045317394</v>
      </c>
      <c r="AH98" s="1166">
        <f t="shared" ca="1" si="23"/>
        <v>65796.096996233682</v>
      </c>
      <c r="AI98" s="1184">
        <f t="shared" ca="1" si="26"/>
        <v>1.4552151323977902</v>
      </c>
    </row>
    <row r="99" spans="2:35" ht="11.25" customHeight="1">
      <c r="B99" s="1175" t="s">
        <v>104</v>
      </c>
      <c r="C99" s="1168"/>
      <c r="D99" s="1182">
        <f ca="1">SUM(D78:D98)</f>
        <v>0</v>
      </c>
      <c r="E99" s="1182">
        <f>SUM(E78:E98)</f>
        <v>0</v>
      </c>
      <c r="F99" s="1168">
        <f ca="1">SUM(F78:F98)</f>
        <v>0</v>
      </c>
      <c r="G99" s="1180"/>
      <c r="I99" s="1175" t="s">
        <v>104</v>
      </c>
      <c r="J99" s="1168"/>
      <c r="K99" s="1182">
        <f ca="1">SUM(K78:K98)</f>
        <v>1110</v>
      </c>
      <c r="L99" s="1182">
        <f>SUM(L78:L98)</f>
        <v>48460.427819552773</v>
      </c>
      <c r="M99" s="1168">
        <f ca="1">SUM(M78:M98)</f>
        <v>49570.427819552773</v>
      </c>
      <c r="N99" s="1180"/>
      <c r="P99" s="1175" t="str">
        <f t="shared" si="18"/>
        <v>합계</v>
      </c>
      <c r="Q99" s="1168">
        <f>SUM(Q78:Q98)/(120/6)</f>
        <v>90800</v>
      </c>
      <c r="R99" s="1182">
        <f t="shared" ref="R99:T99" ca="1" si="27">SUM(R78:R98)</f>
        <v>55410</v>
      </c>
      <c r="S99" s="1182">
        <f t="shared" si="27"/>
        <v>60575.534774440966</v>
      </c>
      <c r="T99" s="1168">
        <f t="shared" ca="1" si="27"/>
        <v>115985.53477444097</v>
      </c>
      <c r="U99" s="1180"/>
      <c r="W99" s="1175" t="str">
        <f t="shared" si="20"/>
        <v>합계</v>
      </c>
      <c r="X99" s="1168">
        <f>SUM(X78:X98)/(120/6)</f>
        <v>80412.399999999994</v>
      </c>
      <c r="Y99" s="1182">
        <f t="shared" ref="Y99:AA99" ca="1" si="28">SUM(Y78:Y98)</f>
        <v>48300</v>
      </c>
      <c r="Z99" s="1182">
        <f t="shared" si="28"/>
        <v>58947.534774440966</v>
      </c>
      <c r="AA99" s="1168">
        <f t="shared" ca="1" si="28"/>
        <v>107247.53477444097</v>
      </c>
      <c r="AB99" s="1180"/>
      <c r="AD99" s="1175" t="str">
        <f t="shared" si="22"/>
        <v>합계</v>
      </c>
      <c r="AE99" s="1168">
        <f>SUM(AE78:AE98)/(120/6)</f>
        <v>80412.399999999994</v>
      </c>
      <c r="AF99" s="1182">
        <f t="shared" ref="AF99:AH99" ca="1" si="29">SUM(AF78:AF98)</f>
        <v>45263.706729123587</v>
      </c>
      <c r="AG99" s="1182">
        <f t="shared" ca="1" si="29"/>
        <v>61983.828045317394</v>
      </c>
      <c r="AH99" s="1168">
        <f t="shared" ca="1" si="29"/>
        <v>107247.53477444098</v>
      </c>
      <c r="AI99" s="1180"/>
    </row>
    <row r="100" spans="2:35" ht="11.25" customHeight="1">
      <c r="B100" s="1175" t="s">
        <v>663</v>
      </c>
      <c r="C100" s="2800">
        <f>'A&amp;R'!D93/1000</f>
        <v>10000</v>
      </c>
      <c r="D100" s="2801"/>
      <c r="E100" s="2801"/>
      <c r="F100" s="2801"/>
      <c r="G100" s="2801"/>
      <c r="I100" s="1175" t="s">
        <v>663</v>
      </c>
      <c r="J100" s="2800">
        <f>'A&amp;R'!K94/1000</f>
        <v>14800</v>
      </c>
      <c r="K100" s="2801"/>
      <c r="L100" s="2801"/>
      <c r="M100" s="2801"/>
      <c r="N100" s="2801"/>
      <c r="P100" s="1175" t="str">
        <f t="shared" si="18"/>
        <v>투자금액</v>
      </c>
      <c r="Q100" s="2483"/>
      <c r="R100" s="2483"/>
      <c r="S100" s="2483"/>
      <c r="T100" s="2483"/>
      <c r="U100" s="2483">
        <f>Q98</f>
        <v>88800</v>
      </c>
      <c r="W100" s="2483" t="str">
        <f t="shared" si="20"/>
        <v>투자금액</v>
      </c>
      <c r="X100" s="2483"/>
      <c r="Y100" s="2483"/>
      <c r="Z100" s="2483"/>
      <c r="AA100" s="2483"/>
      <c r="AB100" s="2483">
        <f>X98</f>
        <v>90428</v>
      </c>
      <c r="AD100" s="2483" t="str">
        <f t="shared" si="22"/>
        <v>투자금액</v>
      </c>
      <c r="AE100" s="2483"/>
      <c r="AF100" s="2483"/>
      <c r="AG100" s="2483"/>
      <c r="AH100" s="2483"/>
      <c r="AI100" s="2483">
        <f>AE98</f>
        <v>90428</v>
      </c>
    </row>
    <row r="101" spans="2:35" ht="11.25" customHeight="1">
      <c r="B101" s="1175" t="s">
        <v>664</v>
      </c>
      <c r="C101" s="2802">
        <f>'A&amp;R'!G95</f>
        <v>0</v>
      </c>
      <c r="D101" s="2806"/>
      <c r="E101" s="2806"/>
      <c r="F101" s="2806"/>
      <c r="G101" s="2806"/>
      <c r="I101" s="1175" t="s">
        <v>664</v>
      </c>
      <c r="J101" s="2802">
        <f ca="1">'A&amp;R'!K95</f>
        <v>7.4999999999999997E-3</v>
      </c>
      <c r="K101" s="2806"/>
      <c r="L101" s="2806"/>
      <c r="M101" s="2806"/>
      <c r="N101" s="2806"/>
      <c r="P101" s="1175" t="str">
        <f t="shared" si="18"/>
        <v>CoC_C.G제외</v>
      </c>
      <c r="Q101" s="2461"/>
      <c r="R101" s="2461"/>
      <c r="S101" s="2461"/>
      <c r="T101" s="2461"/>
      <c r="U101" s="2461">
        <f ca="1">(R99/Q99)*(12/120)</f>
        <v>6.1024229074889871E-2</v>
      </c>
      <c r="W101" s="2461" t="str">
        <f t="shared" si="20"/>
        <v>CoC_C.G제외</v>
      </c>
      <c r="X101" s="2461"/>
      <c r="Y101" s="2461"/>
      <c r="Z101" s="2461"/>
      <c r="AA101" s="2461"/>
      <c r="AB101" s="2461">
        <f ca="1">(Y99/X99)*(12/120)</f>
        <v>6.0065363053459421E-2</v>
      </c>
      <c r="AD101" s="2461" t="str">
        <f t="shared" ref="AD101:AD104" si="30">W101</f>
        <v>CoC_C.G제외</v>
      </c>
      <c r="AE101" s="2461"/>
      <c r="AF101" s="2461"/>
      <c r="AG101" s="2461"/>
      <c r="AH101" s="2461"/>
      <c r="AI101" s="2461">
        <f ca="1">(AF99/AE99)*(12/120)</f>
        <v>5.6289461238718898E-2</v>
      </c>
    </row>
    <row r="102" spans="2:35" ht="11.25" customHeight="1">
      <c r="B102" s="1175" t="s">
        <v>665</v>
      </c>
      <c r="C102" s="2804">
        <f>'A&amp;R'!G98</f>
        <v>0</v>
      </c>
      <c r="D102" s="2807"/>
      <c r="E102" s="2807"/>
      <c r="F102" s="2807"/>
      <c r="G102" s="2807"/>
      <c r="I102" s="1175" t="s">
        <v>665</v>
      </c>
      <c r="J102" s="2804">
        <f ca="1">'A&amp;R'!K98</f>
        <v>0.16438586395039967</v>
      </c>
      <c r="K102" s="2807"/>
      <c r="L102" s="2807"/>
      <c r="M102" s="2807"/>
      <c r="N102" s="2807"/>
      <c r="P102" s="1175" t="str">
        <f t="shared" si="18"/>
        <v>CoC_C.G포함</v>
      </c>
      <c r="Q102" s="2461"/>
      <c r="R102" s="2461"/>
      <c r="S102" s="2461"/>
      <c r="T102" s="2461"/>
      <c r="U102" s="2461">
        <f ca="1">(SUM(R99:S99)/Q99)*(12/120)</f>
        <v>0.12773737309960459</v>
      </c>
      <c r="W102" s="2461" t="s">
        <v>1662</v>
      </c>
      <c r="X102" s="2461"/>
      <c r="Y102" s="2461"/>
      <c r="Z102" s="2461"/>
      <c r="AA102" s="2461"/>
      <c r="AB102" s="2461">
        <f ca="1">(SUM(Y99:Z99)/X99)*(12/120)</f>
        <v>0.13337188639369174</v>
      </c>
      <c r="AD102" s="2461" t="str">
        <f t="shared" si="30"/>
        <v>CoC_C.G포함</v>
      </c>
      <c r="AE102" s="2461"/>
      <c r="AF102" s="2461"/>
      <c r="AG102" s="2461"/>
      <c r="AH102" s="2461"/>
      <c r="AI102" s="2461">
        <f ca="1">(SUM(AF99:AG99)/AE99)*(12/120)</f>
        <v>0.13337188639369177</v>
      </c>
    </row>
    <row r="103" spans="2:35" ht="11.25" customHeight="1" thickBot="1">
      <c r="B103" s="1176" t="s">
        <v>666</v>
      </c>
      <c r="C103" s="2798">
        <f ca="1">'A&amp;R'!G99</f>
        <v>0</v>
      </c>
      <c r="D103" s="2799"/>
      <c r="E103" s="2799"/>
      <c r="F103" s="2799"/>
      <c r="G103" s="2799"/>
      <c r="I103" s="1176" t="s">
        <v>666</v>
      </c>
      <c r="J103" s="2798">
        <f ca="1">'A&amp;R'!K99</f>
        <v>4.3493532310508627</v>
      </c>
      <c r="K103" s="2799"/>
      <c r="L103" s="2799"/>
      <c r="M103" s="2799"/>
      <c r="N103" s="2799"/>
      <c r="P103" s="1175" t="str">
        <f t="shared" si="18"/>
        <v>IRR_C.G포함</v>
      </c>
      <c r="Q103" s="2462"/>
      <c r="R103" s="2462"/>
      <c r="S103" s="2462"/>
      <c r="T103" s="2462"/>
      <c r="U103" s="2462">
        <f ca="1">'Report-sj'!M370</f>
        <v>0.10330377221107484</v>
      </c>
      <c r="W103" s="2462" t="str">
        <f>I102</f>
        <v>IRR_C.G포함</v>
      </c>
      <c r="X103" s="2462"/>
      <c r="Y103" s="2462"/>
      <c r="Z103" s="2462"/>
      <c r="AA103" s="2462"/>
      <c r="AB103" s="2462">
        <f ca="1">'Report-sj'!M396</f>
        <v>0.10857058167457584</v>
      </c>
      <c r="AD103" s="2462" t="str">
        <f t="shared" si="30"/>
        <v>IRR_C.G포함</v>
      </c>
      <c r="AE103" s="2462"/>
      <c r="AF103" s="2462"/>
      <c r="AG103" s="2462"/>
      <c r="AH103" s="2462"/>
      <c r="AI103" s="2462">
        <f ca="1">'Report-sj'!M423</f>
        <v>0.10438014864921569</v>
      </c>
    </row>
    <row r="104" spans="2:35" ht="11.25" customHeight="1" thickBot="1">
      <c r="P104" s="1176" t="str">
        <f t="shared" si="18"/>
        <v>E.Multiple</v>
      </c>
      <c r="Q104" s="2463"/>
      <c r="R104" s="2464"/>
      <c r="S104" s="2464"/>
      <c r="T104" s="2464"/>
      <c r="U104" s="2464">
        <f ca="1">'Report-sj'!D371</f>
        <v>2.3061434096220834</v>
      </c>
      <c r="W104" s="2463" t="str">
        <f>I103</f>
        <v>E.Multiple</v>
      </c>
      <c r="X104" s="2464"/>
      <c r="Y104" s="2464"/>
      <c r="Z104" s="2464"/>
      <c r="AA104" s="2464"/>
      <c r="AB104" s="2464">
        <f ca="1">'Report-sj'!D397</f>
        <v>2.1859991902335669</v>
      </c>
      <c r="AD104" s="2463" t="str">
        <f t="shared" si="30"/>
        <v>E.Multiple</v>
      </c>
      <c r="AE104" s="2464"/>
      <c r="AF104" s="2464"/>
      <c r="AG104" s="2464"/>
      <c r="AH104" s="2464"/>
      <c r="AI104" s="2464">
        <f ca="1">'Report-sj'!D424</f>
        <v>2.1859991902335669</v>
      </c>
    </row>
    <row r="125" spans="2:14" ht="11.25" customHeight="1" thickBot="1"/>
    <row r="126" spans="2:14" ht="11.25" customHeight="1">
      <c r="B126" s="1177" t="s">
        <v>620</v>
      </c>
      <c r="C126" s="1178" t="s">
        <v>259</v>
      </c>
      <c r="D126" s="1178" t="s">
        <v>261</v>
      </c>
      <c r="E126" s="1178" t="s">
        <v>667</v>
      </c>
      <c r="F126" s="1178" t="s">
        <v>59</v>
      </c>
      <c r="G126" s="1179" t="s">
        <v>263</v>
      </c>
      <c r="I126" s="1177" t="s">
        <v>620</v>
      </c>
      <c r="J126" s="1178" t="s">
        <v>259</v>
      </c>
      <c r="K126" s="1178" t="s">
        <v>261</v>
      </c>
      <c r="L126" s="1178" t="s">
        <v>667</v>
      </c>
      <c r="M126" s="1178" t="s">
        <v>59</v>
      </c>
      <c r="N126" s="1179" t="s">
        <v>263</v>
      </c>
    </row>
    <row r="127" spans="2:14" ht="11.25" customHeight="1">
      <c r="B127" s="1183">
        <f>'Sell-down'!M67</f>
        <v>0</v>
      </c>
      <c r="C127" s="1166">
        <f>'Sell-down'!N67/1000</f>
        <v>0</v>
      </c>
      <c r="D127" s="1181">
        <f ca="1">'Sell-down'!O67/1000</f>
        <v>0</v>
      </c>
      <c r="E127" s="1181">
        <f>'Sell-down'!P67/1000</f>
        <v>0</v>
      </c>
      <c r="F127" s="1166">
        <f ca="1">SUM(D127:E127)</f>
        <v>0</v>
      </c>
      <c r="G127" s="1682">
        <f>'Sell-down'!Q67</f>
        <v>0</v>
      </c>
      <c r="I127" s="1183">
        <f>B127</f>
        <v>0</v>
      </c>
      <c r="J127" s="1166">
        <f>'Sell-down'!V67/1000</f>
        <v>0</v>
      </c>
      <c r="K127" s="1181">
        <f ca="1">'Sell-down'!W67/1000</f>
        <v>0</v>
      </c>
      <c r="L127" s="1181">
        <f>'Sell-down'!X67/1000</f>
        <v>0</v>
      </c>
      <c r="M127" s="1166">
        <f ca="1">SUM(K127:L127)</f>
        <v>0</v>
      </c>
      <c r="N127" s="1682">
        <f>'Sell-down'!Y67</f>
        <v>0</v>
      </c>
    </row>
    <row r="128" spans="2:14" ht="11.25" customHeight="1">
      <c r="B128" s="1183">
        <f>'Sell-down'!M68</f>
        <v>1</v>
      </c>
      <c r="C128" s="1166">
        <f>'Sell-down'!N68/1000</f>
        <v>0</v>
      </c>
      <c r="D128" s="1181">
        <f ca="1">'Sell-down'!O68/1000</f>
        <v>0</v>
      </c>
      <c r="E128" s="1181">
        <f>'Sell-down'!P68/1000</f>
        <v>0</v>
      </c>
      <c r="F128" s="1166">
        <f t="shared" ref="F128:F147" ca="1" si="31">SUM(D128:E128)</f>
        <v>0</v>
      </c>
      <c r="G128" s="1682">
        <f ca="1">'Sell-down'!Q68</f>
        <v>0</v>
      </c>
      <c r="I128" s="1183">
        <f t="shared" ref="I128:I147" si="32">B128</f>
        <v>1</v>
      </c>
      <c r="J128" s="1166">
        <f>'Sell-down'!V68/1000</f>
        <v>14800</v>
      </c>
      <c r="K128" s="1181">
        <f ca="1">'Sell-down'!W68/1000</f>
        <v>555</v>
      </c>
      <c r="L128" s="1181">
        <f>'Sell-down'!X68/1000</f>
        <v>0</v>
      </c>
      <c r="M128" s="1166">
        <f t="shared" ref="M128:M147" ca="1" si="33">SUM(K128:L128)</f>
        <v>555</v>
      </c>
      <c r="N128" s="1682">
        <f ca="1">'Sell-down'!Y68</f>
        <v>7.4999999999999997E-2</v>
      </c>
    </row>
    <row r="129" spans="2:14" ht="11.25" customHeight="1">
      <c r="B129" s="1183">
        <f>'Sell-down'!M69</f>
        <v>2</v>
      </c>
      <c r="C129" s="1166">
        <f>'Sell-down'!N69/1000</f>
        <v>0</v>
      </c>
      <c r="D129" s="1181">
        <f ca="1">'Sell-down'!O69/1000</f>
        <v>0</v>
      </c>
      <c r="E129" s="1181">
        <f>'Sell-down'!P69/1000</f>
        <v>0</v>
      </c>
      <c r="F129" s="1166">
        <f t="shared" ca="1" si="31"/>
        <v>0</v>
      </c>
      <c r="G129" s="1682">
        <f ca="1">'Sell-down'!Q69</f>
        <v>0</v>
      </c>
      <c r="I129" s="1183">
        <f t="shared" si="32"/>
        <v>2</v>
      </c>
      <c r="J129" s="1166">
        <f>'Sell-down'!V69/1000</f>
        <v>14800</v>
      </c>
      <c r="K129" s="1181">
        <f ca="1">'Sell-down'!W69/1000</f>
        <v>555</v>
      </c>
      <c r="L129" s="1181">
        <f>'Sell-down'!X69/1000</f>
        <v>0</v>
      </c>
      <c r="M129" s="1166">
        <f t="shared" ca="1" si="33"/>
        <v>555</v>
      </c>
      <c r="N129" s="1682">
        <f ca="1">'Sell-down'!Y69</f>
        <v>7.4999999999999997E-2</v>
      </c>
    </row>
    <row r="130" spans="2:14" ht="11.25" customHeight="1">
      <c r="B130" s="1183">
        <f>'Sell-down'!M70</f>
        <v>3</v>
      </c>
      <c r="C130" s="1166">
        <f>'Sell-down'!N70/1000</f>
        <v>0</v>
      </c>
      <c r="D130" s="1181">
        <f ca="1">'Sell-down'!O70/1000</f>
        <v>0</v>
      </c>
      <c r="E130" s="1181">
        <f>'Sell-down'!P70/1000</f>
        <v>0</v>
      </c>
      <c r="F130" s="1166">
        <f t="shared" ca="1" si="31"/>
        <v>0</v>
      </c>
      <c r="G130" s="1682">
        <f ca="1">'Sell-down'!Q70</f>
        <v>0</v>
      </c>
      <c r="I130" s="1183">
        <f t="shared" si="32"/>
        <v>3</v>
      </c>
      <c r="J130" s="1166">
        <f>'Sell-down'!V70/1000</f>
        <v>14800</v>
      </c>
      <c r="K130" s="1181">
        <f ca="1">'Sell-down'!W70/1000</f>
        <v>0</v>
      </c>
      <c r="L130" s="1181">
        <f>'Sell-down'!X70/1000</f>
        <v>0</v>
      </c>
      <c r="M130" s="1166">
        <f t="shared" ca="1" si="33"/>
        <v>0</v>
      </c>
      <c r="N130" s="1682">
        <f ca="1">'Sell-down'!Y70</f>
        <v>0</v>
      </c>
    </row>
    <row r="131" spans="2:14" ht="11.25" customHeight="1">
      <c r="B131" s="1183">
        <f>'Sell-down'!M71</f>
        <v>4</v>
      </c>
      <c r="C131" s="1166">
        <f>'Sell-down'!N71/1000</f>
        <v>0</v>
      </c>
      <c r="D131" s="1181">
        <f ca="1">'Sell-down'!O71/1000</f>
        <v>0</v>
      </c>
      <c r="E131" s="1181">
        <f>'Sell-down'!P71/1000</f>
        <v>0</v>
      </c>
      <c r="F131" s="1166">
        <f t="shared" ca="1" si="31"/>
        <v>0</v>
      </c>
      <c r="G131" s="1682">
        <f ca="1">'Sell-down'!Q71</f>
        <v>0</v>
      </c>
      <c r="I131" s="1183">
        <f t="shared" si="32"/>
        <v>4</v>
      </c>
      <c r="J131" s="1166">
        <f>'Sell-down'!V71/1000</f>
        <v>14800</v>
      </c>
      <c r="K131" s="1181">
        <f ca="1">'Sell-down'!W71/1000</f>
        <v>0</v>
      </c>
      <c r="L131" s="1181">
        <f>'Sell-down'!X71/1000</f>
        <v>0</v>
      </c>
      <c r="M131" s="1166">
        <f t="shared" ca="1" si="33"/>
        <v>0</v>
      </c>
      <c r="N131" s="1682">
        <f ca="1">'Sell-down'!Y71</f>
        <v>0</v>
      </c>
    </row>
    <row r="132" spans="2:14" ht="11.25" customHeight="1">
      <c r="B132" s="1183">
        <f>'Sell-down'!M72</f>
        <v>5</v>
      </c>
      <c r="C132" s="1166">
        <f>'Sell-down'!N72/1000</f>
        <v>24215.232601880878</v>
      </c>
      <c r="D132" s="1181">
        <f ca="1">'Sell-down'!O72/1000</f>
        <v>840.00000000000011</v>
      </c>
      <c r="E132" s="1181">
        <f>'Sell-down'!P72/1000</f>
        <v>0</v>
      </c>
      <c r="F132" s="1166">
        <f t="shared" ca="1" si="31"/>
        <v>840.00000000000011</v>
      </c>
      <c r="G132" s="1682">
        <f ca="1">'Sell-down'!Q72</f>
        <v>6.9377817988397483E-2</v>
      </c>
      <c r="I132" s="1183">
        <f t="shared" si="32"/>
        <v>5</v>
      </c>
      <c r="J132" s="1166">
        <f>'Sell-down'!V72/1000</f>
        <v>14800</v>
      </c>
      <c r="K132" s="1181">
        <f ca="1">'Sell-down'!W72/1000</f>
        <v>0</v>
      </c>
      <c r="L132" s="1181">
        <f>'Sell-down'!X72/1000</f>
        <v>0</v>
      </c>
      <c r="M132" s="1166">
        <f t="shared" ca="1" si="33"/>
        <v>0</v>
      </c>
      <c r="N132" s="1682">
        <f ca="1">'Sell-down'!Y72</f>
        <v>0</v>
      </c>
    </row>
    <row r="133" spans="2:14" ht="11.25" customHeight="1">
      <c r="B133" s="1183">
        <f>'Sell-down'!M73</f>
        <v>6</v>
      </c>
      <c r="C133" s="1166">
        <f>'Sell-down'!N73/1000</f>
        <v>24215.232601880878</v>
      </c>
      <c r="D133" s="1181">
        <f ca="1">'Sell-down'!O73/1000</f>
        <v>840.00000000000011</v>
      </c>
      <c r="E133" s="1181">
        <f>'Sell-down'!P73/1000</f>
        <v>0</v>
      </c>
      <c r="F133" s="1166">
        <f t="shared" ca="1" si="31"/>
        <v>840.00000000000011</v>
      </c>
      <c r="G133" s="1682">
        <f ca="1">'Sell-down'!Q73</f>
        <v>6.9377817988397483E-2</v>
      </c>
      <c r="I133" s="1183">
        <f t="shared" si="32"/>
        <v>6</v>
      </c>
      <c r="J133" s="1166">
        <f>'Sell-down'!V73/1000</f>
        <v>14800</v>
      </c>
      <c r="K133" s="1181">
        <f ca="1">'Sell-down'!W73/1000</f>
        <v>0</v>
      </c>
      <c r="L133" s="1181">
        <f>'Sell-down'!X73/1000</f>
        <v>0</v>
      </c>
      <c r="M133" s="1166">
        <f t="shared" ca="1" si="33"/>
        <v>0</v>
      </c>
      <c r="N133" s="1682">
        <f ca="1">'Sell-down'!Y73</f>
        <v>0</v>
      </c>
    </row>
    <row r="134" spans="2:14" ht="11.25" customHeight="1">
      <c r="B134" s="1183">
        <f>'Sell-down'!M74</f>
        <v>7</v>
      </c>
      <c r="C134" s="1166">
        <f>'Sell-down'!N74/1000</f>
        <v>24215.232601880878</v>
      </c>
      <c r="D134" s="1181">
        <f ca="1">'Sell-down'!O74/1000</f>
        <v>840.00000000000011</v>
      </c>
      <c r="E134" s="1181">
        <f>'Sell-down'!P74/1000</f>
        <v>0</v>
      </c>
      <c r="F134" s="1166">
        <f t="shared" ca="1" si="31"/>
        <v>840.00000000000011</v>
      </c>
      <c r="G134" s="1682">
        <f ca="1">'Sell-down'!Q74</f>
        <v>6.9377817988397483E-2</v>
      </c>
      <c r="I134" s="1183">
        <f t="shared" si="32"/>
        <v>7</v>
      </c>
      <c r="J134" s="1166">
        <f>'Sell-down'!V74/1000</f>
        <v>14800</v>
      </c>
      <c r="K134" s="1181">
        <f ca="1">'Sell-down'!W74/1000</f>
        <v>0</v>
      </c>
      <c r="L134" s="1181">
        <f>'Sell-down'!X74/1000</f>
        <v>0</v>
      </c>
      <c r="M134" s="1166">
        <f t="shared" ca="1" si="33"/>
        <v>0</v>
      </c>
      <c r="N134" s="1682">
        <f ca="1">'Sell-down'!Y74</f>
        <v>0</v>
      </c>
    </row>
    <row r="135" spans="2:14" ht="11.25" customHeight="1">
      <c r="B135" s="1183">
        <f>'Sell-down'!M75</f>
        <v>8</v>
      </c>
      <c r="C135" s="1166">
        <f>'Sell-down'!N75/1000</f>
        <v>24215.232601880878</v>
      </c>
      <c r="D135" s="1181">
        <f ca="1">'Sell-down'!O75/1000</f>
        <v>840.00000000000011</v>
      </c>
      <c r="E135" s="1181">
        <f>'Sell-down'!P75/1000</f>
        <v>0</v>
      </c>
      <c r="F135" s="1166">
        <f t="shared" ca="1" si="31"/>
        <v>840.00000000000011</v>
      </c>
      <c r="G135" s="1682">
        <f ca="1">'Sell-down'!Q75</f>
        <v>6.9377817988397483E-2</v>
      </c>
      <c r="I135" s="1183">
        <f t="shared" si="32"/>
        <v>8</v>
      </c>
      <c r="J135" s="1166">
        <f>'Sell-down'!V75/1000</f>
        <v>14800</v>
      </c>
      <c r="K135" s="1181">
        <f ca="1">'Sell-down'!W75/1000</f>
        <v>0</v>
      </c>
      <c r="L135" s="1181">
        <f>'Sell-down'!X75/1000</f>
        <v>0</v>
      </c>
      <c r="M135" s="1166">
        <f t="shared" ca="1" si="33"/>
        <v>0</v>
      </c>
      <c r="N135" s="1682">
        <f ca="1">'Sell-down'!Y75</f>
        <v>0</v>
      </c>
    </row>
    <row r="136" spans="2:14" ht="11.25" customHeight="1">
      <c r="B136" s="1183">
        <f>'Sell-down'!M76</f>
        <v>9</v>
      </c>
      <c r="C136" s="1166">
        <f>'Sell-down'!N76/1000</f>
        <v>24215.232601880878</v>
      </c>
      <c r="D136" s="1181">
        <f ca="1">'Sell-down'!O76/1000</f>
        <v>840.00000000000011</v>
      </c>
      <c r="E136" s="1181">
        <f>'Sell-down'!P76/1000</f>
        <v>0</v>
      </c>
      <c r="F136" s="1166">
        <f t="shared" ca="1" si="31"/>
        <v>840.00000000000011</v>
      </c>
      <c r="G136" s="1682">
        <f ca="1">'Sell-down'!Q76</f>
        <v>6.9377817988397483E-2</v>
      </c>
      <c r="I136" s="1183">
        <f t="shared" si="32"/>
        <v>9</v>
      </c>
      <c r="J136" s="1166">
        <f>'Sell-down'!V76/1000</f>
        <v>14800</v>
      </c>
      <c r="K136" s="1181">
        <f ca="1">'Sell-down'!W76/1000</f>
        <v>0</v>
      </c>
      <c r="L136" s="1181">
        <f>'Sell-down'!X76/1000</f>
        <v>0</v>
      </c>
      <c r="M136" s="1166">
        <f t="shared" ca="1" si="33"/>
        <v>0</v>
      </c>
      <c r="N136" s="1682">
        <f ca="1">'Sell-down'!Y76</f>
        <v>0</v>
      </c>
    </row>
    <row r="137" spans="2:14" ht="11.25" customHeight="1">
      <c r="B137" s="1183">
        <f>'Sell-down'!M77</f>
        <v>10</v>
      </c>
      <c r="C137" s="1166">
        <f>'Sell-down'!N77/1000</f>
        <v>24215.232601880878</v>
      </c>
      <c r="D137" s="1181">
        <f ca="1">'Sell-down'!O77/1000</f>
        <v>840.00000000000011</v>
      </c>
      <c r="E137" s="1181">
        <f>'Sell-down'!P77/1000</f>
        <v>0</v>
      </c>
      <c r="F137" s="1166">
        <f t="shared" ca="1" si="31"/>
        <v>840.00000000000011</v>
      </c>
      <c r="G137" s="1682">
        <f ca="1">'Sell-down'!Q77</f>
        <v>6.9377817988397483E-2</v>
      </c>
      <c r="I137" s="1183">
        <f t="shared" si="32"/>
        <v>10</v>
      </c>
      <c r="J137" s="1166">
        <f>'Sell-down'!V77/1000</f>
        <v>14800</v>
      </c>
      <c r="K137" s="1181">
        <f ca="1">'Sell-down'!W77/1000</f>
        <v>0</v>
      </c>
      <c r="L137" s="1181">
        <f>'Sell-down'!X77/1000</f>
        <v>0</v>
      </c>
      <c r="M137" s="1166">
        <f t="shared" ca="1" si="33"/>
        <v>0</v>
      </c>
      <c r="N137" s="1682">
        <f ca="1">'Sell-down'!Y77</f>
        <v>0</v>
      </c>
    </row>
    <row r="138" spans="2:14" ht="11.25" customHeight="1">
      <c r="B138" s="1183">
        <f>'Sell-down'!M78</f>
        <v>11</v>
      </c>
      <c r="C138" s="1166">
        <f>'Sell-down'!N78/1000</f>
        <v>24215.232601880878</v>
      </c>
      <c r="D138" s="1181">
        <f ca="1">'Sell-down'!O78/1000</f>
        <v>840.00000000000011</v>
      </c>
      <c r="E138" s="1181">
        <f>'Sell-down'!P78/1000</f>
        <v>0</v>
      </c>
      <c r="F138" s="1166">
        <f t="shared" ca="1" si="31"/>
        <v>840.00000000000011</v>
      </c>
      <c r="G138" s="1682">
        <f ca="1">'Sell-down'!Q78</f>
        <v>6.9377817988397483E-2</v>
      </c>
      <c r="I138" s="1183">
        <f t="shared" si="32"/>
        <v>11</v>
      </c>
      <c r="J138" s="1166">
        <f>'Sell-down'!V78/1000</f>
        <v>14800</v>
      </c>
      <c r="K138" s="1181">
        <f ca="1">'Sell-down'!W78/1000</f>
        <v>0</v>
      </c>
      <c r="L138" s="1181">
        <f>'Sell-down'!X78/1000</f>
        <v>0</v>
      </c>
      <c r="M138" s="1166">
        <f t="shared" ca="1" si="33"/>
        <v>0</v>
      </c>
      <c r="N138" s="1682">
        <f ca="1">'Sell-down'!Y78</f>
        <v>0</v>
      </c>
    </row>
    <row r="139" spans="2:14" ht="11.25" customHeight="1">
      <c r="B139" s="1183">
        <f>'Sell-down'!M79</f>
        <v>12</v>
      </c>
      <c r="C139" s="1166">
        <f>'Sell-down'!N79/1000</f>
        <v>24215.232601880878</v>
      </c>
      <c r="D139" s="1181">
        <f ca="1">'Sell-down'!O79/1000</f>
        <v>840.00000000000011</v>
      </c>
      <c r="E139" s="1181">
        <f>'Sell-down'!P79/1000</f>
        <v>0</v>
      </c>
      <c r="F139" s="1166">
        <f t="shared" ca="1" si="31"/>
        <v>840.00000000000011</v>
      </c>
      <c r="G139" s="1682">
        <f ca="1">'Sell-down'!Q79</f>
        <v>6.9377817988397483E-2</v>
      </c>
      <c r="I139" s="1183">
        <f t="shared" si="32"/>
        <v>12</v>
      </c>
      <c r="J139" s="1166">
        <f>'Sell-down'!V79/1000</f>
        <v>14800</v>
      </c>
      <c r="K139" s="1181">
        <f ca="1">'Sell-down'!W79/1000</f>
        <v>0</v>
      </c>
      <c r="L139" s="1181">
        <f>'Sell-down'!X79/1000</f>
        <v>0</v>
      </c>
      <c r="M139" s="1166">
        <f t="shared" ca="1" si="33"/>
        <v>0</v>
      </c>
      <c r="N139" s="1682">
        <f ca="1">'Sell-down'!Y79</f>
        <v>0</v>
      </c>
    </row>
    <row r="140" spans="2:14" ht="11.25" customHeight="1">
      <c r="B140" s="1183">
        <f>'Sell-down'!M80</f>
        <v>13</v>
      </c>
      <c r="C140" s="1166">
        <f>'Sell-down'!N80/1000</f>
        <v>24215.232601880878</v>
      </c>
      <c r="D140" s="1181">
        <f ca="1">'Sell-down'!O80/1000</f>
        <v>840.00000000000011</v>
      </c>
      <c r="E140" s="1181">
        <f>'Sell-down'!P80/1000</f>
        <v>0</v>
      </c>
      <c r="F140" s="1166">
        <f t="shared" ca="1" si="31"/>
        <v>840.00000000000011</v>
      </c>
      <c r="G140" s="1682">
        <f ca="1">'Sell-down'!Q80</f>
        <v>6.9377817988397483E-2</v>
      </c>
      <c r="I140" s="1183">
        <f t="shared" si="32"/>
        <v>13</v>
      </c>
      <c r="J140" s="1166">
        <f>'Sell-down'!V80/1000</f>
        <v>14800</v>
      </c>
      <c r="K140" s="1181">
        <f ca="1">'Sell-down'!W80/1000</f>
        <v>0</v>
      </c>
      <c r="L140" s="1181">
        <f>'Sell-down'!X80/1000</f>
        <v>0</v>
      </c>
      <c r="M140" s="1166">
        <f t="shared" ca="1" si="33"/>
        <v>0</v>
      </c>
      <c r="N140" s="1682">
        <f ca="1">'Sell-down'!Y80</f>
        <v>0</v>
      </c>
    </row>
    <row r="141" spans="2:14" ht="11.25" customHeight="1">
      <c r="B141" s="1183">
        <f>'Sell-down'!M81</f>
        <v>14</v>
      </c>
      <c r="C141" s="1166">
        <f>'Sell-down'!N81/1000</f>
        <v>24215.232601880878</v>
      </c>
      <c r="D141" s="1181">
        <f ca="1">'Sell-down'!O81/1000</f>
        <v>840.00000000000011</v>
      </c>
      <c r="E141" s="1181">
        <f>'Sell-down'!P81/1000</f>
        <v>0</v>
      </c>
      <c r="F141" s="1166">
        <f t="shared" ca="1" si="31"/>
        <v>840.00000000000011</v>
      </c>
      <c r="G141" s="1682">
        <f ca="1">'Sell-down'!Q81</f>
        <v>6.9377817988397483E-2</v>
      </c>
      <c r="I141" s="1183">
        <f t="shared" si="32"/>
        <v>14</v>
      </c>
      <c r="J141" s="1166">
        <f>'Sell-down'!V81/1000</f>
        <v>14800</v>
      </c>
      <c r="K141" s="1181">
        <f ca="1">'Sell-down'!W81/1000</f>
        <v>0</v>
      </c>
      <c r="L141" s="1181">
        <f>'Sell-down'!X81/1000</f>
        <v>0</v>
      </c>
      <c r="M141" s="1166">
        <f t="shared" ca="1" si="33"/>
        <v>0</v>
      </c>
      <c r="N141" s="1682">
        <f ca="1">'Sell-down'!Y81</f>
        <v>0</v>
      </c>
    </row>
    <row r="142" spans="2:14" ht="11.25" customHeight="1">
      <c r="B142" s="1183">
        <f>'Sell-down'!M82</f>
        <v>15</v>
      </c>
      <c r="C142" s="1166">
        <f>'Sell-down'!N82/1000</f>
        <v>24215.232601880878</v>
      </c>
      <c r="D142" s="1181">
        <f ca="1">'Sell-down'!O82/1000</f>
        <v>840.00000000000011</v>
      </c>
      <c r="E142" s="1181">
        <f>'Sell-down'!P82/1000</f>
        <v>0</v>
      </c>
      <c r="F142" s="1166">
        <f t="shared" ca="1" si="31"/>
        <v>840.00000000000011</v>
      </c>
      <c r="G142" s="1682">
        <f ca="1">'Sell-down'!Q82</f>
        <v>6.9377817988397483E-2</v>
      </c>
      <c r="I142" s="1183">
        <f t="shared" si="32"/>
        <v>15</v>
      </c>
      <c r="J142" s="1166">
        <f>'Sell-down'!V82/1000</f>
        <v>14800</v>
      </c>
      <c r="K142" s="1181">
        <f ca="1">'Sell-down'!W82/1000</f>
        <v>0</v>
      </c>
      <c r="L142" s="1181">
        <f>'Sell-down'!X82/1000</f>
        <v>0</v>
      </c>
      <c r="M142" s="1166">
        <f t="shared" ca="1" si="33"/>
        <v>0</v>
      </c>
      <c r="N142" s="1682">
        <f ca="1">'Sell-down'!Y82</f>
        <v>0</v>
      </c>
    </row>
    <row r="143" spans="2:14" ht="11.25" customHeight="1">
      <c r="B143" s="1183">
        <f>'Sell-down'!M83</f>
        <v>16</v>
      </c>
      <c r="C143" s="1166">
        <f>'Sell-down'!N83/1000</f>
        <v>24215.232601880878</v>
      </c>
      <c r="D143" s="1181">
        <f ca="1">'Sell-down'!O83/1000</f>
        <v>840.00000000000011</v>
      </c>
      <c r="E143" s="1181">
        <f>'Sell-down'!P83/1000</f>
        <v>0</v>
      </c>
      <c r="F143" s="1166">
        <f t="shared" ca="1" si="31"/>
        <v>840.00000000000011</v>
      </c>
      <c r="G143" s="1682">
        <f ca="1">'Sell-down'!Q83</f>
        <v>6.9377817988397483E-2</v>
      </c>
      <c r="I143" s="1183">
        <f t="shared" si="32"/>
        <v>16</v>
      </c>
      <c r="J143" s="1166">
        <f>'Sell-down'!V83/1000</f>
        <v>14800</v>
      </c>
      <c r="K143" s="1181">
        <f ca="1">'Sell-down'!W83/1000</f>
        <v>0</v>
      </c>
      <c r="L143" s="1181">
        <f>'Sell-down'!X83/1000</f>
        <v>0</v>
      </c>
      <c r="M143" s="1166">
        <f t="shared" ca="1" si="33"/>
        <v>0</v>
      </c>
      <c r="N143" s="1682">
        <f ca="1">'Sell-down'!Y83</f>
        <v>0</v>
      </c>
    </row>
    <row r="144" spans="2:14" ht="11.25" customHeight="1">
      <c r="B144" s="1183">
        <f>'Sell-down'!M84</f>
        <v>17</v>
      </c>
      <c r="C144" s="1166">
        <f>'Sell-down'!N84/1000</f>
        <v>24215.232601880878</v>
      </c>
      <c r="D144" s="1181">
        <f ca="1">'Sell-down'!O84/1000</f>
        <v>840.00000000000011</v>
      </c>
      <c r="E144" s="1181">
        <f>'Sell-down'!P84/1000</f>
        <v>0</v>
      </c>
      <c r="F144" s="1166">
        <f t="shared" ca="1" si="31"/>
        <v>840.00000000000011</v>
      </c>
      <c r="G144" s="1682">
        <f ca="1">'Sell-down'!Q84</f>
        <v>6.9377817988397483E-2</v>
      </c>
      <c r="I144" s="1183">
        <f t="shared" si="32"/>
        <v>17</v>
      </c>
      <c r="J144" s="1166">
        <f>'Sell-down'!V84/1000</f>
        <v>14800</v>
      </c>
      <c r="K144" s="1181">
        <f ca="1">'Sell-down'!W84/1000</f>
        <v>0</v>
      </c>
      <c r="L144" s="1181">
        <f>'Sell-down'!X84/1000</f>
        <v>0</v>
      </c>
      <c r="M144" s="1166">
        <f t="shared" ca="1" si="33"/>
        <v>0</v>
      </c>
      <c r="N144" s="1682">
        <f ca="1">'Sell-down'!Y84</f>
        <v>0</v>
      </c>
    </row>
    <row r="145" spans="2:14" ht="11.25" customHeight="1">
      <c r="B145" s="1183">
        <f>'Sell-down'!M85</f>
        <v>18</v>
      </c>
      <c r="C145" s="1166">
        <f>'Sell-down'!N85/1000</f>
        <v>24215.232601880878</v>
      </c>
      <c r="D145" s="1181">
        <f ca="1">'Sell-down'!O85/1000</f>
        <v>840.00000000000011</v>
      </c>
      <c r="E145" s="1181">
        <f>'Sell-down'!P85/1000</f>
        <v>0</v>
      </c>
      <c r="F145" s="1166">
        <f t="shared" ca="1" si="31"/>
        <v>840.00000000000011</v>
      </c>
      <c r="G145" s="1682">
        <f ca="1">'Sell-down'!Q85</f>
        <v>6.9377817988397483E-2</v>
      </c>
      <c r="I145" s="1183">
        <f t="shared" si="32"/>
        <v>18</v>
      </c>
      <c r="J145" s="1166">
        <f>'Sell-down'!V85/1000</f>
        <v>14800</v>
      </c>
      <c r="K145" s="1181">
        <f ca="1">'Sell-down'!W85/1000</f>
        <v>0</v>
      </c>
      <c r="L145" s="1181">
        <f>'Sell-down'!X85/1000</f>
        <v>0</v>
      </c>
      <c r="M145" s="1166">
        <f t="shared" ca="1" si="33"/>
        <v>0</v>
      </c>
      <c r="N145" s="1682">
        <f ca="1">'Sell-down'!Y85</f>
        <v>0</v>
      </c>
    </row>
    <row r="146" spans="2:14" ht="11.25" customHeight="1">
      <c r="B146" s="1183">
        <f>'Sell-down'!M86</f>
        <v>19</v>
      </c>
      <c r="C146" s="1166">
        <f>'Sell-down'!N86/1000</f>
        <v>24215.232601880878</v>
      </c>
      <c r="D146" s="1181">
        <f ca="1">'Sell-down'!O86/1000</f>
        <v>840.00000000000011</v>
      </c>
      <c r="E146" s="1181">
        <f>'Sell-down'!P86/1000</f>
        <v>0</v>
      </c>
      <c r="F146" s="1166">
        <f t="shared" ca="1" si="31"/>
        <v>840.00000000000011</v>
      </c>
      <c r="G146" s="1682">
        <f ca="1">'Sell-down'!Q86</f>
        <v>6.9377817988397483E-2</v>
      </c>
      <c r="I146" s="1183">
        <f t="shared" si="32"/>
        <v>19</v>
      </c>
      <c r="J146" s="1166">
        <f>'Sell-down'!V86/1000</f>
        <v>14800</v>
      </c>
      <c r="K146" s="1181">
        <f ca="1">'Sell-down'!W86/1000</f>
        <v>0</v>
      </c>
      <c r="L146" s="1181">
        <f>'Sell-down'!X86/1000</f>
        <v>0</v>
      </c>
      <c r="M146" s="1166">
        <f t="shared" ca="1" si="33"/>
        <v>0</v>
      </c>
      <c r="N146" s="1682">
        <f ca="1">'Sell-down'!Y86</f>
        <v>0</v>
      </c>
    </row>
    <row r="147" spans="2:14" ht="11.25" customHeight="1">
      <c r="B147" s="1183">
        <f>'Sell-down'!M87</f>
        <v>20</v>
      </c>
      <c r="C147" s="1166">
        <f>'Sell-down'!N87/1000</f>
        <v>24215.232601880878</v>
      </c>
      <c r="D147" s="1181">
        <f ca="1">'Sell-down'!O87/1000</f>
        <v>840.00000000000011</v>
      </c>
      <c r="E147" s="1181">
        <f>'Sell-down'!P87/1000</f>
        <v>-215.23260188087821</v>
      </c>
      <c r="F147" s="1166">
        <f t="shared" ca="1" si="31"/>
        <v>624.76739811912194</v>
      </c>
      <c r="G147" s="1682">
        <f ca="1">'Sell-down'!Q87</f>
        <v>5.1601189085467972E-2</v>
      </c>
      <c r="I147" s="1183">
        <f t="shared" si="32"/>
        <v>20</v>
      </c>
      <c r="J147" s="1166">
        <f>'Sell-down'!V87/1000</f>
        <v>14800</v>
      </c>
      <c r="K147" s="1181">
        <f ca="1">'Sell-down'!W87/1000</f>
        <v>0</v>
      </c>
      <c r="L147" s="1181">
        <f>'Sell-down'!X87/1000</f>
        <v>48460.427819552773</v>
      </c>
      <c r="M147" s="1166">
        <f t="shared" ca="1" si="33"/>
        <v>48460.427819552773</v>
      </c>
      <c r="N147" s="1682">
        <f ca="1">'Sell-down'!Y87</f>
        <v>6.5487064621017259</v>
      </c>
    </row>
    <row r="148" spans="2:14" ht="11.25" customHeight="1">
      <c r="B148" s="1175" t="s">
        <v>104</v>
      </c>
      <c r="C148" s="1168"/>
      <c r="D148" s="1182">
        <f ca="1">SUM(D127:D147)</f>
        <v>13440.000000000002</v>
      </c>
      <c r="E148" s="1182">
        <f>SUM(E127:E147)</f>
        <v>-215.23260188087821</v>
      </c>
      <c r="F148" s="1168">
        <f ca="1">SUM(F127:F147)</f>
        <v>13224.767398119124</v>
      </c>
      <c r="G148" s="1180"/>
      <c r="I148" s="1175" t="s">
        <v>104</v>
      </c>
      <c r="J148" s="1168"/>
      <c r="K148" s="1182">
        <f ca="1">SUM(K127:K147)</f>
        <v>1110</v>
      </c>
      <c r="L148" s="1182">
        <f>SUM(L127:L147)</f>
        <v>48460.427819552773</v>
      </c>
      <c r="M148" s="1168">
        <f ca="1">SUM(M127:M147)</f>
        <v>49570.427819552773</v>
      </c>
      <c r="N148" s="1180"/>
    </row>
    <row r="149" spans="2:14" ht="11.25" customHeight="1">
      <c r="B149" s="1175" t="s">
        <v>663</v>
      </c>
      <c r="C149" s="2800">
        <f>'Sell-down'!I15/1000</f>
        <v>24215.232601880878</v>
      </c>
      <c r="D149" s="2801"/>
      <c r="E149" s="2801"/>
      <c r="F149" s="2801"/>
      <c r="G149" s="2801"/>
      <c r="I149" s="1175" t="s">
        <v>663</v>
      </c>
      <c r="J149" s="2800">
        <f>'Sell-down'!I37/1000</f>
        <v>14800</v>
      </c>
      <c r="K149" s="2801"/>
      <c r="L149" s="2801"/>
      <c r="M149" s="2801"/>
      <c r="N149" s="2801"/>
    </row>
    <row r="150" spans="2:14" ht="11.25" customHeight="1">
      <c r="B150" s="1175" t="s">
        <v>664</v>
      </c>
      <c r="C150" s="2802">
        <f ca="1">'Sell-down'!H19</f>
        <v>6.9377817988397483E-2</v>
      </c>
      <c r="D150" s="2803"/>
      <c r="E150" s="2803"/>
      <c r="F150" s="2803"/>
      <c r="G150" s="2803"/>
      <c r="I150" s="1175" t="s">
        <v>664</v>
      </c>
      <c r="J150" s="2802">
        <f ca="1">'Sell-down'!H41</f>
        <v>7.4999999999999997E-3</v>
      </c>
      <c r="K150" s="2803"/>
      <c r="L150" s="2803"/>
      <c r="M150" s="2803"/>
      <c r="N150" s="2803"/>
    </row>
    <row r="151" spans="2:14" ht="11.25" customHeight="1">
      <c r="B151" s="1175" t="s">
        <v>665</v>
      </c>
      <c r="C151" s="2804">
        <f ca="1">'Sell-down'!I20</f>
        <v>6.8811380144469858E-2</v>
      </c>
      <c r="D151" s="2805"/>
      <c r="E151" s="2805"/>
      <c r="F151" s="2805"/>
      <c r="G151" s="2805"/>
      <c r="I151" s="1175" t="s">
        <v>665</v>
      </c>
      <c r="J151" s="2804">
        <f ca="1">'Sell-down'!I42</f>
        <v>0.16438586395039967</v>
      </c>
      <c r="K151" s="2805"/>
      <c r="L151" s="2805"/>
      <c r="M151" s="2805"/>
      <c r="N151" s="2805"/>
    </row>
    <row r="152" spans="2:14" ht="11.25" customHeight="1" thickBot="1">
      <c r="B152" s="1176" t="s">
        <v>666</v>
      </c>
      <c r="C152" s="2798">
        <f ca="1">SUM(F148+C149)/C149</f>
        <v>1.546134229455715</v>
      </c>
      <c r="D152" s="2799"/>
      <c r="E152" s="2799"/>
      <c r="F152" s="2799"/>
      <c r="G152" s="2799"/>
      <c r="I152" s="1176" t="s">
        <v>666</v>
      </c>
      <c r="J152" s="2798">
        <f ca="1">SUM(M148+J149)/J149</f>
        <v>4.3493532310508627</v>
      </c>
      <c r="K152" s="2799"/>
      <c r="L152" s="2799"/>
      <c r="M152" s="2799"/>
      <c r="N152" s="2799"/>
    </row>
    <row r="157" spans="2:14" ht="11.25" customHeight="1" thickBot="1"/>
    <row r="158" spans="2:14" ht="11.25" customHeight="1">
      <c r="C158" s="2764" t="s">
        <v>620</v>
      </c>
      <c r="D158" s="1178" t="s">
        <v>1043</v>
      </c>
      <c r="E158" s="1178" t="s">
        <v>1044</v>
      </c>
      <c r="F158" s="1178" t="s">
        <v>1045</v>
      </c>
      <c r="G158" s="1178" t="s">
        <v>1046</v>
      </c>
      <c r="H158" s="1178" t="s">
        <v>1047</v>
      </c>
      <c r="I158" s="1178" t="s">
        <v>1048</v>
      </c>
      <c r="J158" s="1178" t="s">
        <v>1049</v>
      </c>
      <c r="K158" s="1178" t="s">
        <v>1050</v>
      </c>
      <c r="L158" s="1178" t="s">
        <v>1051</v>
      </c>
      <c r="M158" s="1178" t="s">
        <v>1052</v>
      </c>
    </row>
    <row r="159" spans="2:14" ht="11.25" customHeight="1">
      <c r="C159" s="2765"/>
      <c r="D159" s="1690" t="s">
        <v>1053</v>
      </c>
      <c r="E159" s="1690" t="s">
        <v>1054</v>
      </c>
      <c r="F159" s="1690" t="s">
        <v>1055</v>
      </c>
      <c r="G159" s="1690" t="s">
        <v>1056</v>
      </c>
      <c r="H159" s="1690" t="s">
        <v>1057</v>
      </c>
      <c r="I159" s="1690" t="s">
        <v>1058</v>
      </c>
      <c r="J159" s="1690" t="s">
        <v>1059</v>
      </c>
      <c r="K159" s="1690" t="s">
        <v>1060</v>
      </c>
      <c r="L159" s="1690" t="s">
        <v>1061</v>
      </c>
      <c r="M159" s="1690" t="s">
        <v>1062</v>
      </c>
    </row>
    <row r="160" spans="2:14" ht="11.25" customHeight="1">
      <c r="C160" s="1692" t="s">
        <v>1063</v>
      </c>
      <c r="D160" s="1195"/>
      <c r="E160" s="1693"/>
      <c r="F160" s="1694"/>
      <c r="G160" s="1195"/>
      <c r="H160" s="1195"/>
      <c r="I160" s="1195"/>
      <c r="J160" s="1195"/>
      <c r="K160" s="1195"/>
      <c r="L160" s="1195"/>
      <c r="M160" s="1195"/>
    </row>
    <row r="161" spans="3:13" ht="11.25" customHeight="1">
      <c r="C161" s="1692" t="s">
        <v>1064</v>
      </c>
      <c r="D161" s="1195"/>
      <c r="E161" s="1693"/>
      <c r="F161" s="1695"/>
      <c r="G161" s="1696"/>
      <c r="H161" s="1696"/>
      <c r="I161" s="1696"/>
      <c r="J161" s="1696"/>
      <c r="K161" s="1195"/>
      <c r="L161" s="1195"/>
      <c r="M161" s="1195"/>
    </row>
    <row r="162" spans="3:13" ht="11.25" customHeight="1">
      <c r="C162" s="1692" t="s">
        <v>1065</v>
      </c>
      <c r="D162" s="1195"/>
      <c r="E162" s="1195"/>
      <c r="F162" s="1697"/>
      <c r="G162" s="1698"/>
      <c r="H162" s="1698"/>
      <c r="I162" s="1698"/>
      <c r="J162" s="1699"/>
      <c r="K162" s="1694"/>
      <c r="L162" s="1195"/>
      <c r="M162" s="1195"/>
    </row>
    <row r="163" spans="3:13" ht="11.25" customHeight="1">
      <c r="C163" s="1692" t="s">
        <v>1066</v>
      </c>
      <c r="D163" s="1195"/>
      <c r="E163" s="1195"/>
      <c r="F163" s="1693"/>
      <c r="G163" s="1700"/>
      <c r="H163" s="1697"/>
      <c r="I163" s="1697"/>
      <c r="J163" s="1697"/>
      <c r="K163" s="1195"/>
      <c r="L163" s="1195"/>
      <c r="M163" s="1195"/>
    </row>
    <row r="164" spans="3:13" ht="11.25" customHeight="1">
      <c r="C164" s="1692" t="s">
        <v>1067</v>
      </c>
      <c r="D164" s="1696"/>
      <c r="E164" s="1696"/>
      <c r="F164" s="1701"/>
      <c r="G164" s="1694"/>
      <c r="H164" s="1195"/>
      <c r="I164" s="1195"/>
      <c r="J164" s="1195"/>
      <c r="K164" s="1195"/>
      <c r="L164" s="1195"/>
      <c r="M164" s="1195"/>
    </row>
    <row r="165" spans="3:13" ht="11.25" customHeight="1">
      <c r="C165" s="1702" t="s">
        <v>1068</v>
      </c>
      <c r="D165" s="1700"/>
      <c r="E165" s="1697"/>
      <c r="F165" s="1697"/>
      <c r="G165" s="1195"/>
      <c r="H165" s="1195"/>
      <c r="I165" s="1195"/>
      <c r="J165" s="1195"/>
      <c r="K165" s="1195"/>
      <c r="L165" s="1195"/>
      <c r="M165" s="1195"/>
    </row>
    <row r="166" spans="3:13" ht="11.25" customHeight="1">
      <c r="C166" s="1691" t="s">
        <v>1070</v>
      </c>
      <c r="D166" s="1689">
        <f>'A&amp;R'!Y56/1000</f>
        <v>58.205527443968997</v>
      </c>
      <c r="E166" s="1689">
        <f>'A&amp;R'!Z56/1000</f>
        <v>58.545911729265846</v>
      </c>
      <c r="F166" s="1689">
        <f>'A&amp;R'!AA56/1000</f>
        <v>41.093174703449776</v>
      </c>
      <c r="G166" s="1689">
        <f>'A&amp;R'!AB56/1000</f>
        <v>61.696700462715867</v>
      </c>
      <c r="H166" s="1689">
        <f>'A&amp;R'!AC56/1000</f>
        <v>61.48426517789531</v>
      </c>
      <c r="I166" s="1689">
        <f>'A&amp;R'!AD56/1000</f>
        <v>61.238644598436778</v>
      </c>
      <c r="J166" s="1689">
        <f>'A&amp;R'!AE56/1000</f>
        <v>60.994174754778157</v>
      </c>
      <c r="K166" s="1689">
        <f>'A&amp;R'!AF56/1000</f>
        <v>60.049619077992773</v>
      </c>
      <c r="L166" s="1689">
        <f>'A&amp;R'!AG56/1000</f>
        <v>59.522607036915709</v>
      </c>
      <c r="M166" s="1689">
        <f>'A&amp;R'!AH56/1000</f>
        <v>59.289742960984739</v>
      </c>
    </row>
    <row r="167" spans="3:13" ht="11.25" customHeight="1">
      <c r="C167" s="1691" t="s">
        <v>1069</v>
      </c>
      <c r="D167" s="1703">
        <f>'A&amp;R'!Y41/100000</f>
        <v>153.37100219276346</v>
      </c>
      <c r="E167" s="1703">
        <f>'A&amp;R'!Z41/100000</f>
        <v>156.82859408385647</v>
      </c>
      <c r="F167" s="1703">
        <f>'A&amp;R'!AA41/100000</f>
        <v>113.66672111531518</v>
      </c>
      <c r="G167" s="1703">
        <f>'A&amp;R'!AB41/100000</f>
        <v>174.82771279269997</v>
      </c>
      <c r="H167" s="1703">
        <f>'A&amp;R'!AC41/100000</f>
        <v>179.24190017740355</v>
      </c>
      <c r="I167" s="1703">
        <f>'A&amp;R'!AD41/100000</f>
        <v>183.66754183811258</v>
      </c>
      <c r="J167" s="1703">
        <f>'A&amp;R'!AE41/100000</f>
        <v>188.20382454033938</v>
      </c>
      <c r="K167" s="1703">
        <f>'A&amp;R'!AF41/100000</f>
        <v>190.64401477767032</v>
      </c>
      <c r="L167" s="1703">
        <f>'A&amp;R'!AG41/100000</f>
        <v>194.42248085734565</v>
      </c>
      <c r="M167" s="1703">
        <f>'A&amp;R'!AH41/100000</f>
        <v>199.24235696185679</v>
      </c>
    </row>
    <row r="168" spans="3:13" ht="11.25" customHeight="1">
      <c r="C168" s="1691" t="s">
        <v>660</v>
      </c>
      <c r="D168" s="1703">
        <f>C17/100</f>
        <v>131.05364981746544</v>
      </c>
      <c r="E168" s="1703">
        <f t="shared" ref="E168:M168" si="34">D17/100</f>
        <v>134.61786385864698</v>
      </c>
      <c r="F168" s="1703">
        <f t="shared" si="34"/>
        <v>90.761890386719244</v>
      </c>
      <c r="G168" s="1703">
        <f t="shared" si="34"/>
        <v>152.15117979256877</v>
      </c>
      <c r="H168" s="1703">
        <f t="shared" si="34"/>
        <v>156.97676364089477</v>
      </c>
      <c r="I168" s="1703">
        <f t="shared" si="34"/>
        <v>161.36820383685995</v>
      </c>
      <c r="J168" s="1703">
        <f t="shared" si="34"/>
        <v>165.86222341373076</v>
      </c>
      <c r="K168" s="1703">
        <f t="shared" si="34"/>
        <v>161.47668438126144</v>
      </c>
      <c r="L168" s="1703">
        <f t="shared" si="34"/>
        <v>171.05485515483079</v>
      </c>
      <c r="M168" s="1703">
        <f t="shared" si="34"/>
        <v>176.72536372248004</v>
      </c>
    </row>
    <row r="169" spans="3:13" ht="11.25" customHeight="1">
      <c r="C169" s="1691" t="s">
        <v>661</v>
      </c>
      <c r="D169" s="1704">
        <f>'A&amp;R'!Y55</f>
        <v>4.8918868912827713E-2</v>
      </c>
      <c r="E169" s="1704">
        <f>'A&amp;R'!Z55</f>
        <v>5.0249295953209018E-2</v>
      </c>
      <c r="F169" s="1704">
        <f>'A&amp;R'!AA55</f>
        <v>3.3879018434758948E-2</v>
      </c>
      <c r="G169" s="1704">
        <f>'A&amp;R'!AB55</f>
        <v>5.6794020079346301E-2</v>
      </c>
      <c r="H169" s="1704">
        <f>'A&amp;R'!AC55</f>
        <v>5.8595283180625159E-2</v>
      </c>
      <c r="I169" s="1704">
        <f>'A&amp;R'!AD55</f>
        <v>6.0234491913721509E-2</v>
      </c>
      <c r="J169" s="1704">
        <f>'A&amp;R'!AE55</f>
        <v>6.1911990822594527E-2</v>
      </c>
      <c r="K169" s="1704">
        <f>'A&amp;R'!AF55</f>
        <v>6.0274984838096825E-2</v>
      </c>
      <c r="L169" s="1704">
        <f>'A&amp;R'!AG55</f>
        <v>6.3850263215688971E-2</v>
      </c>
      <c r="M169" s="1704">
        <f>'A&amp;R'!AH55</f>
        <v>6.5966914416752523E-2</v>
      </c>
    </row>
  </sheetData>
  <mergeCells count="28">
    <mergeCell ref="C100:G100"/>
    <mergeCell ref="C101:G101"/>
    <mergeCell ref="C102:G102"/>
    <mergeCell ref="C103:G103"/>
    <mergeCell ref="J100:N100"/>
    <mergeCell ref="J101:N101"/>
    <mergeCell ref="J102:N102"/>
    <mergeCell ref="J103:N103"/>
    <mergeCell ref="C152:G152"/>
    <mergeCell ref="J152:N152"/>
    <mergeCell ref="C158:C159"/>
    <mergeCell ref="C149:G149"/>
    <mergeCell ref="J149:N149"/>
    <mergeCell ref="C150:G150"/>
    <mergeCell ref="J150:N150"/>
    <mergeCell ref="C151:G151"/>
    <mergeCell ref="J151:N151"/>
    <mergeCell ref="V3:W3"/>
    <mergeCell ref="Q3:R3"/>
    <mergeCell ref="Q4:R4"/>
    <mergeCell ref="C51:G51"/>
    <mergeCell ref="J48:N48"/>
    <mergeCell ref="J49:N49"/>
    <mergeCell ref="J50:N50"/>
    <mergeCell ref="J51:N51"/>
    <mergeCell ref="C48:G48"/>
    <mergeCell ref="C49:G49"/>
    <mergeCell ref="C50:G50"/>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B1" workbookViewId="0">
      <selection activeCell="G45" sqref="G45"/>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1751</v>
      </c>
      <c r="I26" s="2649">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9">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4390000</v>
      </c>
      <c r="K32" s="161">
        <f>K33</f>
        <v>4390000</v>
      </c>
      <c r="L32" s="98"/>
      <c r="M32" s="162">
        <f>M33</f>
        <v>4390000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4390000</v>
      </c>
      <c r="K33" s="201">
        <f>SUM(M33:ER33)</f>
        <v>4390000</v>
      </c>
      <c r="L33" s="98"/>
      <c r="M33" s="171">
        <f>$J33*Index!L$17</f>
        <v>4390000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235384.77486795187</v>
      </c>
      <c r="K34" s="161">
        <f>SUM(K35:K36)</f>
        <v>235384.77486795187</v>
      </c>
      <c r="L34" s="98"/>
      <c r="M34" s="162">
        <f>SUM(M35:M36)</f>
        <v>235384.77486795187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587</v>
      </c>
      <c r="E35" s="165"/>
      <c r="F35" s="967"/>
      <c r="G35" s="185">
        <f>'A&amp;R'!K106</f>
        <v>4000000</v>
      </c>
      <c r="H35" s="165"/>
      <c r="I35" s="1007" t="s">
        <v>586</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288664615.22513205</v>
      </c>
      <c r="I36" s="13">
        <f>F36-H36+100000-400000</f>
        <v>235384.77486795187</v>
      </c>
      <c r="J36" s="821">
        <v>235384.77486795187</v>
      </c>
      <c r="K36" s="170">
        <f>SUM(M36:ER36)</f>
        <v>235384.77486795187</v>
      </c>
      <c r="L36" s="98"/>
      <c r="M36" s="171">
        <f>$J36*Index!L$17</f>
        <v>235384.77486795187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649</v>
      </c>
    </row>
    <row r="40" spans="3:148" ht="11.25" customHeight="1"/>
    <row r="41" spans="3:148" ht="11.25" customHeight="1">
      <c r="C41" s="5" t="s">
        <v>24</v>
      </c>
      <c r="E41" s="270" t="s">
        <v>647</v>
      </c>
      <c r="F41" s="270" t="s">
        <v>648</v>
      </c>
      <c r="G41" s="270" t="s">
        <v>25</v>
      </c>
    </row>
    <row r="42" spans="3:148" ht="11.25" customHeight="1">
      <c r="C42" s="21" t="s">
        <v>646</v>
      </c>
      <c r="D42" s="21"/>
      <c r="E42" s="1150">
        <f>'A&amp;R'!P32</f>
        <v>160000000</v>
      </c>
      <c r="F42" s="1149">
        <f>'A&amp;R'!R32</f>
        <v>1.4500000000000001E-2</v>
      </c>
      <c r="G42" s="1150">
        <f>E42*F42</f>
        <v>2320000</v>
      </c>
    </row>
    <row r="43" spans="3:148" ht="11.25" customHeight="1">
      <c r="C43" s="2232" t="s">
        <v>1433</v>
      </c>
      <c r="D43" s="2232"/>
      <c r="E43" s="865">
        <f>'A&amp;R'!P35</f>
        <v>38000000</v>
      </c>
      <c r="F43" s="2233">
        <f>'A&amp;R'!R35</f>
        <v>0.01</v>
      </c>
      <c r="G43" s="865">
        <f>ROUNDUP(E43*F43,-4)</f>
        <v>380000</v>
      </c>
      <c r="H43" s="90"/>
    </row>
    <row r="44" spans="3:148" ht="11.25" customHeight="1">
      <c r="C44" s="5" t="s">
        <v>1082</v>
      </c>
      <c r="E44" s="90">
        <f>'A&amp;R'!P41</f>
        <v>24000000</v>
      </c>
      <c r="F44" s="65">
        <f>'A&amp;R'!U41</f>
        <v>0.02</v>
      </c>
      <c r="G44" s="90">
        <f>ROUNDUP(E44*F44,-4)</f>
        <v>480000</v>
      </c>
    </row>
    <row r="45" spans="3:148">
      <c r="C45" s="5" t="s">
        <v>1083</v>
      </c>
      <c r="E45" s="90">
        <f>'A&amp;R'!P42</f>
        <v>50000000</v>
      </c>
      <c r="F45" s="65">
        <f>'A&amp;R'!U42</f>
        <v>0.02</v>
      </c>
      <c r="G45" s="90">
        <f>ROUNDUP(E45*F45,-4)</f>
        <v>1000000</v>
      </c>
    </row>
    <row r="46" spans="3:148">
      <c r="C46" s="180" t="s">
        <v>19</v>
      </c>
      <c r="D46" s="180"/>
      <c r="E46" s="182">
        <f>'A&amp;R'!P44</f>
        <v>14800000</v>
      </c>
      <c r="F46" s="1095">
        <f>'A&amp;R'!U44</f>
        <v>1.4E-2</v>
      </c>
      <c r="G46" s="182">
        <f>ROUNDUP(E46*F46,-4)</f>
        <v>210000</v>
      </c>
      <c r="H46" s="90"/>
      <c r="I46" s="90"/>
    </row>
    <row r="47" spans="3:148">
      <c r="C47" s="5" t="s">
        <v>650</v>
      </c>
      <c r="G47" s="90">
        <f>SUM(G42:G46)</f>
        <v>4390000</v>
      </c>
    </row>
    <row r="49" spans="3:7">
      <c r="C49" s="1012" t="s">
        <v>1743</v>
      </c>
    </row>
    <row r="51" spans="3:7">
      <c r="D51" s="90">
        <f>'A&amp;R'!S95</f>
        <v>6320000</v>
      </c>
      <c r="E51" s="30" t="s">
        <v>1744</v>
      </c>
      <c r="F51" s="65">
        <v>4.0000000000000001E-3</v>
      </c>
      <c r="G51" s="90">
        <f>D51*F51</f>
        <v>25280</v>
      </c>
    </row>
    <row r="52" spans="3:7">
      <c r="D52" s="182">
        <f>G51</f>
        <v>25280</v>
      </c>
      <c r="E52" s="2643" t="s">
        <v>1744</v>
      </c>
      <c r="F52" s="2644">
        <v>0.2</v>
      </c>
      <c r="G52" s="182">
        <f>D52*F52</f>
        <v>5056</v>
      </c>
    </row>
    <row r="53" spans="3:7">
      <c r="G53" s="90">
        <f>SUM(G51:G52)</f>
        <v>30336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3"/>
  <sheetViews>
    <sheetView showGridLines="0" topLeftCell="A55" zoomScale="115" zoomScaleNormal="115" workbookViewId="0">
      <selection activeCell="M78" sqref="M78:DU78"/>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576</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1673</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8054528.5985801667</v>
      </c>
      <c r="M36" s="897">
        <f>SUM(M37,-M40)</f>
        <v>0</v>
      </c>
      <c r="N36" s="897">
        <f t="shared" ref="N36:BY36" ca="1" si="17">SUM(N37,-N40)</f>
        <v>-4910554.8617848502</v>
      </c>
      <c r="O36" s="897">
        <f t="shared" ca="1" si="17"/>
        <v>-4794180.3107181313</v>
      </c>
      <c r="P36" s="897">
        <f t="shared" ca="1" si="17"/>
        <v>-4830875.6736927424</v>
      </c>
      <c r="Q36" s="897">
        <f t="shared" ca="1" si="17"/>
        <v>-4846985.5196033614</v>
      </c>
      <c r="R36" s="897">
        <f t="shared" ca="1" si="17"/>
        <v>-4934291.3599008527</v>
      </c>
      <c r="S36" s="897">
        <f t="shared" ca="1" si="17"/>
        <v>-4975501.0962323658</v>
      </c>
      <c r="T36" s="897">
        <f t="shared" ca="1" si="17"/>
        <v>-5055320.9182548523</v>
      </c>
      <c r="U36" s="897">
        <f t="shared" ca="1" si="17"/>
        <v>-5059151.1237112759</v>
      </c>
      <c r="V36" s="897">
        <f t="shared" ca="1" si="17"/>
        <v>-5073025.8741191952</v>
      </c>
      <c r="W36" s="897">
        <f t="shared" ca="1" si="17"/>
        <v>-5072749.14178578</v>
      </c>
      <c r="X36" s="897">
        <f t="shared" ca="1" si="17"/>
        <v>-4760065.3651944175</v>
      </c>
      <c r="Y36" s="897">
        <f t="shared" ca="1" si="17"/>
        <v>-4750222.8078888208</v>
      </c>
      <c r="Z36" s="897">
        <f t="shared" ca="1" si="17"/>
        <v>-4753724.0106687257</v>
      </c>
      <c r="AA36" s="897">
        <f t="shared" ca="1" si="17"/>
        <v>-4740596.4550485201</v>
      </c>
      <c r="AB36" s="897">
        <f t="shared" ca="1" si="17"/>
        <v>-4736847.5907912822</v>
      </c>
      <c r="AC36" s="897">
        <f t="shared" ca="1" si="17"/>
        <v>-4730840.7919310089</v>
      </c>
      <c r="AD36" s="897">
        <f t="shared" ca="1" si="17"/>
        <v>-4729142.7736322768</v>
      </c>
      <c r="AE36" s="897">
        <f t="shared" ca="1" si="17"/>
        <v>-4710814.7364062956</v>
      </c>
      <c r="AF36" s="897">
        <f t="shared" ca="1" si="17"/>
        <v>-4701675.2941714115</v>
      </c>
      <c r="AG36" s="897">
        <f t="shared" ca="1" si="17"/>
        <v>100221094.30411634</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106636166.13192365</v>
      </c>
      <c r="L37" s="98"/>
      <c r="M37" s="162">
        <f t="shared" ref="M37:BX37" si="19">SUM(M38:M39)</f>
        <v>0</v>
      </c>
      <c r="N37" s="162">
        <f t="shared" ca="1" si="19"/>
        <v>194082.67155863479</v>
      </c>
      <c r="O37" s="162">
        <f t="shared" ca="1" si="19"/>
        <v>165819.68928186846</v>
      </c>
      <c r="P37" s="162">
        <f t="shared" ca="1" si="19"/>
        <v>129124.32630725767</v>
      </c>
      <c r="Q37" s="162">
        <f t="shared" ca="1" si="19"/>
        <v>113014.48039663841</v>
      </c>
      <c r="R37" s="162">
        <f t="shared" ca="1" si="19"/>
        <v>177708.64009914745</v>
      </c>
      <c r="S37" s="162">
        <f t="shared" ca="1" si="19"/>
        <v>136498.90376763401</v>
      </c>
      <c r="T37" s="162">
        <f t="shared" ca="1" si="19"/>
        <v>56679.081745147567</v>
      </c>
      <c r="U37" s="162">
        <f t="shared" ca="1" si="19"/>
        <v>52848.876288724226</v>
      </c>
      <c r="V37" s="162">
        <f t="shared" ca="1" si="19"/>
        <v>38974.12588080451</v>
      </c>
      <c r="W37" s="162">
        <f t="shared" ca="1" si="19"/>
        <v>39250.858214220025</v>
      </c>
      <c r="X37" s="162">
        <f t="shared" ca="1" si="19"/>
        <v>32434.634805582045</v>
      </c>
      <c r="Y37" s="162">
        <f t="shared" ca="1" si="19"/>
        <v>42277.19211117924</v>
      </c>
      <c r="Z37" s="162">
        <f t="shared" ca="1" si="19"/>
        <v>38775.989331274395</v>
      </c>
      <c r="AA37" s="162">
        <f t="shared" ca="1" si="19"/>
        <v>51903.544951479817</v>
      </c>
      <c r="AB37" s="162">
        <f t="shared" ca="1" si="19"/>
        <v>55652.409208718032</v>
      </c>
      <c r="AC37" s="162">
        <f t="shared" ca="1" si="19"/>
        <v>61659.208068991327</v>
      </c>
      <c r="AD37" s="162">
        <f t="shared" ca="1" si="19"/>
        <v>63357.226367723371</v>
      </c>
      <c r="AE37" s="162">
        <f t="shared" ca="1" si="19"/>
        <v>81685.263593704833</v>
      </c>
      <c r="AF37" s="162">
        <f t="shared" ca="1" si="19"/>
        <v>90824.705828588369</v>
      </c>
      <c r="AG37" s="162">
        <f t="shared" ca="1" si="19"/>
        <v>105013594.30411634</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1737468.0866062997</v>
      </c>
      <c r="L38" s="98"/>
      <c r="M38" s="896">
        <f>SUMIF('IS(M)'!$M$11:$ER$11,M$7,'IS(M)'!$M44:$ER44)</f>
        <v>0</v>
      </c>
      <c r="N38" s="896">
        <f ca="1">SUMIF('IS(M)'!$M$11:$ER$11,N$7,'IS(M)'!$M44:$ER44)</f>
        <v>194082.67155863479</v>
      </c>
      <c r="O38" s="896">
        <f ca="1">SUMIF('IS(M)'!$M$11:$ER$11,O$7,'IS(M)'!$M44:$ER44)</f>
        <v>165819.68928186846</v>
      </c>
      <c r="P38" s="896">
        <f ca="1">SUMIF('IS(M)'!$M$11:$ER$11,P$7,'IS(M)'!$M44:$ER44)</f>
        <v>129124.32630725767</v>
      </c>
      <c r="Q38" s="896">
        <f ca="1">SUMIF('IS(M)'!$M$11:$ER$11,Q$7,'IS(M)'!$M44:$ER44)</f>
        <v>113014.48039663841</v>
      </c>
      <c r="R38" s="896">
        <f ca="1">SUMIF('IS(M)'!$M$11:$ER$11,R$7,'IS(M)'!$M44:$ER44)</f>
        <v>177708.64009914745</v>
      </c>
      <c r="S38" s="896">
        <f ca="1">SUMIF('IS(M)'!$M$11:$ER$11,S$7,'IS(M)'!$M44:$ER44)</f>
        <v>136498.90376763401</v>
      </c>
      <c r="T38" s="896">
        <f ca="1">SUMIF('IS(M)'!$M$11:$ER$11,T$7,'IS(M)'!$M44:$ER44)</f>
        <v>56679.081745147567</v>
      </c>
      <c r="U38" s="896">
        <f ca="1">SUMIF('IS(M)'!$M$11:$ER$11,U$7,'IS(M)'!$M44:$ER44)</f>
        <v>52848.876288724226</v>
      </c>
      <c r="V38" s="896">
        <f ca="1">SUMIF('IS(M)'!$M$11:$ER$11,V$7,'IS(M)'!$M44:$ER44)</f>
        <v>38974.12588080451</v>
      </c>
      <c r="W38" s="896">
        <f ca="1">SUMIF('IS(M)'!$M$11:$ER$11,W$7,'IS(M)'!$M44:$ER44)</f>
        <v>39250.858214220025</v>
      </c>
      <c r="X38" s="896">
        <f ca="1">SUMIF('IS(M)'!$M$11:$ER$11,X$7,'IS(M)'!$M44:$ER44)</f>
        <v>32434.634805582045</v>
      </c>
      <c r="Y38" s="896">
        <f ca="1">SUMIF('IS(M)'!$M$11:$ER$11,Y$7,'IS(M)'!$M44:$ER44)</f>
        <v>42277.19211117924</v>
      </c>
      <c r="Z38" s="896">
        <f ca="1">SUMIF('IS(M)'!$M$11:$ER$11,Z$7,'IS(M)'!$M44:$ER44)</f>
        <v>38775.989331274395</v>
      </c>
      <c r="AA38" s="896">
        <f ca="1">SUMIF('IS(M)'!$M$11:$ER$11,AA$7,'IS(M)'!$M44:$ER44)</f>
        <v>51903.544951479817</v>
      </c>
      <c r="AB38" s="896">
        <f ca="1">SUMIF('IS(M)'!$M$11:$ER$11,AB$7,'IS(M)'!$M44:$ER44)</f>
        <v>55652.409208718032</v>
      </c>
      <c r="AC38" s="896">
        <f ca="1">SUMIF('IS(M)'!$M$11:$ER$11,AC$7,'IS(M)'!$M44:$ER44)</f>
        <v>61659.208068991327</v>
      </c>
      <c r="AD38" s="896">
        <f ca="1">SUMIF('IS(M)'!$M$11:$ER$11,AD$7,'IS(M)'!$M44:$ER44)</f>
        <v>63357.226367723371</v>
      </c>
      <c r="AE38" s="896">
        <f ca="1">SUMIF('IS(M)'!$M$11:$ER$11,AE$7,'IS(M)'!$M44:$ER44)</f>
        <v>81685.263593704833</v>
      </c>
      <c r="AF38" s="896">
        <f ca="1">SUMIF('IS(M)'!$M$11:$ER$11,AF$7,'IS(M)'!$M44:$ER44)</f>
        <v>90824.705828588369</v>
      </c>
      <c r="AG38" s="896">
        <f ca="1">SUMIF('IS(M)'!$M$11:$ER$11,AG$7,'IS(M)'!$M44:$ER44)</f>
        <v>114896.25879898119</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616</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115985534.77444093</v>
      </c>
      <c r="M49" s="897">
        <f>M11+M36</f>
        <v>0</v>
      </c>
      <c r="N49" s="897">
        <f t="shared" ref="N49:BY49" ca="1" si="23">N11+N36</f>
        <v>-676671.27626998071</v>
      </c>
      <c r="O49" s="897">
        <f t="shared" ca="1" si="23"/>
        <v>-140967.75535747875</v>
      </c>
      <c r="P49" s="897">
        <f t="shared" ca="1" si="23"/>
        <v>-419410.39611686766</v>
      </c>
      <c r="Q49" s="897">
        <f t="shared" ca="1" si="23"/>
        <v>-16853.252185561694</v>
      </c>
      <c r="R49" s="897">
        <f t="shared" ca="1" si="23"/>
        <v>-10667.286679281853</v>
      </c>
      <c r="S49" s="897">
        <f t="shared" ca="1" si="23"/>
        <v>-5045083.3716530371</v>
      </c>
      <c r="T49" s="897">
        <f t="shared" ca="1" si="23"/>
        <v>302553.51223414205</v>
      </c>
      <c r="U49" s="897">
        <f t="shared" ca="1" si="23"/>
        <v>573947.61618558411</v>
      </c>
      <c r="V49" s="897">
        <f t="shared" ca="1" si="23"/>
        <v>548465.87851336598</v>
      </c>
      <c r="W49" s="897">
        <f t="shared" ca="1" si="23"/>
        <v>777253.14144011308</v>
      </c>
      <c r="X49" s="897">
        <f t="shared" ca="1" si="23"/>
        <v>1077102.8807303868</v>
      </c>
      <c r="Y49" s="897">
        <f t="shared" ca="1" si="23"/>
        <v>1321168.7318941485</v>
      </c>
      <c r="Z49" s="897">
        <f t="shared" ca="1" si="23"/>
        <v>1304157.505355319</v>
      </c>
      <c r="AA49" s="897">
        <f t="shared" ca="1" si="23"/>
        <v>1557363.9371801456</v>
      </c>
      <c r="AB49" s="897">
        <f t="shared" ca="1" si="23"/>
        <v>1546918.9850728959</v>
      </c>
      <c r="AC49" s="897">
        <f t="shared" ca="1" si="23"/>
        <v>900518.40536560398</v>
      </c>
      <c r="AD49" s="897">
        <f t="shared" ca="1" si="23"/>
        <v>1598561.7119484507</v>
      </c>
      <c r="AE49" s="897">
        <f t="shared" ca="1" si="23"/>
        <v>1832218.1520488122</v>
      </c>
      <c r="AF49" s="897">
        <f t="shared" ca="1" si="23"/>
        <v>1952834.1585005429</v>
      </c>
      <c r="AG49" s="897">
        <f t="shared" ca="1" si="23"/>
        <v>107002123.49623363</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115985534.77444093</v>
      </c>
      <c r="M51" s="903">
        <f>M49-M50</f>
        <v>0</v>
      </c>
      <c r="N51" s="903">
        <f t="shared" ref="N51:BY51" ca="1" si="25">N49-N50</f>
        <v>-676671.27626998071</v>
      </c>
      <c r="O51" s="903">
        <f t="shared" ca="1" si="25"/>
        <v>-140967.75535747875</v>
      </c>
      <c r="P51" s="903">
        <f t="shared" ca="1" si="25"/>
        <v>-419410.39611686766</v>
      </c>
      <c r="Q51" s="903">
        <f t="shared" ca="1" si="25"/>
        <v>-16853.252185561694</v>
      </c>
      <c r="R51" s="903">
        <f t="shared" ca="1" si="25"/>
        <v>-10667.286679281853</v>
      </c>
      <c r="S51" s="903">
        <f t="shared" ca="1" si="25"/>
        <v>-5045083.3716530371</v>
      </c>
      <c r="T51" s="903">
        <f t="shared" ca="1" si="25"/>
        <v>302553.51223414205</v>
      </c>
      <c r="U51" s="903">
        <f t="shared" ca="1" si="25"/>
        <v>573947.61618558411</v>
      </c>
      <c r="V51" s="903">
        <f t="shared" ca="1" si="25"/>
        <v>548465.87851336598</v>
      </c>
      <c r="W51" s="903">
        <f t="shared" ca="1" si="25"/>
        <v>777253.14144011308</v>
      </c>
      <c r="X51" s="903">
        <f t="shared" ca="1" si="25"/>
        <v>1077102.8807303868</v>
      </c>
      <c r="Y51" s="903">
        <f t="shared" ca="1" si="25"/>
        <v>1321168.7318941485</v>
      </c>
      <c r="Z51" s="903">
        <f t="shared" ca="1" si="25"/>
        <v>1304157.505355319</v>
      </c>
      <c r="AA51" s="903">
        <f t="shared" ca="1" si="25"/>
        <v>1557363.9371801456</v>
      </c>
      <c r="AB51" s="903">
        <f t="shared" ca="1" si="25"/>
        <v>1546918.9850728959</v>
      </c>
      <c r="AC51" s="903">
        <f t="shared" ca="1" si="25"/>
        <v>900518.40536560398</v>
      </c>
      <c r="AD51" s="903">
        <f t="shared" ca="1" si="25"/>
        <v>1598561.7119484507</v>
      </c>
      <c r="AE51" s="903">
        <f t="shared" ca="1" si="25"/>
        <v>1832218.1520488122</v>
      </c>
      <c r="AF51" s="903">
        <f t="shared" ca="1" si="25"/>
        <v>1952834.1585005429</v>
      </c>
      <c r="AG51" s="903">
        <f t="shared" ca="1" si="25"/>
        <v>107002123.49623363</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1032172.2237300194</v>
      </c>
      <c r="O55" s="235">
        <f t="shared" ca="1" si="29"/>
        <v>1567875.7446425203</v>
      </c>
      <c r="P55" s="235">
        <f t="shared" ca="1" si="29"/>
        <v>1289433.1038831335</v>
      </c>
      <c r="Q55" s="235">
        <f t="shared" ca="1" si="29"/>
        <v>1691990.2478144402</v>
      </c>
      <c r="R55" s="235">
        <f t="shared" ca="1" si="29"/>
        <v>1698176.2133207188</v>
      </c>
      <c r="S55" s="235">
        <f t="shared" ca="1" si="29"/>
        <v>-3336239.8716530381</v>
      </c>
      <c r="T55" s="235">
        <f t="shared" ca="1" si="29"/>
        <v>2011397.012234143</v>
      </c>
      <c r="U55" s="235">
        <f t="shared" ca="1" si="29"/>
        <v>2282791.1161855827</v>
      </c>
      <c r="V55" s="235">
        <f t="shared" ca="1" si="29"/>
        <v>2257309.3785133669</v>
      </c>
      <c r="W55" s="235">
        <f t="shared" ca="1" si="29"/>
        <v>2486096.6414401145</v>
      </c>
      <c r="X55" s="235">
        <f t="shared" ca="1" si="29"/>
        <v>2785946.380730385</v>
      </c>
      <c r="Y55" s="235">
        <f t="shared" ca="1" si="29"/>
        <v>3030012.2318941494</v>
      </c>
      <c r="Z55" s="235">
        <f t="shared" ca="1" si="29"/>
        <v>3013001.0053553209</v>
      </c>
      <c r="AA55" s="235">
        <f t="shared" ca="1" si="29"/>
        <v>3266207.4371801461</v>
      </c>
      <c r="AB55" s="235">
        <f t="shared" ca="1" si="29"/>
        <v>3255762.485072895</v>
      </c>
      <c r="AC55" s="235">
        <f t="shared" ca="1" si="29"/>
        <v>2609361.9053656049</v>
      </c>
      <c r="AD55" s="235">
        <f t="shared" ca="1" si="29"/>
        <v>3307405.2119484521</v>
      </c>
      <c r="AE55" s="235">
        <f t="shared" ca="1" si="29"/>
        <v>3541061.6520488132</v>
      </c>
      <c r="AF55" s="235">
        <f t="shared" ca="1" si="29"/>
        <v>3661677.658500541</v>
      </c>
      <c r="AG55" s="235">
        <f t="shared" ca="1" si="29"/>
        <v>3812268.950916281</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11086836.729123591</v>
      </c>
      <c r="L56" s="98"/>
      <c r="M56" s="908">
        <f>SUMIF('IS(M)'!$M$11:$ER$11,M$7,'IS(M)'!$M62:$ER62)</f>
        <v>0</v>
      </c>
      <c r="N56" s="908">
        <f ca="1">SUMIF('IS(M)'!$M$11:$ER$11,N$7,'IS(M)'!$M62:$ER62)</f>
        <v>-676671.27626998059</v>
      </c>
      <c r="O56" s="908">
        <f ca="1">SUMIF('IS(M)'!$M$11:$ER$11,O$7,'IS(M)'!$M62:$ER62)</f>
        <v>-140967.75535747979</v>
      </c>
      <c r="P56" s="908">
        <f ca="1">SUMIF('IS(M)'!$M$11:$ER$11,P$7,'IS(M)'!$M62:$ER62)</f>
        <v>-419410.3961168665</v>
      </c>
      <c r="Q56" s="908">
        <f ca="1">SUMIF('IS(M)'!$M$11:$ER$11,Q$7,'IS(M)'!$M62:$ER62)</f>
        <v>-16853.252185559832</v>
      </c>
      <c r="R56" s="908">
        <f ca="1">SUMIF('IS(M)'!$M$11:$ER$11,R$7,'IS(M)'!$M62:$ER62)</f>
        <v>-10667.286679281155</v>
      </c>
      <c r="S56" s="908">
        <f ca="1">SUMIF('IS(M)'!$M$11:$ER$11,S$7,'IS(M)'!$M62:$ER62)</f>
        <v>-5045083.3716530381</v>
      </c>
      <c r="T56" s="908">
        <f ca="1">SUMIF('IS(M)'!$M$11:$ER$11,T$7,'IS(M)'!$M62:$ER62)</f>
        <v>302553.51223414287</v>
      </c>
      <c r="U56" s="908">
        <f ca="1">SUMIF('IS(M)'!$M$11:$ER$11,U$7,'IS(M)'!$M62:$ER62)</f>
        <v>573947.61618558259</v>
      </c>
      <c r="V56" s="908">
        <f ca="1">SUMIF('IS(M)'!$M$11:$ER$11,V$7,'IS(M)'!$M62:$ER62)</f>
        <v>548465.87851336668</v>
      </c>
      <c r="W56" s="908">
        <f ca="1">SUMIF('IS(M)'!$M$11:$ER$11,W$7,'IS(M)'!$M62:$ER62)</f>
        <v>777253.14144011436</v>
      </c>
      <c r="X56" s="908">
        <f ca="1">SUMIF('IS(M)'!$M$11:$ER$11,X$7,'IS(M)'!$M62:$ER62)</f>
        <v>1077102.8807303852</v>
      </c>
      <c r="Y56" s="908">
        <f ca="1">SUMIF('IS(M)'!$M$11:$ER$11,Y$7,'IS(M)'!$M62:$ER62)</f>
        <v>1321168.7318941494</v>
      </c>
      <c r="Z56" s="908">
        <f ca="1">SUMIF('IS(M)'!$M$11:$ER$11,Z$7,'IS(M)'!$M62:$ER62)</f>
        <v>1304157.5053553209</v>
      </c>
      <c r="AA56" s="908">
        <f ca="1">SUMIF('IS(M)'!$M$11:$ER$11,AA$7,'IS(M)'!$M62:$ER62)</f>
        <v>1557363.9371801461</v>
      </c>
      <c r="AB56" s="908">
        <f ca="1">SUMIF('IS(M)'!$M$11:$ER$11,AB$7,'IS(M)'!$M62:$ER62)</f>
        <v>1546918.985072895</v>
      </c>
      <c r="AC56" s="908">
        <f ca="1">SUMIF('IS(M)'!$M$11:$ER$11,AC$7,'IS(M)'!$M62:$ER62)</f>
        <v>900518.40536560502</v>
      </c>
      <c r="AD56" s="908">
        <f ca="1">SUMIF('IS(M)'!$M$11:$ER$11,AD$7,'IS(M)'!$M62:$ER62)</f>
        <v>1598561.7119484521</v>
      </c>
      <c r="AE56" s="908">
        <f ca="1">SUMIF('IS(M)'!$M$11:$ER$11,AE$7,'IS(M)'!$M62:$ER62)</f>
        <v>1832218.1520488132</v>
      </c>
      <c r="AF56" s="908">
        <f ca="1">SUMIF('IS(M)'!$M$11:$ER$11,AF$7,'IS(M)'!$M62:$ER62)</f>
        <v>1952834.158500541</v>
      </c>
      <c r="AG56" s="908">
        <f ca="1">SUMIF('IS(M)'!$M$11:$ER$11,AG$7,'IS(M)'!$M62:$ER62)</f>
        <v>2103425.450916281</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-3336239.8716530381</v>
      </c>
      <c r="U59" s="908">
        <f t="shared" ca="1" si="31"/>
        <v>-1324842.8594188951</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911" t="s">
        <v>218</v>
      </c>
      <c r="D60" s="912"/>
      <c r="E60" s="912"/>
      <c r="F60" s="912"/>
      <c r="G60" s="912"/>
      <c r="H60" s="912"/>
      <c r="I60" s="913"/>
      <c r="J60" s="914"/>
      <c r="K60" s="918">
        <f ca="1">SUM(M60:DW60)</f>
        <v>45263706.729123585</v>
      </c>
      <c r="L60" s="98"/>
      <c r="M60" s="920">
        <f>SUMIF('IS(M)'!$M$11:$ER$11,M$7,'IS(M)'!$M69:$ER69)</f>
        <v>0</v>
      </c>
      <c r="N60" s="920">
        <f ca="1">SUMIF('IS(M)'!$M$11:$ER$11,N$7,'IS(M)'!$M69:$ER69)</f>
        <v>1032172.2237300194</v>
      </c>
      <c r="O60" s="920">
        <f ca="1">SUMIF('IS(M)'!$M$11:$ER$11,O$7,'IS(M)'!$M69:$ER69)</f>
        <v>1567875.7446425203</v>
      </c>
      <c r="P60" s="920">
        <f ca="1">SUMIF('IS(M)'!$M$11:$ER$11,P$7,'IS(M)'!$M69:$ER69)</f>
        <v>1289433.1038831335</v>
      </c>
      <c r="Q60" s="920">
        <f ca="1">SUMIF('IS(M)'!$M$11:$ER$11,Q$7,'IS(M)'!$M69:$ER69)</f>
        <v>1691990.2478144402</v>
      </c>
      <c r="R60" s="920">
        <f ca="1">SUMIF('IS(M)'!$M$11:$ER$11,R$7,'IS(M)'!$M69:$ER69)</f>
        <v>1698176.2133207188</v>
      </c>
      <c r="S60" s="920">
        <f ca="1">SUMIF('IS(M)'!$M$11:$ER$11,S$7,'IS(M)'!$M69:$ER69)</f>
        <v>-3336239.8716530381</v>
      </c>
      <c r="T60" s="920">
        <f ca="1">SUMIF('IS(M)'!$M$11:$ER$11,T$7,'IS(M)'!$M69:$ER69)</f>
        <v>2011397.012234143</v>
      </c>
      <c r="U60" s="920">
        <f ca="1">SUMIF('IS(M)'!$M$11:$ER$11,U$7,'IS(M)'!$M69:$ER69)</f>
        <v>2282791.1161855827</v>
      </c>
      <c r="V60" s="920">
        <f ca="1">SUMIF('IS(M)'!$M$11:$ER$11,V$7,'IS(M)'!$M69:$ER69)</f>
        <v>2257309.3785133664</v>
      </c>
      <c r="W60" s="920">
        <f ca="1">SUMIF('IS(M)'!$M$11:$ER$11,W$7,'IS(M)'!$M69:$ER69)</f>
        <v>2486096.641440114</v>
      </c>
      <c r="X60" s="920">
        <f ca="1">SUMIF('IS(M)'!$M$11:$ER$11,X$7,'IS(M)'!$M69:$ER69)</f>
        <v>2785946.380730385</v>
      </c>
      <c r="Y60" s="920">
        <f ca="1">SUMIF('IS(M)'!$M$11:$ER$11,Y$7,'IS(M)'!$M69:$ER69)</f>
        <v>3030012.2318941494</v>
      </c>
      <c r="Z60" s="920">
        <f ca="1">SUMIF('IS(M)'!$M$11:$ER$11,Z$7,'IS(M)'!$M69:$ER69)</f>
        <v>3013001.0053553209</v>
      </c>
      <c r="AA60" s="920">
        <f ca="1">SUMIF('IS(M)'!$M$11:$ER$11,AA$7,'IS(M)'!$M69:$ER69)</f>
        <v>3266207.4371801456</v>
      </c>
      <c r="AB60" s="920">
        <f ca="1">SUMIF('IS(M)'!$M$11:$ER$11,AB$7,'IS(M)'!$M69:$ER69)</f>
        <v>3255762.485072895</v>
      </c>
      <c r="AC60" s="920">
        <f ca="1">SUMIF('IS(M)'!$M$11:$ER$11,AC$7,'IS(M)'!$M69:$ER69)</f>
        <v>2609361.9053656049</v>
      </c>
      <c r="AD60" s="920">
        <f ca="1">SUMIF('IS(M)'!$M$11:$ER$11,AD$7,'IS(M)'!$M69:$ER69)</f>
        <v>3307405.2119484521</v>
      </c>
      <c r="AE60" s="920">
        <f ca="1">SUMIF('IS(M)'!$M$11:$ER$11,AE$7,'IS(M)'!$M69:$ER69)</f>
        <v>3541061.6520488132</v>
      </c>
      <c r="AF60" s="920">
        <f ca="1">SUMIF('IS(M)'!$M$11:$ER$11,AF$7,'IS(M)'!$M69:$ER69)</f>
        <v>3661677.658500541</v>
      </c>
      <c r="AG60" s="920">
        <f ca="1">SUMIF('IS(M)'!$M$11:$ER$11,AG$7,'IS(M)'!$M69:$ER69)</f>
        <v>3812268.950916281</v>
      </c>
      <c r="AH60" s="920">
        <f ca="1">SUMIF('IS(M)'!$M$11:$ER$11,AH$7,'IS(M)'!$M69:$ER69)</f>
        <v>0</v>
      </c>
      <c r="AI60" s="920">
        <f ca="1">SUMIF('IS(M)'!$M$11:$ER$11,AI$7,'IS(M)'!$M69:$ER69)</f>
        <v>0</v>
      </c>
      <c r="AJ60" s="920">
        <f ca="1">SUMIF('IS(M)'!$M$11:$ER$11,AJ$7,'IS(M)'!$M69:$ER69)</f>
        <v>0</v>
      </c>
      <c r="AK60" s="920">
        <f>SUMIF('IS(M)'!$M$11:$ER$11,AK$7,'IS(M)'!$M69:$ER69)</f>
        <v>0</v>
      </c>
      <c r="AL60" s="920">
        <f>SUMIF('IS(M)'!$M$11:$ER$11,AL$7,'IS(M)'!$M69:$ER69)</f>
        <v>0</v>
      </c>
      <c r="AM60" s="920">
        <f>SUMIF('IS(M)'!$M$11:$ER$11,AM$7,'IS(M)'!$M69:$ER69)</f>
        <v>0</v>
      </c>
      <c r="AN60" s="920">
        <f>SUMIF('IS(M)'!$M$11:$ER$11,AN$7,'IS(M)'!$M69:$ER69)</f>
        <v>0</v>
      </c>
      <c r="AO60" s="920">
        <f>SUMIF('IS(M)'!$M$11:$ER$11,AO$7,'IS(M)'!$M69:$ER69)</f>
        <v>0</v>
      </c>
      <c r="AP60" s="920">
        <f>SUMIF('IS(M)'!$M$11:$ER$11,AP$7,'IS(M)'!$M69:$ER69)</f>
        <v>0</v>
      </c>
      <c r="AQ60" s="920">
        <f>SUMIF('IS(M)'!$M$11:$ER$11,AQ$7,'IS(M)'!$M69:$ER69)</f>
        <v>0</v>
      </c>
      <c r="AR60" s="920">
        <f>SUMIF('IS(M)'!$M$11:$ER$11,AR$7,'IS(M)'!$M69:$ER69)</f>
        <v>0</v>
      </c>
      <c r="AS60" s="920">
        <f>SUMIF('IS(M)'!$M$11:$ER$11,AS$7,'IS(M)'!$M69:$ER69)</f>
        <v>0</v>
      </c>
      <c r="AT60" s="920">
        <f>SUMIF('IS(M)'!$M$11:$ER$11,AT$7,'IS(M)'!$M69:$ER69)</f>
        <v>0</v>
      </c>
      <c r="AU60" s="920">
        <f>SUMIF('IS(M)'!$M$11:$ER$11,AU$7,'IS(M)'!$M69:$ER69)</f>
        <v>0</v>
      </c>
      <c r="AV60" s="920">
        <f>SUMIF('IS(M)'!$M$11:$ER$11,AV$7,'IS(M)'!$M69:$ER69)</f>
        <v>0</v>
      </c>
      <c r="AW60" s="920">
        <f>SUMIF('IS(M)'!$M$11:$ER$11,AW$7,'IS(M)'!$M69:$ER69)</f>
        <v>0</v>
      </c>
      <c r="AX60" s="920">
        <f>SUMIF('IS(M)'!$M$11:$ER$11,AX$7,'IS(M)'!$M69:$ER69)</f>
        <v>0</v>
      </c>
      <c r="AY60" s="920">
        <f>SUMIF('IS(M)'!$M$11:$ER$11,AY$7,'IS(M)'!$M69:$ER69)</f>
        <v>0</v>
      </c>
      <c r="AZ60" s="920">
        <f>SUMIF('IS(M)'!$M$11:$ER$11,AZ$7,'IS(M)'!$M69:$ER69)</f>
        <v>0</v>
      </c>
      <c r="BA60" s="920">
        <f>SUMIF('IS(M)'!$M$11:$ER$11,BA$7,'IS(M)'!$M69:$ER69)</f>
        <v>0</v>
      </c>
      <c r="BB60" s="920">
        <f>SUMIF('IS(M)'!$M$11:$ER$11,BB$7,'IS(M)'!$M69:$ER69)</f>
        <v>0</v>
      </c>
      <c r="BC60" s="920">
        <f>SUMIF('IS(M)'!$M$11:$ER$11,BC$7,'IS(M)'!$M69:$ER69)</f>
        <v>0</v>
      </c>
      <c r="BD60" s="920">
        <f>SUMIF('IS(M)'!$M$11:$ER$11,BD$7,'IS(M)'!$M69:$ER69)</f>
        <v>0</v>
      </c>
      <c r="BE60" s="920">
        <f>SUMIF('IS(M)'!$M$11:$ER$11,BE$7,'IS(M)'!$M69:$ER69)</f>
        <v>0</v>
      </c>
      <c r="BF60" s="920">
        <f>SUMIF('IS(M)'!$M$11:$ER$11,BF$7,'IS(M)'!$M69:$ER69)</f>
        <v>0</v>
      </c>
      <c r="BG60" s="920">
        <f>SUMIF('IS(M)'!$M$11:$ER$11,BG$7,'IS(M)'!$M69:$ER69)</f>
        <v>0</v>
      </c>
      <c r="BH60" s="920">
        <f>SUMIF('IS(M)'!$M$11:$ER$11,BH$7,'IS(M)'!$M69:$ER69)</f>
        <v>0</v>
      </c>
      <c r="BI60" s="920">
        <f>SUMIF('IS(M)'!$M$11:$ER$11,BI$7,'IS(M)'!$M69:$ER69)</f>
        <v>0</v>
      </c>
      <c r="BJ60" s="920">
        <f>SUMIF('IS(M)'!$M$11:$ER$11,BJ$7,'IS(M)'!$M69:$ER69)</f>
        <v>0</v>
      </c>
      <c r="BK60" s="920">
        <f>SUMIF('IS(M)'!$M$11:$ER$11,BK$7,'IS(M)'!$M69:$ER69)</f>
        <v>0</v>
      </c>
      <c r="BL60" s="920">
        <f>SUMIF('IS(M)'!$M$11:$ER$11,BL$7,'IS(M)'!$M69:$ER69)</f>
        <v>0</v>
      </c>
      <c r="BM60" s="920">
        <f>SUMIF('IS(M)'!$M$11:$ER$11,BM$7,'IS(M)'!$M69:$ER69)</f>
        <v>0</v>
      </c>
      <c r="BN60" s="920">
        <f>SUMIF('IS(M)'!$M$11:$ER$11,BN$7,'IS(M)'!$M69:$ER69)</f>
        <v>0</v>
      </c>
      <c r="BO60" s="920">
        <f>SUMIF('IS(M)'!$M$11:$ER$11,BO$7,'IS(M)'!$M69:$ER69)</f>
        <v>0</v>
      </c>
      <c r="BP60" s="920">
        <f>SUMIF('IS(M)'!$M$11:$ER$11,BP$7,'IS(M)'!$M69:$ER69)</f>
        <v>0</v>
      </c>
      <c r="BQ60" s="920">
        <f>SUMIF('IS(M)'!$M$11:$ER$11,BQ$7,'IS(M)'!$M69:$ER69)</f>
        <v>0</v>
      </c>
      <c r="BR60" s="920">
        <f>SUMIF('IS(M)'!$M$11:$ER$11,BR$7,'IS(M)'!$M69:$ER69)</f>
        <v>0</v>
      </c>
      <c r="BS60" s="920">
        <f>SUMIF('IS(M)'!$M$11:$ER$11,BS$7,'IS(M)'!$M69:$ER69)</f>
        <v>0</v>
      </c>
      <c r="BT60" s="920">
        <f>SUMIF('IS(M)'!$M$11:$ER$11,BT$7,'IS(M)'!$M69:$ER69)</f>
        <v>0</v>
      </c>
      <c r="BU60" s="920">
        <f>SUMIF('IS(M)'!$M$11:$ER$11,BU$7,'IS(M)'!$M69:$ER69)</f>
        <v>0</v>
      </c>
      <c r="BV60" s="920">
        <f>SUMIF('IS(M)'!$M$11:$ER$11,BV$7,'IS(M)'!$M69:$ER69)</f>
        <v>0</v>
      </c>
      <c r="BW60" s="920">
        <f>SUMIF('IS(M)'!$M$11:$ER$11,BW$7,'IS(M)'!$M69:$ER69)</f>
        <v>0</v>
      </c>
      <c r="BX60" s="920">
        <f>SUMIF('IS(M)'!$M$11:$ER$11,BX$7,'IS(M)'!$M69:$ER69)</f>
        <v>0</v>
      </c>
      <c r="BY60" s="920">
        <f>SUMIF('IS(M)'!$M$11:$ER$11,BY$7,'IS(M)'!$M69:$ER69)</f>
        <v>0</v>
      </c>
      <c r="BZ60" s="920">
        <f>SUMIF('IS(M)'!$M$11:$ER$11,BZ$7,'IS(M)'!$M69:$ER69)</f>
        <v>0</v>
      </c>
      <c r="CA60" s="920">
        <f>SUMIF('IS(M)'!$M$11:$ER$11,CA$7,'IS(M)'!$M69:$ER69)</f>
        <v>0</v>
      </c>
      <c r="CB60" s="920">
        <f>SUMIF('IS(M)'!$M$11:$ER$11,CB$7,'IS(M)'!$M69:$ER69)</f>
        <v>0</v>
      </c>
      <c r="CC60" s="920">
        <f>SUMIF('IS(M)'!$M$11:$ER$11,CC$7,'IS(M)'!$M69:$ER69)</f>
        <v>0</v>
      </c>
      <c r="CD60" s="920">
        <f>SUMIF('IS(M)'!$M$11:$ER$11,CD$7,'IS(M)'!$M69:$ER69)</f>
        <v>0</v>
      </c>
      <c r="CE60" s="920">
        <f>SUMIF('IS(M)'!$M$11:$ER$11,CE$7,'IS(M)'!$M69:$ER69)</f>
        <v>0</v>
      </c>
      <c r="CF60" s="920">
        <f>SUMIF('IS(M)'!$M$11:$ER$11,CF$7,'IS(M)'!$M69:$ER69)</f>
        <v>0</v>
      </c>
      <c r="CG60" s="920">
        <f>SUMIF('IS(M)'!$M$11:$ER$11,CG$7,'IS(M)'!$M69:$ER69)</f>
        <v>0</v>
      </c>
      <c r="CH60" s="920">
        <f>SUMIF('IS(M)'!$M$11:$ER$11,CH$7,'IS(M)'!$M69:$ER69)</f>
        <v>0</v>
      </c>
      <c r="CI60" s="920">
        <f>SUMIF('IS(M)'!$M$11:$ER$11,CI$7,'IS(M)'!$M69:$ER69)</f>
        <v>0</v>
      </c>
      <c r="CJ60" s="920">
        <f>SUMIF('IS(M)'!$M$11:$ER$11,CJ$7,'IS(M)'!$M69:$ER69)</f>
        <v>0</v>
      </c>
      <c r="CK60" s="920">
        <f>SUMIF('IS(M)'!$M$11:$ER$11,CK$7,'IS(M)'!$M69:$ER69)</f>
        <v>0</v>
      </c>
      <c r="CL60" s="920">
        <f>SUMIF('IS(M)'!$M$11:$ER$11,CL$7,'IS(M)'!$M69:$ER69)</f>
        <v>0</v>
      </c>
      <c r="CM60" s="920">
        <f>SUMIF('IS(M)'!$M$11:$ER$11,CM$7,'IS(M)'!$M69:$ER69)</f>
        <v>0</v>
      </c>
      <c r="CN60" s="920">
        <f>SUMIF('IS(M)'!$M$11:$ER$11,CN$7,'IS(M)'!$M69:$ER69)</f>
        <v>0</v>
      </c>
      <c r="CO60" s="920">
        <f>SUMIF('IS(M)'!$M$11:$ER$11,CO$7,'IS(M)'!$M69:$ER69)</f>
        <v>0</v>
      </c>
      <c r="CP60" s="920">
        <f>SUMIF('IS(M)'!$M$11:$ER$11,CP$7,'IS(M)'!$M69:$ER69)</f>
        <v>0</v>
      </c>
      <c r="CQ60" s="920">
        <f>SUMIF('IS(M)'!$M$11:$ER$11,CQ$7,'IS(M)'!$M69:$ER69)</f>
        <v>0</v>
      </c>
      <c r="CR60" s="920">
        <f>SUMIF('IS(M)'!$M$11:$ER$11,CR$7,'IS(M)'!$M69:$ER69)</f>
        <v>0</v>
      </c>
      <c r="CS60" s="920">
        <f>SUMIF('IS(M)'!$M$11:$ER$11,CS$7,'IS(M)'!$M69:$ER69)</f>
        <v>0</v>
      </c>
      <c r="CT60" s="920">
        <f>SUMIF('IS(M)'!$M$11:$ER$11,CT$7,'IS(M)'!$M69:$ER69)</f>
        <v>0</v>
      </c>
      <c r="CU60" s="920">
        <f>SUMIF('IS(M)'!$M$11:$ER$11,CU$7,'IS(M)'!$M69:$ER69)</f>
        <v>0</v>
      </c>
      <c r="CV60" s="920">
        <f>SUMIF('IS(M)'!$M$11:$ER$11,CV$7,'IS(M)'!$M69:$ER69)</f>
        <v>0</v>
      </c>
      <c r="CW60" s="920">
        <f>SUMIF('IS(M)'!$M$11:$ER$11,CW$7,'IS(M)'!$M69:$ER69)</f>
        <v>0</v>
      </c>
      <c r="CX60" s="920">
        <f>SUMIF('IS(M)'!$M$11:$ER$11,CX$7,'IS(M)'!$M69:$ER69)</f>
        <v>0</v>
      </c>
      <c r="CY60" s="920">
        <f>SUMIF('IS(M)'!$M$11:$ER$11,CY$7,'IS(M)'!$M69:$ER69)</f>
        <v>0</v>
      </c>
      <c r="CZ60" s="920">
        <f>SUMIF('IS(M)'!$M$11:$ER$11,CZ$7,'IS(M)'!$M69:$ER69)</f>
        <v>0</v>
      </c>
      <c r="DA60" s="920">
        <f>SUMIF('IS(M)'!$M$11:$ER$11,DA$7,'IS(M)'!$M69:$ER69)</f>
        <v>0</v>
      </c>
      <c r="DB60" s="920">
        <f>SUMIF('IS(M)'!$M$11:$ER$11,DB$7,'IS(M)'!$M69:$ER69)</f>
        <v>0</v>
      </c>
      <c r="DC60" s="920">
        <f>SUMIF('IS(M)'!$M$11:$ER$11,DC$7,'IS(M)'!$M69:$ER69)</f>
        <v>0</v>
      </c>
      <c r="DD60" s="920">
        <f>SUMIF('IS(M)'!$M$11:$ER$11,DD$7,'IS(M)'!$M69:$ER69)</f>
        <v>0</v>
      </c>
      <c r="DE60" s="920">
        <f>SUMIF('IS(M)'!$M$11:$ER$11,DE$7,'IS(M)'!$M69:$ER69)</f>
        <v>0</v>
      </c>
      <c r="DF60" s="920">
        <f>SUMIF('IS(M)'!$M$11:$ER$11,DF$7,'IS(M)'!$M69:$ER69)</f>
        <v>0</v>
      </c>
      <c r="DG60" s="920">
        <f>SUMIF('IS(M)'!$M$11:$ER$11,DG$7,'IS(M)'!$M69:$ER69)</f>
        <v>0</v>
      </c>
      <c r="DH60" s="920">
        <f>SUMIF('IS(M)'!$M$11:$ER$11,DH$7,'IS(M)'!$M69:$ER69)</f>
        <v>0</v>
      </c>
      <c r="DI60" s="920">
        <f>SUMIF('IS(M)'!$M$11:$ER$11,DI$7,'IS(M)'!$M69:$ER69)</f>
        <v>0</v>
      </c>
      <c r="DJ60" s="920">
        <f>SUMIF('IS(M)'!$M$11:$ER$11,DJ$7,'IS(M)'!$M69:$ER69)</f>
        <v>0</v>
      </c>
      <c r="DK60" s="920">
        <f>SUMIF('IS(M)'!$M$11:$ER$11,DK$7,'IS(M)'!$M69:$ER69)</f>
        <v>0</v>
      </c>
      <c r="DL60" s="920">
        <f>SUMIF('IS(M)'!$M$11:$ER$11,DL$7,'IS(M)'!$M69:$ER69)</f>
        <v>0</v>
      </c>
      <c r="DM60" s="920">
        <f>SUMIF('IS(M)'!$M$11:$ER$11,DM$7,'IS(M)'!$M69:$ER69)</f>
        <v>0</v>
      </c>
      <c r="DN60" s="920">
        <f>SUMIF('IS(M)'!$M$11:$ER$11,DN$7,'IS(M)'!$M69:$ER69)</f>
        <v>0</v>
      </c>
      <c r="DO60" s="920">
        <f>SUMIF('IS(M)'!$M$11:$ER$11,DO$7,'IS(M)'!$M69:$ER69)</f>
        <v>0</v>
      </c>
      <c r="DP60" s="920">
        <f>SUMIF('IS(M)'!$M$11:$ER$11,DP$7,'IS(M)'!$M69:$ER69)</f>
        <v>0</v>
      </c>
      <c r="DQ60" s="920">
        <f>SUMIF('IS(M)'!$M$11:$ER$11,DQ$7,'IS(M)'!$M69:$ER69)</f>
        <v>0</v>
      </c>
      <c r="DR60" s="920">
        <f>SUMIF('IS(M)'!$M$11:$ER$11,DR$7,'IS(M)'!$M69:$ER69)</f>
        <v>0</v>
      </c>
      <c r="DS60" s="920">
        <f>SUMIF('IS(M)'!$M$11:$ER$11,DS$7,'IS(M)'!$M69:$ER69)</f>
        <v>0</v>
      </c>
      <c r="DT60" s="920">
        <f>SUMIF('IS(M)'!$M$11:$ER$11,DT$7,'IS(M)'!$M69:$ER69)</f>
        <v>0</v>
      </c>
      <c r="DU60" s="920">
        <f>SUMIF('IS(M)'!$M$11:$ER$11,DU$7,'IS(M)'!$M69:$ER69)</f>
        <v>0</v>
      </c>
      <c r="DV60" s="920">
        <f>SUMIF('IS(M)'!$M$11:$ER$11,DV$7,'IS(M)'!$M69:$ER69)</f>
        <v>0</v>
      </c>
      <c r="DW60" s="920">
        <f>SUMIF('IS(M)'!$M$11:$ER$11,DW$7,'IS(M)'!$M69:$ER69)</f>
        <v>0</v>
      </c>
    </row>
    <row r="61" spans="2:127" ht="11.25" customHeight="1">
      <c r="B61" s="218"/>
      <c r="C61" s="911" t="s">
        <v>219</v>
      </c>
      <c r="D61" s="912"/>
      <c r="E61" s="912"/>
      <c r="F61" s="912"/>
      <c r="G61" s="912"/>
      <c r="H61" s="912"/>
      <c r="I61" s="913"/>
      <c r="J61" s="914"/>
      <c r="K61" s="918">
        <f ca="1">SUM(M61:DW61)</f>
        <v>45263706.729123585</v>
      </c>
      <c r="L61" s="98"/>
      <c r="M61" s="920">
        <f>SUMIF('IS(M)'!$M$11:$ER$11,M$7,'IS(M)'!$M70:$ER70)</f>
        <v>0</v>
      </c>
      <c r="N61" s="920">
        <f ca="1">SUMIF('IS(M)'!$M$11:$ER$11,N$7,'IS(M)'!$M70:$ER70)</f>
        <v>1032172.2237300194</v>
      </c>
      <c r="O61" s="920">
        <f ca="1">SUMIF('IS(M)'!$M$11:$ER$11,O$7,'IS(M)'!$M70:$ER70)</f>
        <v>1567875.7446425203</v>
      </c>
      <c r="P61" s="920">
        <f ca="1">SUMIF('IS(M)'!$M$11:$ER$11,P$7,'IS(M)'!$M70:$ER70)</f>
        <v>1289433.1038831335</v>
      </c>
      <c r="Q61" s="920">
        <f ca="1">SUMIF('IS(M)'!$M$11:$ER$11,Q$7,'IS(M)'!$M70:$ER70)</f>
        <v>1691990.2478144402</v>
      </c>
      <c r="R61" s="920">
        <f ca="1">SUMIF('IS(M)'!$M$11:$ER$11,R$7,'IS(M)'!$M70:$ER70)</f>
        <v>1698176.2133207188</v>
      </c>
      <c r="S61" s="920">
        <f ca="1">SUMIF('IS(M)'!$M$11:$ER$11,S$7,'IS(M)'!$M70:$ER70)</f>
        <v>0</v>
      </c>
      <c r="T61" s="920">
        <f ca="1">SUMIF('IS(M)'!$M$11:$ER$11,T$7,'IS(M)'!$M70:$ER70)</f>
        <v>0</v>
      </c>
      <c r="U61" s="920">
        <f ca="1">SUMIF('IS(M)'!$M$11:$ER$11,U$7,'IS(M)'!$M70:$ER70)</f>
        <v>957948.25676668703</v>
      </c>
      <c r="V61" s="920">
        <f ca="1">SUMIF('IS(M)'!$M$11:$ER$11,V$7,'IS(M)'!$M70:$ER70)</f>
        <v>2257309.3785133664</v>
      </c>
      <c r="W61" s="920">
        <f ca="1">SUMIF('IS(M)'!$M$11:$ER$11,W$7,'IS(M)'!$M70:$ER70)</f>
        <v>2486096.641440114</v>
      </c>
      <c r="X61" s="920">
        <f ca="1">SUMIF('IS(M)'!$M$11:$ER$11,X$7,'IS(M)'!$M70:$ER70)</f>
        <v>2785946.380730385</v>
      </c>
      <c r="Y61" s="920">
        <f ca="1">SUMIF('IS(M)'!$M$11:$ER$11,Y$7,'IS(M)'!$M70:$ER70)</f>
        <v>3030012.2318941494</v>
      </c>
      <c r="Z61" s="920">
        <f ca="1">SUMIF('IS(M)'!$M$11:$ER$11,Z$7,'IS(M)'!$M70:$ER70)</f>
        <v>3013001.0053553209</v>
      </c>
      <c r="AA61" s="920">
        <f ca="1">SUMIF('IS(M)'!$M$11:$ER$11,AA$7,'IS(M)'!$M70:$ER70)</f>
        <v>3266207.4371801456</v>
      </c>
      <c r="AB61" s="920">
        <f ca="1">SUMIF('IS(M)'!$M$11:$ER$11,AB$7,'IS(M)'!$M70:$ER70)</f>
        <v>3255762.485072895</v>
      </c>
      <c r="AC61" s="920">
        <f ca="1">SUMIF('IS(M)'!$M$11:$ER$11,AC$7,'IS(M)'!$M70:$ER70)</f>
        <v>2609361.9053656049</v>
      </c>
      <c r="AD61" s="920">
        <f ca="1">SUMIF('IS(M)'!$M$11:$ER$11,AD$7,'IS(M)'!$M70:$ER70)</f>
        <v>3307405.2119484521</v>
      </c>
      <c r="AE61" s="920">
        <f ca="1">SUMIF('IS(M)'!$M$11:$ER$11,AE$7,'IS(M)'!$M70:$ER70)</f>
        <v>3541061.6520488132</v>
      </c>
      <c r="AF61" s="920">
        <f ca="1">SUMIF('IS(M)'!$M$11:$ER$11,AF$7,'IS(M)'!$M70:$ER70)</f>
        <v>3661677.658500541</v>
      </c>
      <c r="AG61" s="920">
        <f ca="1">SUMIF('IS(M)'!$M$11:$ER$11,AG$7,'IS(M)'!$M70:$ER70)</f>
        <v>3812268.950916281</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-3336239.8716530381</v>
      </c>
      <c r="T62" s="171">
        <f t="shared" ca="1" si="33"/>
        <v>-1324842.8594188951</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550</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911" t="s">
        <v>232</v>
      </c>
      <c r="D66" s="912"/>
      <c r="E66" s="912"/>
      <c r="F66" s="912"/>
      <c r="G66" s="912"/>
      <c r="H66" s="912"/>
      <c r="I66" s="913"/>
      <c r="J66" s="914"/>
      <c r="K66" s="918">
        <f ca="1">SUM(M66:DW66)</f>
        <v>16800000.000000004</v>
      </c>
      <c r="L66" s="98"/>
      <c r="M66" s="920">
        <f ca="1">SUMIF('IS(M)'!$M$11:$ER$11,M$7,'IS(M)'!$M75:$ER75)</f>
        <v>0</v>
      </c>
      <c r="N66" s="920">
        <f ca="1">SUMIF('IS(M)'!$M$11:$ER$11,N$7,'IS(M)'!$M75:$ER75)</f>
        <v>840000.00000000012</v>
      </c>
      <c r="O66" s="920">
        <f ca="1">SUMIF('IS(M)'!$M$11:$ER$11,O$7,'IS(M)'!$M75:$ER75)</f>
        <v>840000.00000000012</v>
      </c>
      <c r="P66" s="920">
        <f ca="1">SUMIF('IS(M)'!$M$11:$ER$11,P$7,'IS(M)'!$M75:$ER75)</f>
        <v>840000.00000000012</v>
      </c>
      <c r="Q66" s="920">
        <f ca="1">SUMIF('IS(M)'!$M$11:$ER$11,Q$7,'IS(M)'!$M75:$ER75)</f>
        <v>840000.00000000012</v>
      </c>
      <c r="R66" s="920">
        <f ca="1">SUMIF('IS(M)'!$M$11:$ER$11,R$7,'IS(M)'!$M75:$ER75)</f>
        <v>840000.00000000012</v>
      </c>
      <c r="S66" s="920">
        <f ca="1">SUMIF('IS(M)'!$M$11:$ER$11,S$7,'IS(M)'!$M75:$ER75)</f>
        <v>840000.00000000012</v>
      </c>
      <c r="T66" s="920">
        <f ca="1">SUMIF('IS(M)'!$M$11:$ER$11,T$7,'IS(M)'!$M75:$ER75)</f>
        <v>840000.00000000012</v>
      </c>
      <c r="U66" s="920">
        <f ca="1">SUMIF('IS(M)'!$M$11:$ER$11,U$7,'IS(M)'!$M75:$ER75)</f>
        <v>840000.00000000012</v>
      </c>
      <c r="V66" s="920">
        <f ca="1">SUMIF('IS(M)'!$M$11:$ER$11,V$7,'IS(M)'!$M75:$ER75)</f>
        <v>840000.00000000012</v>
      </c>
      <c r="W66" s="920">
        <f ca="1">SUMIF('IS(M)'!$M$11:$ER$11,W$7,'IS(M)'!$M75:$ER75)</f>
        <v>840000.00000000012</v>
      </c>
      <c r="X66" s="920">
        <f ca="1">SUMIF('IS(M)'!$M$11:$ER$11,X$7,'IS(M)'!$M75:$ER75)</f>
        <v>840000.00000000012</v>
      </c>
      <c r="Y66" s="920">
        <f ca="1">SUMIF('IS(M)'!$M$11:$ER$11,Y$7,'IS(M)'!$M75:$ER75)</f>
        <v>840000.00000000012</v>
      </c>
      <c r="Z66" s="920">
        <f ca="1">SUMIF('IS(M)'!$M$11:$ER$11,Z$7,'IS(M)'!$M75:$ER75)</f>
        <v>840000.00000000012</v>
      </c>
      <c r="AA66" s="920">
        <f ca="1">SUMIF('IS(M)'!$M$11:$ER$11,AA$7,'IS(M)'!$M75:$ER75)</f>
        <v>840000.00000000012</v>
      </c>
      <c r="AB66" s="920">
        <f ca="1">SUMIF('IS(M)'!$M$11:$ER$11,AB$7,'IS(M)'!$M75:$ER75)</f>
        <v>840000.00000000012</v>
      </c>
      <c r="AC66" s="920">
        <f ca="1">SUMIF('IS(M)'!$M$11:$ER$11,AC$7,'IS(M)'!$M75:$ER75)</f>
        <v>840000.00000000012</v>
      </c>
      <c r="AD66" s="920">
        <f ca="1">SUMIF('IS(M)'!$M$11:$ER$11,AD$7,'IS(M)'!$M75:$ER75)</f>
        <v>840000.00000000012</v>
      </c>
      <c r="AE66" s="920">
        <f ca="1">SUMIF('IS(M)'!$M$11:$ER$11,AE$7,'IS(M)'!$M75:$ER75)</f>
        <v>840000.00000000012</v>
      </c>
      <c r="AF66" s="920">
        <f ca="1">SUMIF('IS(M)'!$M$11:$ER$11,AF$7,'IS(M)'!$M75:$ER75)</f>
        <v>840000.00000000012</v>
      </c>
      <c r="AG66" s="920">
        <f ca="1">SUMIF('IS(M)'!$M$11:$ER$11,AG$7,'IS(M)'!$M75:$ER75)</f>
        <v>840000.00000000012</v>
      </c>
      <c r="AH66" s="920">
        <f ca="1">SUMIF('IS(M)'!$M$11:$ER$11,AH$7,'IS(M)'!$M75:$ER75)</f>
        <v>0</v>
      </c>
      <c r="AI66" s="920">
        <f ca="1">SUMIF('IS(M)'!$M$11:$ER$11,AI$7,'IS(M)'!$M75:$ER75)</f>
        <v>0</v>
      </c>
      <c r="AJ66" s="920">
        <f ca="1">SUMIF('IS(M)'!$M$11:$ER$11,AJ$7,'IS(M)'!$M75:$ER75)</f>
        <v>0</v>
      </c>
      <c r="AK66" s="920">
        <f>SUMIF('IS(M)'!$M$11:$ER$11,AK$7,'IS(M)'!$M75:$ER75)</f>
        <v>0</v>
      </c>
      <c r="AL66" s="920">
        <f>SUMIF('IS(M)'!$M$11:$ER$11,AL$7,'IS(M)'!$M75:$ER75)</f>
        <v>0</v>
      </c>
      <c r="AM66" s="920">
        <f>SUMIF('IS(M)'!$M$11:$ER$11,AM$7,'IS(M)'!$M75:$ER75)</f>
        <v>0</v>
      </c>
      <c r="AN66" s="920">
        <f>SUMIF('IS(M)'!$M$11:$ER$11,AN$7,'IS(M)'!$M75:$ER75)</f>
        <v>0</v>
      </c>
      <c r="AO66" s="920">
        <f>SUMIF('IS(M)'!$M$11:$ER$11,AO$7,'IS(M)'!$M75:$ER75)</f>
        <v>0</v>
      </c>
      <c r="AP66" s="920">
        <f>SUMIF('IS(M)'!$M$11:$ER$11,AP$7,'IS(M)'!$M75:$ER75)</f>
        <v>0</v>
      </c>
      <c r="AQ66" s="920">
        <f>SUMIF('IS(M)'!$M$11:$ER$11,AQ$7,'IS(M)'!$M75:$ER75)</f>
        <v>0</v>
      </c>
      <c r="AR66" s="920">
        <f>SUMIF('IS(M)'!$M$11:$ER$11,AR$7,'IS(M)'!$M75:$ER75)</f>
        <v>0</v>
      </c>
      <c r="AS66" s="920">
        <f>SUMIF('IS(M)'!$M$11:$ER$11,AS$7,'IS(M)'!$M75:$ER75)</f>
        <v>0</v>
      </c>
      <c r="AT66" s="920">
        <f>SUMIF('IS(M)'!$M$11:$ER$11,AT$7,'IS(M)'!$M75:$ER75)</f>
        <v>0</v>
      </c>
      <c r="AU66" s="920">
        <f>SUMIF('IS(M)'!$M$11:$ER$11,AU$7,'IS(M)'!$M75:$ER75)</f>
        <v>0</v>
      </c>
      <c r="AV66" s="920">
        <f>SUMIF('IS(M)'!$M$11:$ER$11,AV$7,'IS(M)'!$M75:$ER75)</f>
        <v>0</v>
      </c>
      <c r="AW66" s="920">
        <f>SUMIF('IS(M)'!$M$11:$ER$11,AW$7,'IS(M)'!$M75:$ER75)</f>
        <v>0</v>
      </c>
      <c r="AX66" s="920">
        <f>SUMIF('IS(M)'!$M$11:$ER$11,AX$7,'IS(M)'!$M75:$ER75)</f>
        <v>0</v>
      </c>
      <c r="AY66" s="920">
        <f>SUMIF('IS(M)'!$M$11:$ER$11,AY$7,'IS(M)'!$M75:$ER75)</f>
        <v>0</v>
      </c>
      <c r="AZ66" s="920">
        <f>SUMIF('IS(M)'!$M$11:$ER$11,AZ$7,'IS(M)'!$M75:$ER75)</f>
        <v>0</v>
      </c>
      <c r="BA66" s="920">
        <f>SUMIF('IS(M)'!$M$11:$ER$11,BA$7,'IS(M)'!$M75:$ER75)</f>
        <v>0</v>
      </c>
      <c r="BB66" s="920">
        <f>SUMIF('IS(M)'!$M$11:$ER$11,BB$7,'IS(M)'!$M75:$ER75)</f>
        <v>0</v>
      </c>
      <c r="BC66" s="920">
        <f>SUMIF('IS(M)'!$M$11:$ER$11,BC$7,'IS(M)'!$M75:$ER75)</f>
        <v>0</v>
      </c>
      <c r="BD66" s="920">
        <f>SUMIF('IS(M)'!$M$11:$ER$11,BD$7,'IS(M)'!$M75:$ER75)</f>
        <v>0</v>
      </c>
      <c r="BE66" s="920">
        <f>SUMIF('IS(M)'!$M$11:$ER$11,BE$7,'IS(M)'!$M75:$ER75)</f>
        <v>0</v>
      </c>
      <c r="BF66" s="920">
        <f>SUMIF('IS(M)'!$M$11:$ER$11,BF$7,'IS(M)'!$M75:$ER75)</f>
        <v>0</v>
      </c>
      <c r="BG66" s="920">
        <f>SUMIF('IS(M)'!$M$11:$ER$11,BG$7,'IS(M)'!$M75:$ER75)</f>
        <v>0</v>
      </c>
      <c r="BH66" s="920">
        <f>SUMIF('IS(M)'!$M$11:$ER$11,BH$7,'IS(M)'!$M75:$ER75)</f>
        <v>0</v>
      </c>
      <c r="BI66" s="920">
        <f>SUMIF('IS(M)'!$M$11:$ER$11,BI$7,'IS(M)'!$M75:$ER75)</f>
        <v>0</v>
      </c>
      <c r="BJ66" s="920">
        <f>SUMIF('IS(M)'!$M$11:$ER$11,BJ$7,'IS(M)'!$M75:$ER75)</f>
        <v>0</v>
      </c>
      <c r="BK66" s="920">
        <f>SUMIF('IS(M)'!$M$11:$ER$11,BK$7,'IS(M)'!$M75:$ER75)</f>
        <v>0</v>
      </c>
      <c r="BL66" s="920">
        <f>SUMIF('IS(M)'!$M$11:$ER$11,BL$7,'IS(M)'!$M75:$ER75)</f>
        <v>0</v>
      </c>
      <c r="BM66" s="920">
        <f>SUMIF('IS(M)'!$M$11:$ER$11,BM$7,'IS(M)'!$M75:$ER75)</f>
        <v>0</v>
      </c>
      <c r="BN66" s="920">
        <f>SUMIF('IS(M)'!$M$11:$ER$11,BN$7,'IS(M)'!$M75:$ER75)</f>
        <v>0</v>
      </c>
      <c r="BO66" s="920">
        <f>SUMIF('IS(M)'!$M$11:$ER$11,BO$7,'IS(M)'!$M75:$ER75)</f>
        <v>0</v>
      </c>
      <c r="BP66" s="920">
        <f>SUMIF('IS(M)'!$M$11:$ER$11,BP$7,'IS(M)'!$M75:$ER75)</f>
        <v>0</v>
      </c>
      <c r="BQ66" s="920">
        <f>SUMIF('IS(M)'!$M$11:$ER$11,BQ$7,'IS(M)'!$M75:$ER75)</f>
        <v>0</v>
      </c>
      <c r="BR66" s="920">
        <f>SUMIF('IS(M)'!$M$11:$ER$11,BR$7,'IS(M)'!$M75:$ER75)</f>
        <v>0</v>
      </c>
      <c r="BS66" s="920">
        <f>SUMIF('IS(M)'!$M$11:$ER$11,BS$7,'IS(M)'!$M75:$ER75)</f>
        <v>0</v>
      </c>
      <c r="BT66" s="920">
        <f>SUMIF('IS(M)'!$M$11:$ER$11,BT$7,'IS(M)'!$M75:$ER75)</f>
        <v>0</v>
      </c>
      <c r="BU66" s="920">
        <f>SUMIF('IS(M)'!$M$11:$ER$11,BU$7,'IS(M)'!$M75:$ER75)</f>
        <v>0</v>
      </c>
      <c r="BV66" s="920">
        <f>SUMIF('IS(M)'!$M$11:$ER$11,BV$7,'IS(M)'!$M75:$ER75)</f>
        <v>0</v>
      </c>
      <c r="BW66" s="920">
        <f>SUMIF('IS(M)'!$M$11:$ER$11,BW$7,'IS(M)'!$M75:$ER75)</f>
        <v>0</v>
      </c>
      <c r="BX66" s="920">
        <f>SUMIF('IS(M)'!$M$11:$ER$11,BX$7,'IS(M)'!$M75:$ER75)</f>
        <v>0</v>
      </c>
      <c r="BY66" s="920">
        <f>SUMIF('IS(M)'!$M$11:$ER$11,BY$7,'IS(M)'!$M75:$ER75)</f>
        <v>0</v>
      </c>
      <c r="BZ66" s="920">
        <f>SUMIF('IS(M)'!$M$11:$ER$11,BZ$7,'IS(M)'!$M75:$ER75)</f>
        <v>0</v>
      </c>
      <c r="CA66" s="920">
        <f>SUMIF('IS(M)'!$M$11:$ER$11,CA$7,'IS(M)'!$M75:$ER75)</f>
        <v>0</v>
      </c>
      <c r="CB66" s="920">
        <f>SUMIF('IS(M)'!$M$11:$ER$11,CB$7,'IS(M)'!$M75:$ER75)</f>
        <v>0</v>
      </c>
      <c r="CC66" s="920">
        <f>SUMIF('IS(M)'!$M$11:$ER$11,CC$7,'IS(M)'!$M75:$ER75)</f>
        <v>0</v>
      </c>
      <c r="CD66" s="920">
        <f>SUMIF('IS(M)'!$M$11:$ER$11,CD$7,'IS(M)'!$M75:$ER75)</f>
        <v>0</v>
      </c>
      <c r="CE66" s="920">
        <f>SUMIF('IS(M)'!$M$11:$ER$11,CE$7,'IS(M)'!$M75:$ER75)</f>
        <v>0</v>
      </c>
      <c r="CF66" s="920">
        <f>SUMIF('IS(M)'!$M$11:$ER$11,CF$7,'IS(M)'!$M75:$ER75)</f>
        <v>0</v>
      </c>
      <c r="CG66" s="920">
        <f>SUMIF('IS(M)'!$M$11:$ER$11,CG$7,'IS(M)'!$M75:$ER75)</f>
        <v>0</v>
      </c>
      <c r="CH66" s="920">
        <f>SUMIF('IS(M)'!$M$11:$ER$11,CH$7,'IS(M)'!$M75:$ER75)</f>
        <v>0</v>
      </c>
      <c r="CI66" s="920">
        <f>SUMIF('IS(M)'!$M$11:$ER$11,CI$7,'IS(M)'!$M75:$ER75)</f>
        <v>0</v>
      </c>
      <c r="CJ66" s="920">
        <f>SUMIF('IS(M)'!$M$11:$ER$11,CJ$7,'IS(M)'!$M75:$ER75)</f>
        <v>0</v>
      </c>
      <c r="CK66" s="920">
        <f>SUMIF('IS(M)'!$M$11:$ER$11,CK$7,'IS(M)'!$M75:$ER75)</f>
        <v>0</v>
      </c>
      <c r="CL66" s="920">
        <f>SUMIF('IS(M)'!$M$11:$ER$11,CL$7,'IS(M)'!$M75:$ER75)</f>
        <v>0</v>
      </c>
      <c r="CM66" s="920">
        <f>SUMIF('IS(M)'!$M$11:$ER$11,CM$7,'IS(M)'!$M75:$ER75)</f>
        <v>0</v>
      </c>
      <c r="CN66" s="920">
        <f>SUMIF('IS(M)'!$M$11:$ER$11,CN$7,'IS(M)'!$M75:$ER75)</f>
        <v>0</v>
      </c>
      <c r="CO66" s="920">
        <f>SUMIF('IS(M)'!$M$11:$ER$11,CO$7,'IS(M)'!$M75:$ER75)</f>
        <v>0</v>
      </c>
      <c r="CP66" s="920">
        <f>SUMIF('IS(M)'!$M$11:$ER$11,CP$7,'IS(M)'!$M75:$ER75)</f>
        <v>0</v>
      </c>
      <c r="CQ66" s="920">
        <f>SUMIF('IS(M)'!$M$11:$ER$11,CQ$7,'IS(M)'!$M75:$ER75)</f>
        <v>0</v>
      </c>
      <c r="CR66" s="920">
        <f>SUMIF('IS(M)'!$M$11:$ER$11,CR$7,'IS(M)'!$M75:$ER75)</f>
        <v>0</v>
      </c>
      <c r="CS66" s="920">
        <f>SUMIF('IS(M)'!$M$11:$ER$11,CS$7,'IS(M)'!$M75:$ER75)</f>
        <v>0</v>
      </c>
      <c r="CT66" s="920">
        <f>SUMIF('IS(M)'!$M$11:$ER$11,CT$7,'IS(M)'!$M75:$ER75)</f>
        <v>0</v>
      </c>
      <c r="CU66" s="920">
        <f>SUMIF('IS(M)'!$M$11:$ER$11,CU$7,'IS(M)'!$M75:$ER75)</f>
        <v>0</v>
      </c>
      <c r="CV66" s="920">
        <f>SUMIF('IS(M)'!$M$11:$ER$11,CV$7,'IS(M)'!$M75:$ER75)</f>
        <v>0</v>
      </c>
      <c r="CW66" s="920">
        <f>SUMIF('IS(M)'!$M$11:$ER$11,CW$7,'IS(M)'!$M75:$ER75)</f>
        <v>0</v>
      </c>
      <c r="CX66" s="920">
        <f>SUMIF('IS(M)'!$M$11:$ER$11,CX$7,'IS(M)'!$M75:$ER75)</f>
        <v>0</v>
      </c>
      <c r="CY66" s="920">
        <f>SUMIF('IS(M)'!$M$11:$ER$11,CY$7,'IS(M)'!$M75:$ER75)</f>
        <v>0</v>
      </c>
      <c r="CZ66" s="920">
        <f>SUMIF('IS(M)'!$M$11:$ER$11,CZ$7,'IS(M)'!$M75:$ER75)</f>
        <v>0</v>
      </c>
      <c r="DA66" s="920">
        <f>SUMIF('IS(M)'!$M$11:$ER$11,DA$7,'IS(M)'!$M75:$ER75)</f>
        <v>0</v>
      </c>
      <c r="DB66" s="920">
        <f>SUMIF('IS(M)'!$M$11:$ER$11,DB$7,'IS(M)'!$M75:$ER75)</f>
        <v>0</v>
      </c>
      <c r="DC66" s="920">
        <f>SUMIF('IS(M)'!$M$11:$ER$11,DC$7,'IS(M)'!$M75:$ER75)</f>
        <v>0</v>
      </c>
      <c r="DD66" s="920">
        <f>SUMIF('IS(M)'!$M$11:$ER$11,DD$7,'IS(M)'!$M75:$ER75)</f>
        <v>0</v>
      </c>
      <c r="DE66" s="920">
        <f>SUMIF('IS(M)'!$M$11:$ER$11,DE$7,'IS(M)'!$M75:$ER75)</f>
        <v>0</v>
      </c>
      <c r="DF66" s="920">
        <f>SUMIF('IS(M)'!$M$11:$ER$11,DF$7,'IS(M)'!$M75:$ER75)</f>
        <v>0</v>
      </c>
      <c r="DG66" s="920">
        <f>SUMIF('IS(M)'!$M$11:$ER$11,DG$7,'IS(M)'!$M75:$ER75)</f>
        <v>0</v>
      </c>
      <c r="DH66" s="920">
        <f>SUMIF('IS(M)'!$M$11:$ER$11,DH$7,'IS(M)'!$M75:$ER75)</f>
        <v>0</v>
      </c>
      <c r="DI66" s="920">
        <f>SUMIF('IS(M)'!$M$11:$ER$11,DI$7,'IS(M)'!$M75:$ER75)</f>
        <v>0</v>
      </c>
      <c r="DJ66" s="920">
        <f>SUMIF('IS(M)'!$M$11:$ER$11,DJ$7,'IS(M)'!$M75:$ER75)</f>
        <v>0</v>
      </c>
      <c r="DK66" s="920">
        <f>SUMIF('IS(M)'!$M$11:$ER$11,DK$7,'IS(M)'!$M75:$ER75)</f>
        <v>0</v>
      </c>
      <c r="DL66" s="920">
        <f>SUMIF('IS(M)'!$M$11:$ER$11,DL$7,'IS(M)'!$M75:$ER75)</f>
        <v>0</v>
      </c>
      <c r="DM66" s="920">
        <f>SUMIF('IS(M)'!$M$11:$ER$11,DM$7,'IS(M)'!$M75:$ER75)</f>
        <v>0</v>
      </c>
      <c r="DN66" s="920">
        <f>SUMIF('IS(M)'!$M$11:$ER$11,DN$7,'IS(M)'!$M75:$ER75)</f>
        <v>0</v>
      </c>
      <c r="DO66" s="920">
        <f>SUMIF('IS(M)'!$M$11:$ER$11,DO$7,'IS(M)'!$M75:$ER75)</f>
        <v>0</v>
      </c>
      <c r="DP66" s="920">
        <f>SUMIF('IS(M)'!$M$11:$ER$11,DP$7,'IS(M)'!$M75:$ER75)</f>
        <v>0</v>
      </c>
      <c r="DQ66" s="920">
        <f>SUMIF('IS(M)'!$M$11:$ER$11,DQ$7,'IS(M)'!$M75:$ER75)</f>
        <v>0</v>
      </c>
      <c r="DR66" s="920">
        <f>SUMIF('IS(M)'!$M$11:$ER$11,DR$7,'IS(M)'!$M75:$ER75)</f>
        <v>0</v>
      </c>
      <c r="DS66" s="920">
        <f>SUMIF('IS(M)'!$M$11:$ER$11,DS$7,'IS(M)'!$M75:$ER75)</f>
        <v>0</v>
      </c>
      <c r="DT66" s="920">
        <f>SUMIF('IS(M)'!$M$11:$ER$11,DT$7,'IS(M)'!$M75:$ER75)</f>
        <v>0</v>
      </c>
      <c r="DU66" s="920">
        <f>SUMIF('IS(M)'!$M$11:$ER$11,DU$7,'IS(M)'!$M75:$ER75)</f>
        <v>0</v>
      </c>
      <c r="DV66" s="920">
        <f>SUMIF('IS(M)'!$M$11:$ER$11,DV$7,'IS(M)'!$M75:$ER75)</f>
        <v>0</v>
      </c>
      <c r="DW66" s="920">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551</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-1425566.8961168667</v>
      </c>
      <c r="R69" s="908">
        <f t="shared" ca="1" si="39"/>
        <v>-2448576.6483024266</v>
      </c>
      <c r="S69" s="908">
        <f t="shared" ca="1" si="39"/>
        <v>-3465400.4349817079</v>
      </c>
      <c r="T69" s="908">
        <f t="shared" ca="1" si="39"/>
        <v>-6180400.4349817075</v>
      </c>
      <c r="U69" s="908">
        <f t="shared" ca="1" si="39"/>
        <v>-8895400.4349817075</v>
      </c>
      <c r="V69" s="908">
        <f t="shared" ca="1" si="39"/>
        <v>-10652452.178215021</v>
      </c>
      <c r="W69" s="908">
        <f t="shared" ca="1" si="39"/>
        <v>-11091199.103582747</v>
      </c>
      <c r="X69" s="908">
        <f t="shared" ca="1" si="39"/>
        <v>-11206831.755942302</v>
      </c>
      <c r="Y69" s="908">
        <f t="shared" ca="1" si="39"/>
        <v>-11098967.750347553</v>
      </c>
      <c r="Z69" s="908">
        <f t="shared" ca="1" si="39"/>
        <v>-10953087.545637006</v>
      </c>
      <c r="AA69" s="908">
        <f t="shared" ca="1" si="39"/>
        <v>-10655086.540281685</v>
      </c>
      <c r="AB69" s="908">
        <f t="shared" ca="1" si="39"/>
        <v>-10103879.10310154</v>
      </c>
      <c r="AC69" s="908">
        <f t="shared" ca="1" si="39"/>
        <v>-9563116.6180286445</v>
      </c>
      <c r="AD69" s="908">
        <f t="shared" ca="1" si="39"/>
        <v>-9668754.7126630396</v>
      </c>
      <c r="AE69" s="908">
        <f t="shared" ca="1" si="39"/>
        <v>-9076349.500714587</v>
      </c>
      <c r="AF69" s="908">
        <f t="shared" ca="1" si="39"/>
        <v>-8250287.8486657739</v>
      </c>
      <c r="AG69" s="908">
        <f t="shared" ca="1" si="39"/>
        <v>-7303610.1901652329</v>
      </c>
      <c r="AH69" s="908">
        <f t="shared" ca="1" si="39"/>
        <v>-6206341.2392489519</v>
      </c>
      <c r="AI69" s="908">
        <f t="shared" ca="1" si="39"/>
        <v>-6206341.2392489519</v>
      </c>
      <c r="AJ69" s="908">
        <f t="shared" ca="1" si="39"/>
        <v>-6206341.2392489519</v>
      </c>
      <c r="AK69" s="908">
        <f t="shared" ca="1" si="39"/>
        <v>-6206341.2392489519</v>
      </c>
      <c r="AL69" s="908">
        <f t="shared" ca="1" si="39"/>
        <v>-6206341.2392489519</v>
      </c>
      <c r="AM69" s="908">
        <f t="shared" ca="1" si="39"/>
        <v>-6206341.2392489519</v>
      </c>
      <c r="AN69" s="908">
        <f t="shared" ca="1" si="39"/>
        <v>-6206341.2392489519</v>
      </c>
      <c r="AO69" s="908">
        <f t="shared" ca="1" si="39"/>
        <v>-6206341.2392489519</v>
      </c>
      <c r="AP69" s="908">
        <f t="shared" ca="1" si="39"/>
        <v>-6206341.2392489519</v>
      </c>
      <c r="AQ69" s="908">
        <f t="shared" ca="1" si="39"/>
        <v>-6206341.2392489519</v>
      </c>
      <c r="AR69" s="908">
        <f t="shared" ca="1" si="39"/>
        <v>-6206341.2392489519</v>
      </c>
      <c r="AS69" s="908">
        <f t="shared" ca="1" si="39"/>
        <v>-6206341.2392489519</v>
      </c>
      <c r="AT69" s="908">
        <f t="shared" ca="1" si="39"/>
        <v>-6206341.2392489519</v>
      </c>
      <c r="AU69" s="908">
        <f t="shared" ca="1" si="39"/>
        <v>-6206341.2392489519</v>
      </c>
      <c r="AV69" s="908">
        <f t="shared" ca="1" si="39"/>
        <v>-6206341.2392489519</v>
      </c>
      <c r="AW69" s="908">
        <f t="shared" ca="1" si="39"/>
        <v>-6206341.2392489519</v>
      </c>
      <c r="AX69" s="908">
        <f t="shared" ca="1" si="39"/>
        <v>-6206341.2392489519</v>
      </c>
      <c r="AY69" s="908">
        <f t="shared" ca="1" si="39"/>
        <v>-6206341.2392489519</v>
      </c>
      <c r="AZ69" s="908">
        <f t="shared" ca="1" si="39"/>
        <v>-6206341.2392489519</v>
      </c>
      <c r="BA69" s="908">
        <f t="shared" ca="1" si="39"/>
        <v>-6206341.2392489519</v>
      </c>
      <c r="BB69" s="908">
        <f t="shared" ca="1" si="39"/>
        <v>-6206341.2392489519</v>
      </c>
      <c r="BC69" s="908">
        <f t="shared" ca="1" si="39"/>
        <v>-6206341.2392489519</v>
      </c>
      <c r="BD69" s="908">
        <f t="shared" ca="1" si="39"/>
        <v>-6206341.2392489519</v>
      </c>
      <c r="BE69" s="908">
        <f t="shared" ca="1" si="39"/>
        <v>-6206341.2392489519</v>
      </c>
      <c r="BF69" s="908">
        <f t="shared" ca="1" si="39"/>
        <v>-6206341.2392489519</v>
      </c>
      <c r="BG69" s="908">
        <f t="shared" ca="1" si="39"/>
        <v>-6206341.2392489519</v>
      </c>
      <c r="BH69" s="908">
        <f t="shared" ca="1" si="39"/>
        <v>-6206341.2392489519</v>
      </c>
      <c r="BI69" s="908">
        <f t="shared" ca="1" si="39"/>
        <v>-6206341.2392489519</v>
      </c>
      <c r="BJ69" s="908">
        <f t="shared" ca="1" si="39"/>
        <v>-6206341.2392489519</v>
      </c>
      <c r="BK69" s="908">
        <f t="shared" ca="1" si="39"/>
        <v>-6206341.2392489519</v>
      </c>
      <c r="BL69" s="908">
        <f t="shared" ca="1" si="39"/>
        <v>-6206341.2392489519</v>
      </c>
      <c r="BM69" s="908">
        <f t="shared" ca="1" si="39"/>
        <v>-6206341.2392489519</v>
      </c>
      <c r="BN69" s="908">
        <f t="shared" ca="1" si="39"/>
        <v>-6206341.2392489519</v>
      </c>
      <c r="BO69" s="908">
        <f t="shared" ca="1" si="39"/>
        <v>-6206341.2392489519</v>
      </c>
      <c r="BP69" s="908">
        <f t="shared" ca="1" si="39"/>
        <v>-6206341.2392489519</v>
      </c>
      <c r="BQ69" s="908">
        <f t="shared" ca="1" si="39"/>
        <v>-6206341.2392489519</v>
      </c>
      <c r="BR69" s="908">
        <f t="shared" ca="1" si="39"/>
        <v>-6206341.2392489519</v>
      </c>
      <c r="BS69" s="908">
        <f t="shared" ca="1" si="39"/>
        <v>-6206341.2392489519</v>
      </c>
      <c r="BT69" s="908">
        <f t="shared" ca="1" si="39"/>
        <v>-6206341.2392489519</v>
      </c>
      <c r="BU69" s="908">
        <f t="shared" ca="1" si="39"/>
        <v>-6206341.2392489519</v>
      </c>
      <c r="BV69" s="908">
        <f t="shared" ca="1" si="39"/>
        <v>-6206341.2392489519</v>
      </c>
      <c r="BW69" s="908">
        <f t="shared" ca="1" si="39"/>
        <v>-6206341.2392489519</v>
      </c>
      <c r="BX69" s="908">
        <f t="shared" ca="1" si="39"/>
        <v>-6206341.2392489519</v>
      </c>
      <c r="BY69" s="908">
        <f t="shared" ca="1" si="39"/>
        <v>-6206341.2392489519</v>
      </c>
      <c r="BZ69" s="908">
        <f t="shared" ref="BZ69:DW69" ca="1" si="40">BY72</f>
        <v>-6206341.2392489519</v>
      </c>
      <c r="CA69" s="908">
        <f t="shared" ca="1" si="40"/>
        <v>-6206341.2392489519</v>
      </c>
      <c r="CB69" s="908">
        <f t="shared" ca="1" si="40"/>
        <v>-6206341.2392489519</v>
      </c>
      <c r="CC69" s="908">
        <f t="shared" ca="1" si="40"/>
        <v>-6206341.2392489519</v>
      </c>
      <c r="CD69" s="908">
        <f t="shared" ca="1" si="40"/>
        <v>-6206341.2392489519</v>
      </c>
      <c r="CE69" s="908">
        <f t="shared" ca="1" si="40"/>
        <v>-6206341.2392489519</v>
      </c>
      <c r="CF69" s="908">
        <f t="shared" ca="1" si="40"/>
        <v>-6206341.2392489519</v>
      </c>
      <c r="CG69" s="908">
        <f t="shared" ca="1" si="40"/>
        <v>-6206341.2392489519</v>
      </c>
      <c r="CH69" s="908">
        <f t="shared" ca="1" si="40"/>
        <v>-6206341.2392489519</v>
      </c>
      <c r="CI69" s="908">
        <f t="shared" ca="1" si="40"/>
        <v>-6206341.2392489519</v>
      </c>
      <c r="CJ69" s="908">
        <f t="shared" ca="1" si="40"/>
        <v>-6206341.2392489519</v>
      </c>
      <c r="CK69" s="908">
        <f t="shared" ca="1" si="40"/>
        <v>-6206341.2392489519</v>
      </c>
      <c r="CL69" s="908">
        <f t="shared" ca="1" si="40"/>
        <v>-6206341.2392489519</v>
      </c>
      <c r="CM69" s="908">
        <f t="shared" ca="1" si="40"/>
        <v>-6206341.2392489519</v>
      </c>
      <c r="CN69" s="908">
        <f t="shared" ca="1" si="40"/>
        <v>-6206341.2392489519</v>
      </c>
      <c r="CO69" s="908">
        <f t="shared" ca="1" si="40"/>
        <v>-6206341.2392489519</v>
      </c>
      <c r="CP69" s="908">
        <f t="shared" ca="1" si="40"/>
        <v>-6206341.2392489519</v>
      </c>
      <c r="CQ69" s="908">
        <f t="shared" ca="1" si="40"/>
        <v>-6206341.2392489519</v>
      </c>
      <c r="CR69" s="908">
        <f t="shared" ca="1" si="40"/>
        <v>-6206341.2392489519</v>
      </c>
      <c r="CS69" s="908">
        <f t="shared" ca="1" si="40"/>
        <v>-6206341.2392489519</v>
      </c>
      <c r="CT69" s="908">
        <f t="shared" ca="1" si="40"/>
        <v>-6206341.2392489519</v>
      </c>
      <c r="CU69" s="908">
        <f t="shared" ca="1" si="40"/>
        <v>-6206341.2392489519</v>
      </c>
      <c r="CV69" s="908">
        <f t="shared" ca="1" si="40"/>
        <v>-6206341.2392489519</v>
      </c>
      <c r="CW69" s="908">
        <f t="shared" ca="1" si="40"/>
        <v>-6206341.2392489519</v>
      </c>
      <c r="CX69" s="908">
        <f t="shared" ca="1" si="40"/>
        <v>-6206341.2392489519</v>
      </c>
      <c r="CY69" s="908">
        <f t="shared" ca="1" si="40"/>
        <v>-6206341.2392489519</v>
      </c>
      <c r="CZ69" s="908">
        <f t="shared" ca="1" si="40"/>
        <v>-6206341.2392489519</v>
      </c>
      <c r="DA69" s="908">
        <f t="shared" ca="1" si="40"/>
        <v>-6206341.2392489519</v>
      </c>
      <c r="DB69" s="908">
        <f t="shared" ca="1" si="40"/>
        <v>-6206341.2392489519</v>
      </c>
      <c r="DC69" s="908">
        <f t="shared" ca="1" si="40"/>
        <v>-6206341.2392489519</v>
      </c>
      <c r="DD69" s="908">
        <f t="shared" ca="1" si="40"/>
        <v>-6206341.2392489519</v>
      </c>
      <c r="DE69" s="908">
        <f t="shared" ca="1" si="40"/>
        <v>-6206341.2392489519</v>
      </c>
      <c r="DF69" s="908">
        <f t="shared" ca="1" si="40"/>
        <v>-6206341.2392489519</v>
      </c>
      <c r="DG69" s="908">
        <f t="shared" ca="1" si="40"/>
        <v>-6206341.2392489519</v>
      </c>
      <c r="DH69" s="908">
        <f t="shared" ca="1" si="40"/>
        <v>-6206341.2392489519</v>
      </c>
      <c r="DI69" s="908">
        <f t="shared" ca="1" si="40"/>
        <v>-6206341.2392489519</v>
      </c>
      <c r="DJ69" s="908">
        <f t="shared" ca="1" si="40"/>
        <v>-6206341.2392489519</v>
      </c>
      <c r="DK69" s="908">
        <f t="shared" ca="1" si="40"/>
        <v>-6206341.2392489519</v>
      </c>
      <c r="DL69" s="908">
        <f t="shared" ca="1" si="40"/>
        <v>-6206341.2392489519</v>
      </c>
      <c r="DM69" s="908">
        <f t="shared" ca="1" si="40"/>
        <v>-6206341.2392489519</v>
      </c>
      <c r="DN69" s="908">
        <f t="shared" ca="1" si="40"/>
        <v>-6206341.2392489519</v>
      </c>
      <c r="DO69" s="908">
        <f t="shared" ca="1" si="40"/>
        <v>-6206341.2392489519</v>
      </c>
      <c r="DP69" s="908">
        <f t="shared" ca="1" si="40"/>
        <v>-6206341.2392489519</v>
      </c>
      <c r="DQ69" s="908">
        <f t="shared" ca="1" si="40"/>
        <v>-6206341.2392489519</v>
      </c>
      <c r="DR69" s="908">
        <f t="shared" ca="1" si="40"/>
        <v>-6206341.2392489519</v>
      </c>
      <c r="DS69" s="908">
        <f t="shared" ca="1" si="40"/>
        <v>-6206341.2392489519</v>
      </c>
      <c r="DT69" s="908">
        <f t="shared" ca="1" si="40"/>
        <v>-6206341.2392489519</v>
      </c>
      <c r="DU69" s="908">
        <f t="shared" ca="1" si="40"/>
        <v>-6206341.2392489519</v>
      </c>
      <c r="DV69" s="908">
        <f t="shared" ca="1" si="40"/>
        <v>-6206341.2392489519</v>
      </c>
      <c r="DW69" s="908">
        <f t="shared" ca="1" si="40"/>
        <v>-6206341.2392489519</v>
      </c>
    </row>
    <row r="70" spans="2:127" ht="11.25" customHeight="1">
      <c r="B70" s="218"/>
      <c r="C70" s="911" t="s">
        <v>231</v>
      </c>
      <c r="D70" s="912"/>
      <c r="E70" s="912"/>
      <c r="F70" s="912"/>
      <c r="G70" s="912"/>
      <c r="H70" s="912"/>
      <c r="I70" s="913"/>
      <c r="J70" s="914"/>
      <c r="K70" s="918">
        <f ca="1">SUM(M70:DW70)</f>
        <v>-5096341.2392489519</v>
      </c>
      <c r="L70" s="98"/>
      <c r="M70" s="920">
        <f ca="1">SUMIF('IS(M)'!$M$11:$ER$11,M$7,'IS(M)'!$M89:$ER89)</f>
        <v>0</v>
      </c>
      <c r="N70" s="920">
        <f ca="1">SUMIF('IS(M)'!$M$11:$ER$11,N$7,'IS(M)'!$M89:$ER89)</f>
        <v>555000</v>
      </c>
      <c r="O70" s="920">
        <f ca="1">SUMIF('IS(M)'!$M$11:$ER$11,O$7,'IS(M)'!$M89:$ER89)</f>
        <v>555000</v>
      </c>
      <c r="P70" s="920">
        <f ca="1">SUMIF('IS(M)'!$M$11:$ER$11,P$7,'IS(M)'!$M89:$ER89)</f>
        <v>-1425566.8961168667</v>
      </c>
      <c r="Q70" s="920">
        <f ca="1">SUMIF('IS(M)'!$M$11:$ER$11,Q$7,'IS(M)'!$M89:$ER89)</f>
        <v>-1023009.7521855599</v>
      </c>
      <c r="R70" s="920">
        <f ca="1">SUMIF('IS(M)'!$M$11:$ER$11,R$7,'IS(M)'!$M89:$ER89)</f>
        <v>-1016823.7866792813</v>
      </c>
      <c r="S70" s="920">
        <f ca="1">SUMIF('IS(M)'!$M$11:$ER$11,S$7,'IS(M)'!$M89:$ER89)</f>
        <v>-2715000</v>
      </c>
      <c r="T70" s="920">
        <f ca="1">SUMIF('IS(M)'!$M$11:$ER$11,T$7,'IS(M)'!$M89:$ER89)</f>
        <v>-2715000</v>
      </c>
      <c r="U70" s="920">
        <f ca="1">SUMIF('IS(M)'!$M$11:$ER$11,U$7,'IS(M)'!$M89:$ER89)</f>
        <v>-1757051.7432333131</v>
      </c>
      <c r="V70" s="920">
        <f ca="1">SUMIF('IS(M)'!$M$11:$ER$11,V$7,'IS(M)'!$M89:$ER89)</f>
        <v>-438746.92536772648</v>
      </c>
      <c r="W70" s="920">
        <f ca="1">SUMIF('IS(M)'!$M$11:$ER$11,W$7,'IS(M)'!$M89:$ER89)</f>
        <v>-115632.65235955454</v>
      </c>
      <c r="X70" s="920">
        <f ca="1">SUMIF('IS(M)'!$M$11:$ER$11,X$7,'IS(M)'!$M89:$ER89)</f>
        <v>107864.005594749</v>
      </c>
      <c r="Y70" s="920">
        <f ca="1">SUMIF('IS(M)'!$M$11:$ER$11,Y$7,'IS(M)'!$M89:$ER89)</f>
        <v>145880.20471054688</v>
      </c>
      <c r="Z70" s="920">
        <f ca="1">SUMIF('IS(M)'!$M$11:$ER$11,Z$7,'IS(M)'!$M89:$ER89)</f>
        <v>298001.00535532087</v>
      </c>
      <c r="AA70" s="920">
        <f ca="1">SUMIF('IS(M)'!$M$11:$ER$11,AA$7,'IS(M)'!$M89:$ER89)</f>
        <v>551207.43718014564</v>
      </c>
      <c r="AB70" s="920">
        <f ca="1">SUMIF('IS(M)'!$M$11:$ER$11,AB$7,'IS(M)'!$M89:$ER89)</f>
        <v>540762.48507289495</v>
      </c>
      <c r="AC70" s="920">
        <f ca="1">SUMIF('IS(M)'!$M$11:$ER$11,AC$7,'IS(M)'!$M89:$ER89)</f>
        <v>-105638.09463439509</v>
      </c>
      <c r="AD70" s="920">
        <f ca="1">SUMIF('IS(M)'!$M$11:$ER$11,AD$7,'IS(M)'!$M89:$ER89)</f>
        <v>592405.21194845205</v>
      </c>
      <c r="AE70" s="920">
        <f ca="1">SUMIF('IS(M)'!$M$11:$ER$11,AE$7,'IS(M)'!$M89:$ER89)</f>
        <v>826061.65204881318</v>
      </c>
      <c r="AF70" s="920">
        <f ca="1">SUMIF('IS(M)'!$M$11:$ER$11,AF$7,'IS(M)'!$M89:$ER89)</f>
        <v>946677.658500541</v>
      </c>
      <c r="AG70" s="920">
        <f ca="1">SUMIF('IS(M)'!$M$11:$ER$11,AG$7,'IS(M)'!$M89:$ER89)</f>
        <v>1097268.950916281</v>
      </c>
      <c r="AH70" s="920">
        <f ca="1">SUMIF('IS(M)'!$M$11:$ER$11,AH$7,'IS(M)'!$M89:$ER89)</f>
        <v>0</v>
      </c>
      <c r="AI70" s="920">
        <f ca="1">SUMIF('IS(M)'!$M$11:$ER$11,AI$7,'IS(M)'!$M89:$ER89)</f>
        <v>0</v>
      </c>
      <c r="AJ70" s="920">
        <f ca="1">SUMIF('IS(M)'!$M$11:$ER$11,AJ$7,'IS(M)'!$M89:$ER89)</f>
        <v>0</v>
      </c>
      <c r="AK70" s="920">
        <f>SUMIF('IS(M)'!$M$11:$ER$11,AK$7,'IS(M)'!$M89:$ER89)</f>
        <v>0</v>
      </c>
      <c r="AL70" s="920">
        <f>SUMIF('IS(M)'!$M$11:$ER$11,AL$7,'IS(M)'!$M89:$ER89)</f>
        <v>0</v>
      </c>
      <c r="AM70" s="920">
        <f>SUMIF('IS(M)'!$M$11:$ER$11,AM$7,'IS(M)'!$M89:$ER89)</f>
        <v>0</v>
      </c>
      <c r="AN70" s="920">
        <f>SUMIF('IS(M)'!$M$11:$ER$11,AN$7,'IS(M)'!$M89:$ER89)</f>
        <v>0</v>
      </c>
      <c r="AO70" s="920">
        <f>SUMIF('IS(M)'!$M$11:$ER$11,AO$7,'IS(M)'!$M89:$ER89)</f>
        <v>0</v>
      </c>
      <c r="AP70" s="920">
        <f>SUMIF('IS(M)'!$M$11:$ER$11,AP$7,'IS(M)'!$M89:$ER89)</f>
        <v>0</v>
      </c>
      <c r="AQ70" s="920">
        <f>SUMIF('IS(M)'!$M$11:$ER$11,AQ$7,'IS(M)'!$M89:$ER89)</f>
        <v>0</v>
      </c>
      <c r="AR70" s="920">
        <f>SUMIF('IS(M)'!$M$11:$ER$11,AR$7,'IS(M)'!$M89:$ER89)</f>
        <v>0</v>
      </c>
      <c r="AS70" s="920">
        <f>SUMIF('IS(M)'!$M$11:$ER$11,AS$7,'IS(M)'!$M89:$ER89)</f>
        <v>0</v>
      </c>
      <c r="AT70" s="920">
        <f>SUMIF('IS(M)'!$M$11:$ER$11,AT$7,'IS(M)'!$M89:$ER89)</f>
        <v>0</v>
      </c>
      <c r="AU70" s="920">
        <f>SUMIF('IS(M)'!$M$11:$ER$11,AU$7,'IS(M)'!$M89:$ER89)</f>
        <v>0</v>
      </c>
      <c r="AV70" s="920">
        <f>SUMIF('IS(M)'!$M$11:$ER$11,AV$7,'IS(M)'!$M89:$ER89)</f>
        <v>0</v>
      </c>
      <c r="AW70" s="920">
        <f>SUMIF('IS(M)'!$M$11:$ER$11,AW$7,'IS(M)'!$M89:$ER89)</f>
        <v>0</v>
      </c>
      <c r="AX70" s="920">
        <f>SUMIF('IS(M)'!$M$11:$ER$11,AX$7,'IS(M)'!$M89:$ER89)</f>
        <v>0</v>
      </c>
      <c r="AY70" s="920">
        <f>SUMIF('IS(M)'!$M$11:$ER$11,AY$7,'IS(M)'!$M89:$ER89)</f>
        <v>0</v>
      </c>
      <c r="AZ70" s="920">
        <f>SUMIF('IS(M)'!$M$11:$ER$11,AZ$7,'IS(M)'!$M89:$ER89)</f>
        <v>0</v>
      </c>
      <c r="BA70" s="920">
        <f>SUMIF('IS(M)'!$M$11:$ER$11,BA$7,'IS(M)'!$M89:$ER89)</f>
        <v>0</v>
      </c>
      <c r="BB70" s="920">
        <f>SUMIF('IS(M)'!$M$11:$ER$11,BB$7,'IS(M)'!$M89:$ER89)</f>
        <v>0</v>
      </c>
      <c r="BC70" s="920">
        <f>SUMIF('IS(M)'!$M$11:$ER$11,BC$7,'IS(M)'!$M89:$ER89)</f>
        <v>0</v>
      </c>
      <c r="BD70" s="920">
        <f>SUMIF('IS(M)'!$M$11:$ER$11,BD$7,'IS(M)'!$M89:$ER89)</f>
        <v>0</v>
      </c>
      <c r="BE70" s="920">
        <f>SUMIF('IS(M)'!$M$11:$ER$11,BE$7,'IS(M)'!$M89:$ER89)</f>
        <v>0</v>
      </c>
      <c r="BF70" s="920">
        <f>SUMIF('IS(M)'!$M$11:$ER$11,BF$7,'IS(M)'!$M89:$ER89)</f>
        <v>0</v>
      </c>
      <c r="BG70" s="920">
        <f>SUMIF('IS(M)'!$M$11:$ER$11,BG$7,'IS(M)'!$M89:$ER89)</f>
        <v>0</v>
      </c>
      <c r="BH70" s="920">
        <f>SUMIF('IS(M)'!$M$11:$ER$11,BH$7,'IS(M)'!$M89:$ER89)</f>
        <v>0</v>
      </c>
      <c r="BI70" s="920">
        <f>SUMIF('IS(M)'!$M$11:$ER$11,BI$7,'IS(M)'!$M89:$ER89)</f>
        <v>0</v>
      </c>
      <c r="BJ70" s="920">
        <f>SUMIF('IS(M)'!$M$11:$ER$11,BJ$7,'IS(M)'!$M89:$ER89)</f>
        <v>0</v>
      </c>
      <c r="BK70" s="920">
        <f>SUMIF('IS(M)'!$M$11:$ER$11,BK$7,'IS(M)'!$M89:$ER89)</f>
        <v>0</v>
      </c>
      <c r="BL70" s="920">
        <f>SUMIF('IS(M)'!$M$11:$ER$11,BL$7,'IS(M)'!$M89:$ER89)</f>
        <v>0</v>
      </c>
      <c r="BM70" s="920">
        <f>SUMIF('IS(M)'!$M$11:$ER$11,BM$7,'IS(M)'!$M89:$ER89)</f>
        <v>0</v>
      </c>
      <c r="BN70" s="920">
        <f>SUMIF('IS(M)'!$M$11:$ER$11,BN$7,'IS(M)'!$M89:$ER89)</f>
        <v>0</v>
      </c>
      <c r="BO70" s="920">
        <f>SUMIF('IS(M)'!$M$11:$ER$11,BO$7,'IS(M)'!$M89:$ER89)</f>
        <v>0</v>
      </c>
      <c r="BP70" s="920">
        <f>SUMIF('IS(M)'!$M$11:$ER$11,BP$7,'IS(M)'!$M89:$ER89)</f>
        <v>0</v>
      </c>
      <c r="BQ70" s="920">
        <f>SUMIF('IS(M)'!$M$11:$ER$11,BQ$7,'IS(M)'!$M89:$ER89)</f>
        <v>0</v>
      </c>
      <c r="BR70" s="920">
        <f>SUMIF('IS(M)'!$M$11:$ER$11,BR$7,'IS(M)'!$M89:$ER89)</f>
        <v>0</v>
      </c>
      <c r="BS70" s="920">
        <f>SUMIF('IS(M)'!$M$11:$ER$11,BS$7,'IS(M)'!$M89:$ER89)</f>
        <v>0</v>
      </c>
      <c r="BT70" s="920">
        <f>SUMIF('IS(M)'!$M$11:$ER$11,BT$7,'IS(M)'!$M89:$ER89)</f>
        <v>0</v>
      </c>
      <c r="BU70" s="920">
        <f>SUMIF('IS(M)'!$M$11:$ER$11,BU$7,'IS(M)'!$M89:$ER89)</f>
        <v>0</v>
      </c>
      <c r="BV70" s="920">
        <f>SUMIF('IS(M)'!$M$11:$ER$11,BV$7,'IS(M)'!$M89:$ER89)</f>
        <v>0</v>
      </c>
      <c r="BW70" s="920">
        <f>SUMIF('IS(M)'!$M$11:$ER$11,BW$7,'IS(M)'!$M89:$ER89)</f>
        <v>0</v>
      </c>
      <c r="BX70" s="920">
        <f>SUMIF('IS(M)'!$M$11:$ER$11,BX$7,'IS(M)'!$M89:$ER89)</f>
        <v>0</v>
      </c>
      <c r="BY70" s="920">
        <f>SUMIF('IS(M)'!$M$11:$ER$11,BY$7,'IS(M)'!$M89:$ER89)</f>
        <v>0</v>
      </c>
      <c r="BZ70" s="920">
        <f>SUMIF('IS(M)'!$M$11:$ER$11,BZ$7,'IS(M)'!$M89:$ER89)</f>
        <v>0</v>
      </c>
      <c r="CA70" s="920">
        <f>SUMIF('IS(M)'!$M$11:$ER$11,CA$7,'IS(M)'!$M89:$ER89)</f>
        <v>0</v>
      </c>
      <c r="CB70" s="920">
        <f>SUMIF('IS(M)'!$M$11:$ER$11,CB$7,'IS(M)'!$M89:$ER89)</f>
        <v>0</v>
      </c>
      <c r="CC70" s="920">
        <f>SUMIF('IS(M)'!$M$11:$ER$11,CC$7,'IS(M)'!$M89:$ER89)</f>
        <v>0</v>
      </c>
      <c r="CD70" s="920">
        <f>SUMIF('IS(M)'!$M$11:$ER$11,CD$7,'IS(M)'!$M89:$ER89)</f>
        <v>0</v>
      </c>
      <c r="CE70" s="920">
        <f>SUMIF('IS(M)'!$M$11:$ER$11,CE$7,'IS(M)'!$M89:$ER89)</f>
        <v>0</v>
      </c>
      <c r="CF70" s="920">
        <f>SUMIF('IS(M)'!$M$11:$ER$11,CF$7,'IS(M)'!$M89:$ER89)</f>
        <v>0</v>
      </c>
      <c r="CG70" s="920">
        <f>SUMIF('IS(M)'!$M$11:$ER$11,CG$7,'IS(M)'!$M89:$ER89)</f>
        <v>0</v>
      </c>
      <c r="CH70" s="920">
        <f>SUMIF('IS(M)'!$M$11:$ER$11,CH$7,'IS(M)'!$M89:$ER89)</f>
        <v>0</v>
      </c>
      <c r="CI70" s="920">
        <f>SUMIF('IS(M)'!$M$11:$ER$11,CI$7,'IS(M)'!$M89:$ER89)</f>
        <v>0</v>
      </c>
      <c r="CJ70" s="920">
        <f>SUMIF('IS(M)'!$M$11:$ER$11,CJ$7,'IS(M)'!$M89:$ER89)</f>
        <v>0</v>
      </c>
      <c r="CK70" s="920">
        <f>SUMIF('IS(M)'!$M$11:$ER$11,CK$7,'IS(M)'!$M89:$ER89)</f>
        <v>0</v>
      </c>
      <c r="CL70" s="920">
        <f>SUMIF('IS(M)'!$M$11:$ER$11,CL$7,'IS(M)'!$M89:$ER89)</f>
        <v>0</v>
      </c>
      <c r="CM70" s="920">
        <f>SUMIF('IS(M)'!$M$11:$ER$11,CM$7,'IS(M)'!$M89:$ER89)</f>
        <v>0</v>
      </c>
      <c r="CN70" s="920">
        <f>SUMIF('IS(M)'!$M$11:$ER$11,CN$7,'IS(M)'!$M89:$ER89)</f>
        <v>0</v>
      </c>
      <c r="CO70" s="920">
        <f>SUMIF('IS(M)'!$M$11:$ER$11,CO$7,'IS(M)'!$M89:$ER89)</f>
        <v>0</v>
      </c>
      <c r="CP70" s="920">
        <f>SUMIF('IS(M)'!$M$11:$ER$11,CP$7,'IS(M)'!$M89:$ER89)</f>
        <v>0</v>
      </c>
      <c r="CQ70" s="920">
        <f>SUMIF('IS(M)'!$M$11:$ER$11,CQ$7,'IS(M)'!$M89:$ER89)</f>
        <v>0</v>
      </c>
      <c r="CR70" s="920">
        <f>SUMIF('IS(M)'!$M$11:$ER$11,CR$7,'IS(M)'!$M89:$ER89)</f>
        <v>0</v>
      </c>
      <c r="CS70" s="920">
        <f>SUMIF('IS(M)'!$M$11:$ER$11,CS$7,'IS(M)'!$M89:$ER89)</f>
        <v>0</v>
      </c>
      <c r="CT70" s="920">
        <f>SUMIF('IS(M)'!$M$11:$ER$11,CT$7,'IS(M)'!$M89:$ER89)</f>
        <v>0</v>
      </c>
      <c r="CU70" s="920">
        <f>SUMIF('IS(M)'!$M$11:$ER$11,CU$7,'IS(M)'!$M89:$ER89)</f>
        <v>0</v>
      </c>
      <c r="CV70" s="920">
        <f>SUMIF('IS(M)'!$M$11:$ER$11,CV$7,'IS(M)'!$M89:$ER89)</f>
        <v>0</v>
      </c>
      <c r="CW70" s="920">
        <f>SUMIF('IS(M)'!$M$11:$ER$11,CW$7,'IS(M)'!$M89:$ER89)</f>
        <v>0</v>
      </c>
      <c r="CX70" s="920">
        <f>SUMIF('IS(M)'!$M$11:$ER$11,CX$7,'IS(M)'!$M89:$ER89)</f>
        <v>0</v>
      </c>
      <c r="CY70" s="920">
        <f>SUMIF('IS(M)'!$M$11:$ER$11,CY$7,'IS(M)'!$M89:$ER89)</f>
        <v>0</v>
      </c>
      <c r="CZ70" s="920">
        <f>SUMIF('IS(M)'!$M$11:$ER$11,CZ$7,'IS(M)'!$M89:$ER89)</f>
        <v>0</v>
      </c>
      <c r="DA70" s="920">
        <f>SUMIF('IS(M)'!$M$11:$ER$11,DA$7,'IS(M)'!$M89:$ER89)</f>
        <v>0</v>
      </c>
      <c r="DB70" s="920">
        <f>SUMIF('IS(M)'!$M$11:$ER$11,DB$7,'IS(M)'!$M89:$ER89)</f>
        <v>0</v>
      </c>
      <c r="DC70" s="920">
        <f>SUMIF('IS(M)'!$M$11:$ER$11,DC$7,'IS(M)'!$M89:$ER89)</f>
        <v>0</v>
      </c>
      <c r="DD70" s="920">
        <f>SUMIF('IS(M)'!$M$11:$ER$11,DD$7,'IS(M)'!$M89:$ER89)</f>
        <v>0</v>
      </c>
      <c r="DE70" s="920">
        <f>SUMIF('IS(M)'!$M$11:$ER$11,DE$7,'IS(M)'!$M89:$ER89)</f>
        <v>0</v>
      </c>
      <c r="DF70" s="920">
        <f>SUMIF('IS(M)'!$M$11:$ER$11,DF$7,'IS(M)'!$M89:$ER89)</f>
        <v>0</v>
      </c>
      <c r="DG70" s="920">
        <f>SUMIF('IS(M)'!$M$11:$ER$11,DG$7,'IS(M)'!$M89:$ER89)</f>
        <v>0</v>
      </c>
      <c r="DH70" s="920">
        <f>SUMIF('IS(M)'!$M$11:$ER$11,DH$7,'IS(M)'!$M89:$ER89)</f>
        <v>0</v>
      </c>
      <c r="DI70" s="920">
        <f>SUMIF('IS(M)'!$M$11:$ER$11,DI$7,'IS(M)'!$M89:$ER89)</f>
        <v>0</v>
      </c>
      <c r="DJ70" s="920">
        <f>SUMIF('IS(M)'!$M$11:$ER$11,DJ$7,'IS(M)'!$M89:$ER89)</f>
        <v>0</v>
      </c>
      <c r="DK70" s="920">
        <f>SUMIF('IS(M)'!$M$11:$ER$11,DK$7,'IS(M)'!$M89:$ER89)</f>
        <v>0</v>
      </c>
      <c r="DL70" s="920">
        <f>SUMIF('IS(M)'!$M$11:$ER$11,DL$7,'IS(M)'!$M89:$ER89)</f>
        <v>0</v>
      </c>
      <c r="DM70" s="920">
        <f>SUMIF('IS(M)'!$M$11:$ER$11,DM$7,'IS(M)'!$M89:$ER89)</f>
        <v>0</v>
      </c>
      <c r="DN70" s="920">
        <f>SUMIF('IS(M)'!$M$11:$ER$11,DN$7,'IS(M)'!$M89:$ER89)</f>
        <v>0</v>
      </c>
      <c r="DO70" s="920">
        <f>SUMIF('IS(M)'!$M$11:$ER$11,DO$7,'IS(M)'!$M89:$ER89)</f>
        <v>0</v>
      </c>
      <c r="DP70" s="920">
        <f>SUMIF('IS(M)'!$M$11:$ER$11,DP$7,'IS(M)'!$M89:$ER89)</f>
        <v>0</v>
      </c>
      <c r="DQ70" s="920">
        <f>SUMIF('IS(M)'!$M$11:$ER$11,DQ$7,'IS(M)'!$M89:$ER89)</f>
        <v>0</v>
      </c>
      <c r="DR70" s="920">
        <f>SUMIF('IS(M)'!$M$11:$ER$11,DR$7,'IS(M)'!$M89:$ER89)</f>
        <v>0</v>
      </c>
      <c r="DS70" s="920">
        <f>SUMIF('IS(M)'!$M$11:$ER$11,DS$7,'IS(M)'!$M89:$ER89)</f>
        <v>0</v>
      </c>
      <c r="DT70" s="920">
        <f>SUMIF('IS(M)'!$M$11:$ER$11,DT$7,'IS(M)'!$M89:$ER89)</f>
        <v>0</v>
      </c>
      <c r="DU70" s="920">
        <f>SUMIF('IS(M)'!$M$11:$ER$11,DU$7,'IS(M)'!$M89:$ER89)</f>
        <v>0</v>
      </c>
      <c r="DV70" s="920">
        <f>SUMIF('IS(M)'!$M$11:$ER$11,DV$7,'IS(M)'!$M89:$ER89)</f>
        <v>0</v>
      </c>
      <c r="DW70" s="920">
        <f>SUMIF('IS(M)'!$M$11:$ER$11,DW$7,'IS(M)'!$M89:$ER89)</f>
        <v>0</v>
      </c>
    </row>
    <row r="71" spans="2:127" ht="11.25" customHeight="1">
      <c r="B71" s="218"/>
      <c r="C71" s="911" t="s">
        <v>232</v>
      </c>
      <c r="D71" s="912"/>
      <c r="E71" s="912"/>
      <c r="F71" s="912"/>
      <c r="G71" s="912"/>
      <c r="H71" s="912"/>
      <c r="I71" s="913"/>
      <c r="J71" s="914"/>
      <c r="K71" s="918">
        <f ca="1">SUM(M71:DW71)</f>
        <v>1110000</v>
      </c>
      <c r="L71" s="98"/>
      <c r="M71" s="920">
        <f ca="1">SUMIF('IS(M)'!$M$11:$ER$11,M$7,'IS(M)'!$M90:$ER90)</f>
        <v>0</v>
      </c>
      <c r="N71" s="920">
        <f ca="1">SUMIF('IS(M)'!$M$11:$ER$11,N$7,'IS(M)'!$M90:$ER90)</f>
        <v>555000</v>
      </c>
      <c r="O71" s="920">
        <f ca="1">SUMIF('IS(M)'!$M$11:$ER$11,O$7,'IS(M)'!$M90:$ER90)</f>
        <v>555000</v>
      </c>
      <c r="P71" s="920">
        <f ca="1">SUMIF('IS(M)'!$M$11:$ER$11,P$7,'IS(M)'!$M90:$ER90)</f>
        <v>0</v>
      </c>
      <c r="Q71" s="920">
        <f ca="1">SUMIF('IS(M)'!$M$11:$ER$11,Q$7,'IS(M)'!$M90:$ER90)</f>
        <v>0</v>
      </c>
      <c r="R71" s="920">
        <f ca="1">SUMIF('IS(M)'!$M$11:$ER$11,R$7,'IS(M)'!$M90:$ER90)</f>
        <v>0</v>
      </c>
      <c r="S71" s="920">
        <f ca="1">SUMIF('IS(M)'!$M$11:$ER$11,S$7,'IS(M)'!$M90:$ER90)</f>
        <v>0</v>
      </c>
      <c r="T71" s="920">
        <f ca="1">SUMIF('IS(M)'!$M$11:$ER$11,T$7,'IS(M)'!$M90:$ER90)</f>
        <v>0</v>
      </c>
      <c r="U71" s="920">
        <f ca="1">SUMIF('IS(M)'!$M$11:$ER$11,U$7,'IS(M)'!$M90:$ER90)</f>
        <v>0</v>
      </c>
      <c r="V71" s="920">
        <f ca="1">SUMIF('IS(M)'!$M$11:$ER$11,V$7,'IS(M)'!$M90:$ER90)</f>
        <v>0</v>
      </c>
      <c r="W71" s="920">
        <f ca="1">SUMIF('IS(M)'!$M$11:$ER$11,W$7,'IS(M)'!$M90:$ER90)</f>
        <v>0</v>
      </c>
      <c r="X71" s="920">
        <f ca="1">SUMIF('IS(M)'!$M$11:$ER$11,X$7,'IS(M)'!$M90:$ER90)</f>
        <v>0</v>
      </c>
      <c r="Y71" s="920">
        <f ca="1">SUMIF('IS(M)'!$M$11:$ER$11,Y$7,'IS(M)'!$M90:$ER90)</f>
        <v>0</v>
      </c>
      <c r="Z71" s="920">
        <f ca="1">SUMIF('IS(M)'!$M$11:$ER$11,Z$7,'IS(M)'!$M90:$ER90)</f>
        <v>0</v>
      </c>
      <c r="AA71" s="920">
        <f ca="1">SUMIF('IS(M)'!$M$11:$ER$11,AA$7,'IS(M)'!$M90:$ER90)</f>
        <v>0</v>
      </c>
      <c r="AB71" s="920">
        <f ca="1">SUMIF('IS(M)'!$M$11:$ER$11,AB$7,'IS(M)'!$M90:$ER90)</f>
        <v>0</v>
      </c>
      <c r="AC71" s="920">
        <f ca="1">SUMIF('IS(M)'!$M$11:$ER$11,AC$7,'IS(M)'!$M90:$ER90)</f>
        <v>0</v>
      </c>
      <c r="AD71" s="920">
        <f ca="1">SUMIF('IS(M)'!$M$11:$ER$11,AD$7,'IS(M)'!$M90:$ER90)</f>
        <v>0</v>
      </c>
      <c r="AE71" s="920">
        <f ca="1">SUMIF('IS(M)'!$M$11:$ER$11,AE$7,'IS(M)'!$M90:$ER90)</f>
        <v>0</v>
      </c>
      <c r="AF71" s="920">
        <f ca="1">SUMIF('IS(M)'!$M$11:$ER$11,AF$7,'IS(M)'!$M90:$ER90)</f>
        <v>0</v>
      </c>
      <c r="AG71" s="920">
        <f ca="1">SUMIF('IS(M)'!$M$11:$ER$11,AG$7,'IS(M)'!$M90:$ER90)</f>
        <v>0</v>
      </c>
      <c r="AH71" s="920">
        <f ca="1">SUMIF('IS(M)'!$M$11:$ER$11,AH$7,'IS(M)'!$M90:$ER90)</f>
        <v>0</v>
      </c>
      <c r="AI71" s="920">
        <f ca="1">SUMIF('IS(M)'!$M$11:$ER$11,AI$7,'IS(M)'!$M90:$ER90)</f>
        <v>0</v>
      </c>
      <c r="AJ71" s="920">
        <f ca="1">SUMIF('IS(M)'!$M$11:$ER$11,AJ$7,'IS(M)'!$M90:$ER90)</f>
        <v>0</v>
      </c>
      <c r="AK71" s="920">
        <f>SUMIF('IS(M)'!$M$11:$ER$11,AK$7,'IS(M)'!$M90:$ER90)</f>
        <v>0</v>
      </c>
      <c r="AL71" s="920">
        <f>SUMIF('IS(M)'!$M$11:$ER$11,AL$7,'IS(M)'!$M90:$ER90)</f>
        <v>0</v>
      </c>
      <c r="AM71" s="920">
        <f>SUMIF('IS(M)'!$M$11:$ER$11,AM$7,'IS(M)'!$M90:$ER90)</f>
        <v>0</v>
      </c>
      <c r="AN71" s="920">
        <f>SUMIF('IS(M)'!$M$11:$ER$11,AN$7,'IS(M)'!$M90:$ER90)</f>
        <v>0</v>
      </c>
      <c r="AO71" s="920">
        <f>SUMIF('IS(M)'!$M$11:$ER$11,AO$7,'IS(M)'!$M90:$ER90)</f>
        <v>0</v>
      </c>
      <c r="AP71" s="920">
        <f>SUMIF('IS(M)'!$M$11:$ER$11,AP$7,'IS(M)'!$M90:$ER90)</f>
        <v>0</v>
      </c>
      <c r="AQ71" s="920">
        <f>SUMIF('IS(M)'!$M$11:$ER$11,AQ$7,'IS(M)'!$M90:$ER90)</f>
        <v>0</v>
      </c>
      <c r="AR71" s="920">
        <f>SUMIF('IS(M)'!$M$11:$ER$11,AR$7,'IS(M)'!$M90:$ER90)</f>
        <v>0</v>
      </c>
      <c r="AS71" s="920">
        <f>SUMIF('IS(M)'!$M$11:$ER$11,AS$7,'IS(M)'!$M90:$ER90)</f>
        <v>0</v>
      </c>
      <c r="AT71" s="920">
        <f>SUMIF('IS(M)'!$M$11:$ER$11,AT$7,'IS(M)'!$M90:$ER90)</f>
        <v>0</v>
      </c>
      <c r="AU71" s="920">
        <f>SUMIF('IS(M)'!$M$11:$ER$11,AU$7,'IS(M)'!$M90:$ER90)</f>
        <v>0</v>
      </c>
      <c r="AV71" s="920">
        <f>SUMIF('IS(M)'!$M$11:$ER$11,AV$7,'IS(M)'!$M90:$ER90)</f>
        <v>0</v>
      </c>
      <c r="AW71" s="920">
        <f>SUMIF('IS(M)'!$M$11:$ER$11,AW$7,'IS(M)'!$M90:$ER90)</f>
        <v>0</v>
      </c>
      <c r="AX71" s="920">
        <f>SUMIF('IS(M)'!$M$11:$ER$11,AX$7,'IS(M)'!$M90:$ER90)</f>
        <v>0</v>
      </c>
      <c r="AY71" s="920">
        <f>SUMIF('IS(M)'!$M$11:$ER$11,AY$7,'IS(M)'!$M90:$ER90)</f>
        <v>0</v>
      </c>
      <c r="AZ71" s="920">
        <f>SUMIF('IS(M)'!$M$11:$ER$11,AZ$7,'IS(M)'!$M90:$ER90)</f>
        <v>0</v>
      </c>
      <c r="BA71" s="920">
        <f>SUMIF('IS(M)'!$M$11:$ER$11,BA$7,'IS(M)'!$M90:$ER90)</f>
        <v>0</v>
      </c>
      <c r="BB71" s="920">
        <f>SUMIF('IS(M)'!$M$11:$ER$11,BB$7,'IS(M)'!$M90:$ER90)</f>
        <v>0</v>
      </c>
      <c r="BC71" s="920">
        <f>SUMIF('IS(M)'!$M$11:$ER$11,BC$7,'IS(M)'!$M90:$ER90)</f>
        <v>0</v>
      </c>
      <c r="BD71" s="920">
        <f>SUMIF('IS(M)'!$M$11:$ER$11,BD$7,'IS(M)'!$M90:$ER90)</f>
        <v>0</v>
      </c>
      <c r="BE71" s="920">
        <f>SUMIF('IS(M)'!$M$11:$ER$11,BE$7,'IS(M)'!$M90:$ER90)</f>
        <v>0</v>
      </c>
      <c r="BF71" s="920">
        <f>SUMIF('IS(M)'!$M$11:$ER$11,BF$7,'IS(M)'!$M90:$ER90)</f>
        <v>0</v>
      </c>
      <c r="BG71" s="920">
        <f>SUMIF('IS(M)'!$M$11:$ER$11,BG$7,'IS(M)'!$M90:$ER90)</f>
        <v>0</v>
      </c>
      <c r="BH71" s="920">
        <f>SUMIF('IS(M)'!$M$11:$ER$11,BH$7,'IS(M)'!$M90:$ER90)</f>
        <v>0</v>
      </c>
      <c r="BI71" s="920">
        <f>SUMIF('IS(M)'!$M$11:$ER$11,BI$7,'IS(M)'!$M90:$ER90)</f>
        <v>0</v>
      </c>
      <c r="BJ71" s="920">
        <f>SUMIF('IS(M)'!$M$11:$ER$11,BJ$7,'IS(M)'!$M90:$ER90)</f>
        <v>0</v>
      </c>
      <c r="BK71" s="920">
        <f>SUMIF('IS(M)'!$M$11:$ER$11,BK$7,'IS(M)'!$M90:$ER90)</f>
        <v>0</v>
      </c>
      <c r="BL71" s="920">
        <f>SUMIF('IS(M)'!$M$11:$ER$11,BL$7,'IS(M)'!$M90:$ER90)</f>
        <v>0</v>
      </c>
      <c r="BM71" s="920">
        <f>SUMIF('IS(M)'!$M$11:$ER$11,BM$7,'IS(M)'!$M90:$ER90)</f>
        <v>0</v>
      </c>
      <c r="BN71" s="920">
        <f>SUMIF('IS(M)'!$M$11:$ER$11,BN$7,'IS(M)'!$M90:$ER90)</f>
        <v>0</v>
      </c>
      <c r="BO71" s="920">
        <f>SUMIF('IS(M)'!$M$11:$ER$11,BO$7,'IS(M)'!$M90:$ER90)</f>
        <v>0</v>
      </c>
      <c r="BP71" s="920">
        <f>SUMIF('IS(M)'!$M$11:$ER$11,BP$7,'IS(M)'!$M90:$ER90)</f>
        <v>0</v>
      </c>
      <c r="BQ71" s="920">
        <f>SUMIF('IS(M)'!$M$11:$ER$11,BQ$7,'IS(M)'!$M90:$ER90)</f>
        <v>0</v>
      </c>
      <c r="BR71" s="920">
        <f>SUMIF('IS(M)'!$M$11:$ER$11,BR$7,'IS(M)'!$M90:$ER90)</f>
        <v>0</v>
      </c>
      <c r="BS71" s="920">
        <f>SUMIF('IS(M)'!$M$11:$ER$11,BS$7,'IS(M)'!$M90:$ER90)</f>
        <v>0</v>
      </c>
      <c r="BT71" s="920">
        <f>SUMIF('IS(M)'!$M$11:$ER$11,BT$7,'IS(M)'!$M90:$ER90)</f>
        <v>0</v>
      </c>
      <c r="BU71" s="920">
        <f>SUMIF('IS(M)'!$M$11:$ER$11,BU$7,'IS(M)'!$M90:$ER90)</f>
        <v>0</v>
      </c>
      <c r="BV71" s="920">
        <f>SUMIF('IS(M)'!$M$11:$ER$11,BV$7,'IS(M)'!$M90:$ER90)</f>
        <v>0</v>
      </c>
      <c r="BW71" s="920">
        <f>SUMIF('IS(M)'!$M$11:$ER$11,BW$7,'IS(M)'!$M90:$ER90)</f>
        <v>0</v>
      </c>
      <c r="BX71" s="920">
        <f>SUMIF('IS(M)'!$M$11:$ER$11,BX$7,'IS(M)'!$M90:$ER90)</f>
        <v>0</v>
      </c>
      <c r="BY71" s="920">
        <f>SUMIF('IS(M)'!$M$11:$ER$11,BY$7,'IS(M)'!$M90:$ER90)</f>
        <v>0</v>
      </c>
      <c r="BZ71" s="920">
        <f>SUMIF('IS(M)'!$M$11:$ER$11,BZ$7,'IS(M)'!$M90:$ER90)</f>
        <v>0</v>
      </c>
      <c r="CA71" s="920">
        <f>SUMIF('IS(M)'!$M$11:$ER$11,CA$7,'IS(M)'!$M90:$ER90)</f>
        <v>0</v>
      </c>
      <c r="CB71" s="920">
        <f>SUMIF('IS(M)'!$M$11:$ER$11,CB$7,'IS(M)'!$M90:$ER90)</f>
        <v>0</v>
      </c>
      <c r="CC71" s="920">
        <f>SUMIF('IS(M)'!$M$11:$ER$11,CC$7,'IS(M)'!$M90:$ER90)</f>
        <v>0</v>
      </c>
      <c r="CD71" s="920">
        <f>SUMIF('IS(M)'!$M$11:$ER$11,CD$7,'IS(M)'!$M90:$ER90)</f>
        <v>0</v>
      </c>
      <c r="CE71" s="920">
        <f>SUMIF('IS(M)'!$M$11:$ER$11,CE$7,'IS(M)'!$M90:$ER90)</f>
        <v>0</v>
      </c>
      <c r="CF71" s="920">
        <f>SUMIF('IS(M)'!$M$11:$ER$11,CF$7,'IS(M)'!$M90:$ER90)</f>
        <v>0</v>
      </c>
      <c r="CG71" s="920">
        <f>SUMIF('IS(M)'!$M$11:$ER$11,CG$7,'IS(M)'!$M90:$ER90)</f>
        <v>0</v>
      </c>
      <c r="CH71" s="920">
        <f>SUMIF('IS(M)'!$M$11:$ER$11,CH$7,'IS(M)'!$M90:$ER90)</f>
        <v>0</v>
      </c>
      <c r="CI71" s="920">
        <f>SUMIF('IS(M)'!$M$11:$ER$11,CI$7,'IS(M)'!$M90:$ER90)</f>
        <v>0</v>
      </c>
      <c r="CJ71" s="920">
        <f>SUMIF('IS(M)'!$M$11:$ER$11,CJ$7,'IS(M)'!$M90:$ER90)</f>
        <v>0</v>
      </c>
      <c r="CK71" s="920">
        <f>SUMIF('IS(M)'!$M$11:$ER$11,CK$7,'IS(M)'!$M90:$ER90)</f>
        <v>0</v>
      </c>
      <c r="CL71" s="920">
        <f>SUMIF('IS(M)'!$M$11:$ER$11,CL$7,'IS(M)'!$M90:$ER90)</f>
        <v>0</v>
      </c>
      <c r="CM71" s="920">
        <f>SUMIF('IS(M)'!$M$11:$ER$11,CM$7,'IS(M)'!$M90:$ER90)</f>
        <v>0</v>
      </c>
      <c r="CN71" s="920">
        <f>SUMIF('IS(M)'!$M$11:$ER$11,CN$7,'IS(M)'!$M90:$ER90)</f>
        <v>0</v>
      </c>
      <c r="CO71" s="920">
        <f>SUMIF('IS(M)'!$M$11:$ER$11,CO$7,'IS(M)'!$M90:$ER90)</f>
        <v>0</v>
      </c>
      <c r="CP71" s="920">
        <f>SUMIF('IS(M)'!$M$11:$ER$11,CP$7,'IS(M)'!$M90:$ER90)</f>
        <v>0</v>
      </c>
      <c r="CQ71" s="920">
        <f>SUMIF('IS(M)'!$M$11:$ER$11,CQ$7,'IS(M)'!$M90:$ER90)</f>
        <v>0</v>
      </c>
      <c r="CR71" s="920">
        <f>SUMIF('IS(M)'!$M$11:$ER$11,CR$7,'IS(M)'!$M90:$ER90)</f>
        <v>0</v>
      </c>
      <c r="CS71" s="920">
        <f>SUMIF('IS(M)'!$M$11:$ER$11,CS$7,'IS(M)'!$M90:$ER90)</f>
        <v>0</v>
      </c>
      <c r="CT71" s="920">
        <f>SUMIF('IS(M)'!$M$11:$ER$11,CT$7,'IS(M)'!$M90:$ER90)</f>
        <v>0</v>
      </c>
      <c r="CU71" s="920">
        <f>SUMIF('IS(M)'!$M$11:$ER$11,CU$7,'IS(M)'!$M90:$ER90)</f>
        <v>0</v>
      </c>
      <c r="CV71" s="920">
        <f>SUMIF('IS(M)'!$M$11:$ER$11,CV$7,'IS(M)'!$M90:$ER90)</f>
        <v>0</v>
      </c>
      <c r="CW71" s="920">
        <f>SUMIF('IS(M)'!$M$11:$ER$11,CW$7,'IS(M)'!$M90:$ER90)</f>
        <v>0</v>
      </c>
      <c r="CX71" s="920">
        <f>SUMIF('IS(M)'!$M$11:$ER$11,CX$7,'IS(M)'!$M90:$ER90)</f>
        <v>0</v>
      </c>
      <c r="CY71" s="920">
        <f>SUMIF('IS(M)'!$M$11:$ER$11,CY$7,'IS(M)'!$M90:$ER90)</f>
        <v>0</v>
      </c>
      <c r="CZ71" s="920">
        <f>SUMIF('IS(M)'!$M$11:$ER$11,CZ$7,'IS(M)'!$M90:$ER90)</f>
        <v>0</v>
      </c>
      <c r="DA71" s="920">
        <f>SUMIF('IS(M)'!$M$11:$ER$11,DA$7,'IS(M)'!$M90:$ER90)</f>
        <v>0</v>
      </c>
      <c r="DB71" s="920">
        <f>SUMIF('IS(M)'!$M$11:$ER$11,DB$7,'IS(M)'!$M90:$ER90)</f>
        <v>0</v>
      </c>
      <c r="DC71" s="920">
        <f>SUMIF('IS(M)'!$M$11:$ER$11,DC$7,'IS(M)'!$M90:$ER90)</f>
        <v>0</v>
      </c>
      <c r="DD71" s="920">
        <f>SUMIF('IS(M)'!$M$11:$ER$11,DD$7,'IS(M)'!$M90:$ER90)</f>
        <v>0</v>
      </c>
      <c r="DE71" s="920">
        <f>SUMIF('IS(M)'!$M$11:$ER$11,DE$7,'IS(M)'!$M90:$ER90)</f>
        <v>0</v>
      </c>
      <c r="DF71" s="920">
        <f>SUMIF('IS(M)'!$M$11:$ER$11,DF$7,'IS(M)'!$M90:$ER90)</f>
        <v>0</v>
      </c>
      <c r="DG71" s="920">
        <f>SUMIF('IS(M)'!$M$11:$ER$11,DG$7,'IS(M)'!$M90:$ER90)</f>
        <v>0</v>
      </c>
      <c r="DH71" s="920">
        <f>SUMIF('IS(M)'!$M$11:$ER$11,DH$7,'IS(M)'!$M90:$ER90)</f>
        <v>0</v>
      </c>
      <c r="DI71" s="920">
        <f>SUMIF('IS(M)'!$M$11:$ER$11,DI$7,'IS(M)'!$M90:$ER90)</f>
        <v>0</v>
      </c>
      <c r="DJ71" s="920">
        <f>SUMIF('IS(M)'!$M$11:$ER$11,DJ$7,'IS(M)'!$M90:$ER90)</f>
        <v>0</v>
      </c>
      <c r="DK71" s="920">
        <f>SUMIF('IS(M)'!$M$11:$ER$11,DK$7,'IS(M)'!$M90:$ER90)</f>
        <v>0</v>
      </c>
      <c r="DL71" s="920">
        <f>SUMIF('IS(M)'!$M$11:$ER$11,DL$7,'IS(M)'!$M90:$ER90)</f>
        <v>0</v>
      </c>
      <c r="DM71" s="920">
        <f>SUMIF('IS(M)'!$M$11:$ER$11,DM$7,'IS(M)'!$M90:$ER90)</f>
        <v>0</v>
      </c>
      <c r="DN71" s="920">
        <f>SUMIF('IS(M)'!$M$11:$ER$11,DN$7,'IS(M)'!$M90:$ER90)</f>
        <v>0</v>
      </c>
      <c r="DO71" s="920">
        <f>SUMIF('IS(M)'!$M$11:$ER$11,DO$7,'IS(M)'!$M90:$ER90)</f>
        <v>0</v>
      </c>
      <c r="DP71" s="920">
        <f>SUMIF('IS(M)'!$M$11:$ER$11,DP$7,'IS(M)'!$M90:$ER90)</f>
        <v>0</v>
      </c>
      <c r="DQ71" s="920">
        <f>SUMIF('IS(M)'!$M$11:$ER$11,DQ$7,'IS(M)'!$M90:$ER90)</f>
        <v>0</v>
      </c>
      <c r="DR71" s="920">
        <f>SUMIF('IS(M)'!$M$11:$ER$11,DR$7,'IS(M)'!$M90:$ER90)</f>
        <v>0</v>
      </c>
      <c r="DS71" s="920">
        <f>SUMIF('IS(M)'!$M$11:$ER$11,DS$7,'IS(M)'!$M90:$ER90)</f>
        <v>0</v>
      </c>
      <c r="DT71" s="920">
        <f>SUMIF('IS(M)'!$M$11:$ER$11,DT$7,'IS(M)'!$M90:$ER90)</f>
        <v>0</v>
      </c>
      <c r="DU71" s="920">
        <f>SUMIF('IS(M)'!$M$11:$ER$11,DU$7,'IS(M)'!$M90:$ER90)</f>
        <v>0</v>
      </c>
      <c r="DV71" s="920">
        <f>SUMIF('IS(M)'!$M$11:$ER$11,DV$7,'IS(M)'!$M90:$ER90)</f>
        <v>0</v>
      </c>
      <c r="DW71" s="920">
        <f>SUMIF('IS(M)'!$M$11:$ER$11,DW$7,'IS(M)'!$M90:$ER90)</f>
        <v>0</v>
      </c>
    </row>
    <row r="72" spans="2:127" ht="11.25" customHeight="1" thickBot="1">
      <c r="B72" s="923"/>
      <c r="C72" s="924" t="s">
        <v>233</v>
      </c>
      <c r="D72" s="925"/>
      <c r="E72" s="925"/>
      <c r="F72" s="925"/>
      <c r="G72" s="925"/>
      <c r="H72" s="925"/>
      <c r="I72" s="926"/>
      <c r="J72" s="927"/>
      <c r="K72" s="928"/>
      <c r="L72" s="98"/>
      <c r="M72" s="922">
        <f ca="1">M69+M70-M71</f>
        <v>0</v>
      </c>
      <c r="N72" s="922">
        <f t="shared" ref="N72:BY72" ca="1" si="41">N69+N70-N71</f>
        <v>0</v>
      </c>
      <c r="O72" s="922">
        <f t="shared" ca="1" si="41"/>
        <v>0</v>
      </c>
      <c r="P72" s="922">
        <f t="shared" ca="1" si="41"/>
        <v>-1425566.8961168667</v>
      </c>
      <c r="Q72" s="922">
        <f t="shared" ca="1" si="41"/>
        <v>-2448576.6483024266</v>
      </c>
      <c r="R72" s="922">
        <f t="shared" ca="1" si="41"/>
        <v>-3465400.4349817079</v>
      </c>
      <c r="S72" s="922">
        <f t="shared" ca="1" si="41"/>
        <v>-6180400.4349817075</v>
      </c>
      <c r="T72" s="922">
        <f t="shared" ca="1" si="41"/>
        <v>-8895400.4349817075</v>
      </c>
      <c r="U72" s="922">
        <f t="shared" ca="1" si="41"/>
        <v>-10652452.178215021</v>
      </c>
      <c r="V72" s="922">
        <f t="shared" ca="1" si="41"/>
        <v>-11091199.103582747</v>
      </c>
      <c r="W72" s="922">
        <f t="shared" ca="1" si="41"/>
        <v>-11206831.755942302</v>
      </c>
      <c r="X72" s="922">
        <f t="shared" ca="1" si="41"/>
        <v>-11098967.750347553</v>
      </c>
      <c r="Y72" s="922">
        <f t="shared" ca="1" si="41"/>
        <v>-10953087.545637006</v>
      </c>
      <c r="Z72" s="922">
        <f t="shared" ca="1" si="41"/>
        <v>-10655086.540281685</v>
      </c>
      <c r="AA72" s="922">
        <f t="shared" ca="1" si="41"/>
        <v>-10103879.10310154</v>
      </c>
      <c r="AB72" s="922">
        <f t="shared" ca="1" si="41"/>
        <v>-9563116.6180286445</v>
      </c>
      <c r="AC72" s="922">
        <f t="shared" ca="1" si="41"/>
        <v>-9668754.7126630396</v>
      </c>
      <c r="AD72" s="922">
        <f t="shared" ca="1" si="41"/>
        <v>-9076349.500714587</v>
      </c>
      <c r="AE72" s="922">
        <f t="shared" ca="1" si="41"/>
        <v>-8250287.8486657739</v>
      </c>
      <c r="AF72" s="922">
        <f t="shared" ca="1" si="41"/>
        <v>-7303610.1901652329</v>
      </c>
      <c r="AG72" s="922">
        <f t="shared" ca="1" si="41"/>
        <v>-6206341.2392489519</v>
      </c>
      <c r="AH72" s="922">
        <f t="shared" ca="1" si="41"/>
        <v>-6206341.2392489519</v>
      </c>
      <c r="AI72" s="922">
        <f t="shared" ca="1" si="41"/>
        <v>-6206341.2392489519</v>
      </c>
      <c r="AJ72" s="922">
        <f t="shared" ca="1" si="41"/>
        <v>-6206341.2392489519</v>
      </c>
      <c r="AK72" s="922">
        <f t="shared" ca="1" si="41"/>
        <v>-6206341.2392489519</v>
      </c>
      <c r="AL72" s="922">
        <f t="shared" ca="1" si="41"/>
        <v>-6206341.2392489519</v>
      </c>
      <c r="AM72" s="922">
        <f t="shared" ca="1" si="41"/>
        <v>-6206341.2392489519</v>
      </c>
      <c r="AN72" s="922">
        <f t="shared" ca="1" si="41"/>
        <v>-6206341.2392489519</v>
      </c>
      <c r="AO72" s="922">
        <f t="shared" ca="1" si="41"/>
        <v>-6206341.2392489519</v>
      </c>
      <c r="AP72" s="922">
        <f t="shared" ca="1" si="41"/>
        <v>-6206341.2392489519</v>
      </c>
      <c r="AQ72" s="922">
        <f t="shared" ca="1" si="41"/>
        <v>-6206341.2392489519</v>
      </c>
      <c r="AR72" s="922">
        <f t="shared" ca="1" si="41"/>
        <v>-6206341.2392489519</v>
      </c>
      <c r="AS72" s="922">
        <f t="shared" ca="1" si="41"/>
        <v>-6206341.2392489519</v>
      </c>
      <c r="AT72" s="922">
        <f t="shared" ca="1" si="41"/>
        <v>-6206341.2392489519</v>
      </c>
      <c r="AU72" s="922">
        <f t="shared" ca="1" si="41"/>
        <v>-6206341.2392489519</v>
      </c>
      <c r="AV72" s="922">
        <f t="shared" ca="1" si="41"/>
        <v>-6206341.2392489519</v>
      </c>
      <c r="AW72" s="922">
        <f t="shared" ca="1" si="41"/>
        <v>-6206341.2392489519</v>
      </c>
      <c r="AX72" s="922">
        <f t="shared" ca="1" si="41"/>
        <v>-6206341.2392489519</v>
      </c>
      <c r="AY72" s="922">
        <f t="shared" ca="1" si="41"/>
        <v>-6206341.2392489519</v>
      </c>
      <c r="AZ72" s="922">
        <f t="shared" ca="1" si="41"/>
        <v>-6206341.2392489519</v>
      </c>
      <c r="BA72" s="922">
        <f t="shared" ca="1" si="41"/>
        <v>-6206341.2392489519</v>
      </c>
      <c r="BB72" s="922">
        <f t="shared" ca="1" si="41"/>
        <v>-6206341.2392489519</v>
      </c>
      <c r="BC72" s="922">
        <f t="shared" ca="1" si="41"/>
        <v>-6206341.2392489519</v>
      </c>
      <c r="BD72" s="922">
        <f t="shared" ca="1" si="41"/>
        <v>-6206341.2392489519</v>
      </c>
      <c r="BE72" s="922">
        <f t="shared" ca="1" si="41"/>
        <v>-6206341.2392489519</v>
      </c>
      <c r="BF72" s="922">
        <f t="shared" ca="1" si="41"/>
        <v>-6206341.2392489519</v>
      </c>
      <c r="BG72" s="922">
        <f t="shared" ca="1" si="41"/>
        <v>-6206341.2392489519</v>
      </c>
      <c r="BH72" s="922">
        <f t="shared" ca="1" si="41"/>
        <v>-6206341.2392489519</v>
      </c>
      <c r="BI72" s="922">
        <f t="shared" ca="1" si="41"/>
        <v>-6206341.2392489519</v>
      </c>
      <c r="BJ72" s="922">
        <f t="shared" ca="1" si="41"/>
        <v>-6206341.2392489519</v>
      </c>
      <c r="BK72" s="922">
        <f t="shared" ca="1" si="41"/>
        <v>-6206341.2392489519</v>
      </c>
      <c r="BL72" s="922">
        <f t="shared" ca="1" si="41"/>
        <v>-6206341.2392489519</v>
      </c>
      <c r="BM72" s="922">
        <f t="shared" ca="1" si="41"/>
        <v>-6206341.2392489519</v>
      </c>
      <c r="BN72" s="922">
        <f t="shared" ca="1" si="41"/>
        <v>-6206341.2392489519</v>
      </c>
      <c r="BO72" s="922">
        <f t="shared" ca="1" si="41"/>
        <v>-6206341.2392489519</v>
      </c>
      <c r="BP72" s="922">
        <f t="shared" ca="1" si="41"/>
        <v>-6206341.2392489519</v>
      </c>
      <c r="BQ72" s="922">
        <f t="shared" ca="1" si="41"/>
        <v>-6206341.2392489519</v>
      </c>
      <c r="BR72" s="922">
        <f t="shared" ca="1" si="41"/>
        <v>-6206341.2392489519</v>
      </c>
      <c r="BS72" s="922">
        <f t="shared" ca="1" si="41"/>
        <v>-6206341.2392489519</v>
      </c>
      <c r="BT72" s="922">
        <f t="shared" ca="1" si="41"/>
        <v>-6206341.2392489519</v>
      </c>
      <c r="BU72" s="922">
        <f t="shared" ca="1" si="41"/>
        <v>-6206341.2392489519</v>
      </c>
      <c r="BV72" s="922">
        <f t="shared" ca="1" si="41"/>
        <v>-6206341.2392489519</v>
      </c>
      <c r="BW72" s="922">
        <f t="shared" ca="1" si="41"/>
        <v>-6206341.2392489519</v>
      </c>
      <c r="BX72" s="922">
        <f t="shared" ca="1" si="41"/>
        <v>-6206341.2392489519</v>
      </c>
      <c r="BY72" s="922">
        <f t="shared" ca="1" si="41"/>
        <v>-6206341.2392489519</v>
      </c>
      <c r="BZ72" s="922">
        <f t="shared" ref="BZ72:DW72" ca="1" si="42">BZ69+BZ70-BZ71</f>
        <v>-6206341.2392489519</v>
      </c>
      <c r="CA72" s="922">
        <f t="shared" ca="1" si="42"/>
        <v>-6206341.2392489519</v>
      </c>
      <c r="CB72" s="922">
        <f t="shared" ca="1" si="42"/>
        <v>-6206341.2392489519</v>
      </c>
      <c r="CC72" s="922">
        <f t="shared" ca="1" si="42"/>
        <v>-6206341.2392489519</v>
      </c>
      <c r="CD72" s="922">
        <f t="shared" ca="1" si="42"/>
        <v>-6206341.2392489519</v>
      </c>
      <c r="CE72" s="922">
        <f t="shared" ca="1" si="42"/>
        <v>-6206341.2392489519</v>
      </c>
      <c r="CF72" s="922">
        <f t="shared" ca="1" si="42"/>
        <v>-6206341.2392489519</v>
      </c>
      <c r="CG72" s="922">
        <f t="shared" ca="1" si="42"/>
        <v>-6206341.2392489519</v>
      </c>
      <c r="CH72" s="922">
        <f t="shared" ca="1" si="42"/>
        <v>-6206341.2392489519</v>
      </c>
      <c r="CI72" s="922">
        <f t="shared" ca="1" si="42"/>
        <v>-6206341.2392489519</v>
      </c>
      <c r="CJ72" s="922">
        <f t="shared" ca="1" si="42"/>
        <v>-6206341.2392489519</v>
      </c>
      <c r="CK72" s="922">
        <f t="shared" ca="1" si="42"/>
        <v>-6206341.2392489519</v>
      </c>
      <c r="CL72" s="922">
        <f t="shared" ca="1" si="42"/>
        <v>-6206341.2392489519</v>
      </c>
      <c r="CM72" s="922">
        <f t="shared" ca="1" si="42"/>
        <v>-6206341.2392489519</v>
      </c>
      <c r="CN72" s="922">
        <f t="shared" ca="1" si="42"/>
        <v>-6206341.2392489519</v>
      </c>
      <c r="CO72" s="922">
        <f t="shared" ca="1" si="42"/>
        <v>-6206341.2392489519</v>
      </c>
      <c r="CP72" s="922">
        <f t="shared" ca="1" si="42"/>
        <v>-6206341.2392489519</v>
      </c>
      <c r="CQ72" s="922">
        <f t="shared" ca="1" si="42"/>
        <v>-6206341.2392489519</v>
      </c>
      <c r="CR72" s="922">
        <f t="shared" ca="1" si="42"/>
        <v>-6206341.2392489519</v>
      </c>
      <c r="CS72" s="922">
        <f t="shared" ca="1" si="42"/>
        <v>-6206341.2392489519</v>
      </c>
      <c r="CT72" s="922">
        <f t="shared" ca="1" si="42"/>
        <v>-6206341.2392489519</v>
      </c>
      <c r="CU72" s="922">
        <f t="shared" ca="1" si="42"/>
        <v>-6206341.2392489519</v>
      </c>
      <c r="CV72" s="922">
        <f t="shared" ca="1" si="42"/>
        <v>-6206341.2392489519</v>
      </c>
      <c r="CW72" s="922">
        <f t="shared" ca="1" si="42"/>
        <v>-6206341.2392489519</v>
      </c>
      <c r="CX72" s="922">
        <f t="shared" ca="1" si="42"/>
        <v>-6206341.2392489519</v>
      </c>
      <c r="CY72" s="922">
        <f t="shared" ca="1" si="42"/>
        <v>-6206341.2392489519</v>
      </c>
      <c r="CZ72" s="922">
        <f t="shared" ca="1" si="42"/>
        <v>-6206341.2392489519</v>
      </c>
      <c r="DA72" s="922">
        <f t="shared" ca="1" si="42"/>
        <v>-6206341.2392489519</v>
      </c>
      <c r="DB72" s="922">
        <f t="shared" ca="1" si="42"/>
        <v>-6206341.2392489519</v>
      </c>
      <c r="DC72" s="922">
        <f t="shared" ca="1" si="42"/>
        <v>-6206341.2392489519</v>
      </c>
      <c r="DD72" s="922">
        <f t="shared" ca="1" si="42"/>
        <v>-6206341.2392489519</v>
      </c>
      <c r="DE72" s="922">
        <f t="shared" ca="1" si="42"/>
        <v>-6206341.2392489519</v>
      </c>
      <c r="DF72" s="922">
        <f t="shared" ca="1" si="42"/>
        <v>-6206341.2392489519</v>
      </c>
      <c r="DG72" s="922">
        <f t="shared" ca="1" si="42"/>
        <v>-6206341.2392489519</v>
      </c>
      <c r="DH72" s="922">
        <f t="shared" ca="1" si="42"/>
        <v>-6206341.2392489519</v>
      </c>
      <c r="DI72" s="922">
        <f t="shared" ca="1" si="42"/>
        <v>-6206341.2392489519</v>
      </c>
      <c r="DJ72" s="922">
        <f t="shared" ca="1" si="42"/>
        <v>-6206341.2392489519</v>
      </c>
      <c r="DK72" s="922">
        <f t="shared" ca="1" si="42"/>
        <v>-6206341.2392489519</v>
      </c>
      <c r="DL72" s="922">
        <f t="shared" ca="1" si="42"/>
        <v>-6206341.2392489519</v>
      </c>
      <c r="DM72" s="922">
        <f t="shared" ca="1" si="42"/>
        <v>-6206341.2392489519</v>
      </c>
      <c r="DN72" s="922">
        <f t="shared" ca="1" si="42"/>
        <v>-6206341.2392489519</v>
      </c>
      <c r="DO72" s="922">
        <f t="shared" ca="1" si="42"/>
        <v>-6206341.2392489519</v>
      </c>
      <c r="DP72" s="922">
        <f t="shared" ca="1" si="42"/>
        <v>-6206341.2392489519</v>
      </c>
      <c r="DQ72" s="922">
        <f t="shared" ca="1" si="42"/>
        <v>-6206341.2392489519</v>
      </c>
      <c r="DR72" s="922">
        <f t="shared" ca="1" si="42"/>
        <v>-6206341.2392489519</v>
      </c>
      <c r="DS72" s="922">
        <f t="shared" ca="1" si="42"/>
        <v>-6206341.2392489519</v>
      </c>
      <c r="DT72" s="922">
        <f t="shared" ca="1" si="42"/>
        <v>-6206341.2392489519</v>
      </c>
      <c r="DU72" s="922">
        <f t="shared" ca="1" si="42"/>
        <v>-6206341.2392489519</v>
      </c>
      <c r="DV72" s="922">
        <f t="shared" ca="1" si="42"/>
        <v>-6206341.2392489519</v>
      </c>
      <c r="DW72" s="922">
        <f t="shared" ca="1" si="42"/>
        <v>-6206341.2392489519</v>
      </c>
    </row>
    <row r="73" spans="2:127" ht="11.25" customHeight="1" thickTop="1">
      <c r="B73" s="984" t="s">
        <v>579</v>
      </c>
      <c r="C73" s="987"/>
      <c r="D73" s="987"/>
      <c r="E73" s="987"/>
      <c r="F73" s="987"/>
      <c r="G73" s="987"/>
      <c r="H73" s="987"/>
      <c r="I73" s="988"/>
      <c r="J73" s="989"/>
      <c r="K73" s="990"/>
      <c r="M73" s="991"/>
      <c r="N73" s="991">
        <f ca="1">(SUMIF('IS(M)'!$M$60:$ER$60,N$54,'IS(M)'!$M$70:$ER$70)-SUMIF('IS(M)'!$M$60:$ER$60,N$54,'IS(M)'!$M$75:$ER$75)-SUMIF('IS(M)'!$M$60:$ER$60,N$54,'IS(M)'!$M$80:$ER$80)-SUMIF('IS(M)'!$M$60:$ER$60,N$54,'IS(M)'!$M$85:$ER$85))*(N$54&lt;=$G$76)</f>
        <v>-1682827.7762699807</v>
      </c>
      <c r="O73" s="991">
        <f ca="1">(SUMIF('IS(M)'!$M$60:$ER$60,O$54,'IS(M)'!$M$70:$ER$70)-SUMIF('IS(M)'!$M$60:$ER$60,O$54,'IS(M)'!$M$75:$ER$75)-SUMIF('IS(M)'!$M$60:$ER$60,O$54,'IS(M)'!$M$80:$ER$80)-SUMIF('IS(M)'!$M$60:$ER$60,O$54,'IS(M)'!$M$85:$ER$85))*(O$54&lt;=$G$76)</f>
        <v>-1147124.2553574797</v>
      </c>
      <c r="P73" s="991">
        <f ca="1">(SUMIF('IS(M)'!$M$60:$ER$60,P$54,'IS(M)'!$M$70:$ER$70)-SUMIF('IS(M)'!$M$60:$ER$60,P$54,'IS(M)'!$M$75:$ER$75)-SUMIF('IS(M)'!$M$60:$ER$60,P$54,'IS(M)'!$M$80:$ER$80)-SUMIF('IS(M)'!$M$60:$ER$60,P$54,'IS(M)'!$M$85:$ER$85))*(P$54&lt;=$G$76)</f>
        <v>0</v>
      </c>
      <c r="Q73" s="991">
        <f ca="1">(SUMIF('IS(M)'!$M$60:$ER$60,Q$54,'IS(M)'!$M$70:$ER$70)-SUMIF('IS(M)'!$M$60:$ER$60,Q$54,'IS(M)'!$M$75:$ER$75)-SUMIF('IS(M)'!$M$60:$ER$60,Q$54,'IS(M)'!$M$80:$ER$80)-SUMIF('IS(M)'!$M$60:$ER$60,Q$54,'IS(M)'!$M$85:$ER$85))*(Q$54&lt;=$G$76)</f>
        <v>0</v>
      </c>
      <c r="R73" s="991">
        <f ca="1">(SUMIF('IS(M)'!$M$60:$ER$60,R$54,'IS(M)'!$M$70:$ER$70)-SUMIF('IS(M)'!$M$60:$ER$60,R$54,'IS(M)'!$M$75:$ER$75)-SUMIF('IS(M)'!$M$60:$ER$60,R$54,'IS(M)'!$M$80:$ER$80)-SUMIF('IS(M)'!$M$60:$ER$60,R$54,'IS(M)'!$M$85:$ER$85))*(R$54&lt;=$G$76)</f>
        <v>0</v>
      </c>
      <c r="S73" s="991">
        <f ca="1">(SUMIF('IS(M)'!$M$60:$ER$60,S$54,'IS(M)'!$M$70:$ER$70)-SUMIF('IS(M)'!$M$60:$ER$60,S$54,'IS(M)'!$M$75:$ER$75)-SUMIF('IS(M)'!$M$60:$ER$60,S$54,'IS(M)'!$M$80:$ER$80)-SUMIF('IS(M)'!$M$60:$ER$60,S$54,'IS(M)'!$M$85:$ER$85))*(S$54&lt;=$G$76)</f>
        <v>0</v>
      </c>
      <c r="T73" s="991">
        <f ca="1">(SUMIF('IS(M)'!$M$60:$ER$60,T$54,'IS(M)'!$M$70:$ER$70)-SUMIF('IS(M)'!$M$60:$ER$60,T$54,'IS(M)'!$M$75:$ER$75)-SUMIF('IS(M)'!$M$60:$ER$60,T$54,'IS(M)'!$M$80:$ER$80)-SUMIF('IS(M)'!$M$60:$ER$60,T$54,'IS(M)'!$M$85:$ER$85))*(T$54&lt;=$G$76)</f>
        <v>0</v>
      </c>
      <c r="U73" s="991">
        <f ca="1">(SUMIF('IS(M)'!$M$60:$ER$60,U$54,'IS(M)'!$M$70:$ER$70)-SUMIF('IS(M)'!$M$60:$ER$60,U$54,'IS(M)'!$M$75:$ER$75)-SUMIF('IS(M)'!$M$60:$ER$60,U$54,'IS(M)'!$M$80:$ER$80)-SUMIF('IS(M)'!$M$60:$ER$60,U$54,'IS(M)'!$M$85:$ER$85))*(U$54&lt;=$G$76)</f>
        <v>0</v>
      </c>
      <c r="V73" s="991">
        <f ca="1">(SUMIF('IS(M)'!$M$60:$ER$60,V$54,'IS(M)'!$M$70:$ER$70)-SUMIF('IS(M)'!$M$60:$ER$60,V$54,'IS(M)'!$M$75:$ER$75)-SUMIF('IS(M)'!$M$60:$ER$60,V$54,'IS(M)'!$M$80:$ER$80)-SUMIF('IS(M)'!$M$60:$ER$60,V$54,'IS(M)'!$M$85:$ER$85))*(V$54&lt;=$G$76)</f>
        <v>0</v>
      </c>
      <c r="W73" s="991">
        <f ca="1">(SUMIF('IS(M)'!$M$60:$ER$60,W$54,'IS(M)'!$M$70:$ER$70)-SUMIF('IS(M)'!$M$60:$ER$60,W$54,'IS(M)'!$M$75:$ER$75)-SUMIF('IS(M)'!$M$60:$ER$60,W$54,'IS(M)'!$M$80:$ER$80)-SUMIF('IS(M)'!$M$60:$ER$60,W$54,'IS(M)'!$M$85:$ER$85))*(W$54&lt;=$G$76)</f>
        <v>0</v>
      </c>
      <c r="X73" s="991">
        <f ca="1">(SUMIF('IS(M)'!$M$60:$ER$60,X$54,'IS(M)'!$M$70:$ER$70)-SUMIF('IS(M)'!$M$60:$ER$60,X$54,'IS(M)'!$M$75:$ER$75)-SUMIF('IS(M)'!$M$60:$ER$60,X$54,'IS(M)'!$M$80:$ER$80)-SUMIF('IS(M)'!$M$60:$ER$60,X$54,'IS(M)'!$M$85:$ER$85))*(X$54&lt;=$G$76)</f>
        <v>0</v>
      </c>
      <c r="Y73" s="991">
        <f ca="1">(SUMIF('IS(M)'!$M$60:$ER$60,Y$54,'IS(M)'!$M$70:$ER$70)-SUMIF('IS(M)'!$M$60:$ER$60,Y$54,'IS(M)'!$M$75:$ER$75)-SUMIF('IS(M)'!$M$60:$ER$60,Y$54,'IS(M)'!$M$80:$ER$80)-SUMIF('IS(M)'!$M$60:$ER$60,Y$54,'IS(M)'!$M$85:$ER$85))*(Y$54&lt;=$G$76)</f>
        <v>0</v>
      </c>
      <c r="Z73" s="991">
        <f ca="1">(SUMIF('IS(M)'!$M$60:$ER$60,Z$54,'IS(M)'!$M$70:$ER$70)-SUMIF('IS(M)'!$M$60:$ER$60,Z$54,'IS(M)'!$M$75:$ER$75)-SUMIF('IS(M)'!$M$60:$ER$60,Z$54,'IS(M)'!$M$80:$ER$80)-SUMIF('IS(M)'!$M$60:$ER$60,Z$54,'IS(M)'!$M$85:$ER$85))*(Z$54&lt;=$G$76)</f>
        <v>0</v>
      </c>
      <c r="AA73" s="991">
        <f ca="1">(SUMIF('IS(M)'!$M$60:$ER$60,AA$54,'IS(M)'!$M$70:$ER$70)-SUMIF('IS(M)'!$M$60:$ER$60,AA$54,'IS(M)'!$M$75:$ER$75)-SUMIF('IS(M)'!$M$60:$ER$60,AA$54,'IS(M)'!$M$80:$ER$80)-SUMIF('IS(M)'!$M$60:$ER$60,AA$54,'IS(M)'!$M$85:$ER$85))*(AA$54&lt;=$G$76)</f>
        <v>0</v>
      </c>
      <c r="AB73" s="991">
        <f ca="1">(SUMIF('IS(M)'!$M$60:$ER$60,AB$54,'IS(M)'!$M$70:$ER$70)-SUMIF('IS(M)'!$M$60:$ER$60,AB$54,'IS(M)'!$M$75:$ER$75)-SUMIF('IS(M)'!$M$60:$ER$60,AB$54,'IS(M)'!$M$80:$ER$80)-SUMIF('IS(M)'!$M$60:$ER$60,AB$54,'IS(M)'!$M$85:$ER$85))*(AB$54&lt;=$G$76)</f>
        <v>0</v>
      </c>
      <c r="AC73" s="991">
        <f ca="1">(SUMIF('IS(M)'!$M$60:$ER$60,AC$54,'IS(M)'!$M$70:$ER$70)-SUMIF('IS(M)'!$M$60:$ER$60,AC$54,'IS(M)'!$M$75:$ER$75)-SUMIF('IS(M)'!$M$60:$ER$60,AC$54,'IS(M)'!$M$80:$ER$80)-SUMIF('IS(M)'!$M$60:$ER$60,AC$54,'IS(M)'!$M$85:$ER$85))*(AC$54&lt;=$G$76)</f>
        <v>0</v>
      </c>
      <c r="AD73" s="991">
        <f ca="1">(SUMIF('IS(M)'!$M$60:$ER$60,AD$54,'IS(M)'!$M$70:$ER$70)-SUMIF('IS(M)'!$M$60:$ER$60,AD$54,'IS(M)'!$M$75:$ER$75)-SUMIF('IS(M)'!$M$60:$ER$60,AD$54,'IS(M)'!$M$80:$ER$80)-SUMIF('IS(M)'!$M$60:$ER$60,AD$54,'IS(M)'!$M$85:$ER$85))*(AD$54&lt;=$G$76)</f>
        <v>0</v>
      </c>
      <c r="AE73" s="991">
        <f ca="1">(SUMIF('IS(M)'!$M$60:$ER$60,AE$54,'IS(M)'!$M$70:$ER$70)-SUMIF('IS(M)'!$M$60:$ER$60,AE$54,'IS(M)'!$M$75:$ER$75)-SUMIF('IS(M)'!$M$60:$ER$60,AE$54,'IS(M)'!$M$80:$ER$80)-SUMIF('IS(M)'!$M$60:$ER$60,AE$54,'IS(M)'!$M$85:$ER$85))*(AE$54&lt;=$G$76)</f>
        <v>0</v>
      </c>
      <c r="AF73" s="991">
        <f ca="1">(SUMIF('IS(M)'!$M$60:$ER$60,AF$54,'IS(M)'!$M$70:$ER$70)-SUMIF('IS(M)'!$M$60:$ER$60,AF$54,'IS(M)'!$M$75:$ER$75)-SUMIF('IS(M)'!$M$60:$ER$60,AF$54,'IS(M)'!$M$80:$ER$80)-SUMIF('IS(M)'!$M$60:$ER$60,AF$54,'IS(M)'!$M$85:$ER$85))*(AF$54&lt;=$G$76)</f>
        <v>0</v>
      </c>
      <c r="AG73" s="991">
        <f ca="1">(SUMIF('IS(M)'!$M$60:$ER$60,AG$54,'IS(M)'!$M$70:$ER$70)-SUMIF('IS(M)'!$M$60:$ER$60,AG$54,'IS(M)'!$M$75:$ER$75)-SUMIF('IS(M)'!$M$60:$ER$60,AG$54,'IS(M)'!$M$80:$ER$80)-SUMIF('IS(M)'!$M$60:$ER$60,AG$54,'IS(M)'!$M$85:$ER$85))*(AG$54&lt;=$G$76)</f>
        <v>0</v>
      </c>
      <c r="AH73" s="991"/>
      <c r="AI73" s="991"/>
      <c r="AJ73" s="991"/>
      <c r="AK73" s="991"/>
      <c r="AL73" s="991"/>
      <c r="AM73" s="991"/>
      <c r="AN73" s="991"/>
      <c r="AO73" s="991"/>
      <c r="AP73" s="991"/>
      <c r="AQ73" s="991"/>
      <c r="AR73" s="991"/>
      <c r="AS73" s="991"/>
      <c r="AT73" s="991"/>
      <c r="AU73" s="991"/>
      <c r="AV73" s="991"/>
      <c r="AW73" s="991"/>
      <c r="AX73" s="991"/>
      <c r="AY73" s="991"/>
      <c r="AZ73" s="991"/>
      <c r="BA73" s="991"/>
      <c r="BB73" s="991"/>
      <c r="BC73" s="991"/>
      <c r="BD73" s="991"/>
      <c r="BE73" s="991"/>
      <c r="BF73" s="991"/>
      <c r="BG73" s="991"/>
      <c r="BH73" s="991"/>
      <c r="BI73" s="991"/>
      <c r="BJ73" s="991"/>
      <c r="BK73" s="991"/>
      <c r="BL73" s="991"/>
      <c r="BM73" s="991"/>
      <c r="BN73" s="991"/>
      <c r="BO73" s="991"/>
      <c r="BP73" s="991"/>
      <c r="BQ73" s="991"/>
      <c r="BR73" s="991"/>
      <c r="BS73" s="991"/>
      <c r="BT73" s="991"/>
      <c r="BU73" s="991"/>
      <c r="BV73" s="991"/>
      <c r="BW73" s="991"/>
      <c r="BX73" s="991"/>
      <c r="BY73" s="991"/>
      <c r="BZ73" s="991"/>
      <c r="CA73" s="991"/>
      <c r="CB73" s="991"/>
      <c r="CC73" s="991"/>
      <c r="CD73" s="991"/>
      <c r="CE73" s="991"/>
      <c r="CF73" s="991"/>
      <c r="CG73" s="991"/>
      <c r="CH73" s="991"/>
      <c r="CI73" s="991"/>
      <c r="CJ73" s="991"/>
      <c r="CK73" s="991"/>
      <c r="CL73" s="991"/>
      <c r="CM73" s="991"/>
      <c r="CN73" s="991"/>
      <c r="CO73" s="991"/>
      <c r="CP73" s="991"/>
      <c r="CQ73" s="991"/>
      <c r="CR73" s="991"/>
      <c r="CS73" s="991"/>
      <c r="CT73" s="991"/>
      <c r="CU73" s="991"/>
      <c r="CV73" s="991"/>
      <c r="CW73" s="991"/>
      <c r="CX73" s="991"/>
      <c r="CY73" s="991"/>
      <c r="CZ73" s="991"/>
      <c r="DA73" s="991"/>
      <c r="DB73" s="991"/>
      <c r="DC73" s="991"/>
      <c r="DD73" s="991"/>
      <c r="DE73" s="991"/>
      <c r="DF73" s="991"/>
      <c r="DG73" s="991"/>
      <c r="DH73" s="991"/>
      <c r="DI73" s="991"/>
      <c r="DJ73" s="991"/>
      <c r="DK73" s="991"/>
      <c r="DL73" s="991"/>
      <c r="DM73" s="991"/>
      <c r="DN73" s="991"/>
      <c r="DO73" s="991"/>
      <c r="DP73" s="991"/>
      <c r="DQ73" s="991"/>
      <c r="DR73" s="991"/>
      <c r="DS73" s="991"/>
      <c r="DT73" s="991"/>
      <c r="DU73" s="991"/>
      <c r="DV73" s="991"/>
      <c r="DW73" s="991"/>
    </row>
    <row r="74" spans="2:127" ht="11.25" customHeight="1">
      <c r="B74" s="985"/>
      <c r="C74" s="904" t="s">
        <v>581</v>
      </c>
      <c r="D74" s="905"/>
      <c r="E74" s="905"/>
      <c r="F74" s="905"/>
      <c r="G74" s="905"/>
      <c r="H74" s="905"/>
      <c r="I74" s="906"/>
      <c r="J74" s="907"/>
      <c r="K74" s="917"/>
      <c r="L74" s="98"/>
      <c r="M74" s="908">
        <f>SUMIF('A&amp;R'!$C$73:$C$92,M$7,'A&amp;R'!$H$73:$H$92)</f>
        <v>0</v>
      </c>
      <c r="N74" s="908">
        <f>SUMIF('A&amp;R'!$C$73:$C$92,N$7,'A&amp;R'!$H$73:$H$92)</f>
        <v>14800000</v>
      </c>
      <c r="O74" s="908">
        <f>SUMIF('A&amp;R'!$C$73:$C$92,O$7,'A&amp;R'!$H$73:$H$92)</f>
        <v>14800000</v>
      </c>
      <c r="P74" s="908">
        <f>SUMIF('A&amp;R'!$C$73:$C$92,P$7,'A&amp;R'!$H$73:$H$92)</f>
        <v>14800000</v>
      </c>
      <c r="Q74" s="908">
        <f>SUMIF('A&amp;R'!$C$73:$C$92,Q$7,'A&amp;R'!$H$73:$H$92)</f>
        <v>14800000</v>
      </c>
      <c r="R74" s="908">
        <f>SUMIF('A&amp;R'!$C$73:$C$92,R$7,'A&amp;R'!$H$73:$H$92)</f>
        <v>14800000</v>
      </c>
      <c r="S74" s="908">
        <f>SUMIF('A&amp;R'!$C$73:$C$92,S$7,'A&amp;R'!$H$73:$H$92)</f>
        <v>14800000</v>
      </c>
      <c r="T74" s="908">
        <f>SUMIF('A&amp;R'!$C$73:$C$92,T$7,'A&amp;R'!$H$73:$H$92)</f>
        <v>14800000</v>
      </c>
      <c r="U74" s="908">
        <f>SUMIF('A&amp;R'!$C$73:$C$92,U$7,'A&amp;R'!$H$73:$H$92)</f>
        <v>14800000</v>
      </c>
      <c r="V74" s="908">
        <f>SUMIF('A&amp;R'!$C$73:$C$92,V$7,'A&amp;R'!$H$73:$H$92)</f>
        <v>14800000</v>
      </c>
      <c r="W74" s="908">
        <f>SUMIF('A&amp;R'!$C$73:$C$92,W$7,'A&amp;R'!$H$73:$H$92)</f>
        <v>14800000</v>
      </c>
      <c r="X74" s="908">
        <f>SUMIF('A&amp;R'!$C$73:$C$92,X$7,'A&amp;R'!$H$73:$H$92)</f>
        <v>14800000</v>
      </c>
      <c r="Y74" s="908">
        <f>SUMIF('A&amp;R'!$C$73:$C$92,Y$7,'A&amp;R'!$H$73:$H$92)</f>
        <v>14800000</v>
      </c>
      <c r="Z74" s="908">
        <f>SUMIF('A&amp;R'!$C$73:$C$92,Z$7,'A&amp;R'!$H$73:$H$92)</f>
        <v>14800000</v>
      </c>
      <c r="AA74" s="908">
        <f>SUMIF('A&amp;R'!$C$73:$C$92,AA$7,'A&amp;R'!$H$73:$H$92)</f>
        <v>14800000</v>
      </c>
      <c r="AB74" s="908">
        <f>SUMIF('A&amp;R'!$C$73:$C$92,AB$7,'A&amp;R'!$H$73:$H$92)</f>
        <v>14800000</v>
      </c>
      <c r="AC74" s="908">
        <f>SUMIF('A&amp;R'!$C$73:$C$92,AC$7,'A&amp;R'!$H$73:$H$92)</f>
        <v>14800000</v>
      </c>
      <c r="AD74" s="908">
        <f>SUMIF('A&amp;R'!$C$73:$C$92,AD$7,'A&amp;R'!$H$73:$H$92)</f>
        <v>14800000</v>
      </c>
      <c r="AE74" s="908">
        <f>SUMIF('A&amp;R'!$C$73:$C$92,AE$7,'A&amp;R'!$H$73:$H$92)</f>
        <v>14800000</v>
      </c>
      <c r="AF74" s="908">
        <f>SUMIF('A&amp;R'!$C$73:$C$92,AF$7,'A&amp;R'!$H$73:$H$92)</f>
        <v>14800000</v>
      </c>
      <c r="AG74" s="908">
        <f>SUMIF('A&amp;R'!$C$73:$C$92,AG$7,'A&amp;R'!$H$73:$H$92)</f>
        <v>14800000</v>
      </c>
      <c r="AH74" s="908">
        <f>SUMIF('A&amp;R'!$C$73:$C$92,AH$7,'A&amp;R'!$H$73:$H$92)</f>
        <v>0</v>
      </c>
      <c r="AI74" s="908">
        <f>SUMIF('A&amp;R'!$C$73:$C$92,AI$7,'A&amp;R'!$H$73:$H$92)</f>
        <v>0</v>
      </c>
      <c r="AJ74" s="908">
        <f>SUMIF('A&amp;R'!$C$73:$C$92,AJ$7,'A&amp;R'!$H$73:$H$92)</f>
        <v>0</v>
      </c>
      <c r="AK74" s="908">
        <f>SUMIF('A&amp;R'!$C$73:$C$92,AK$7,'A&amp;R'!$H$73:$H$92)</f>
        <v>0</v>
      </c>
      <c r="AL74" s="908">
        <f>SUMIF('A&amp;R'!$C$73:$C$92,AL$7,'A&amp;R'!$H$73:$H$92)</f>
        <v>0</v>
      </c>
      <c r="AM74" s="908">
        <f>SUMIF('A&amp;R'!$C$73:$C$92,AM$7,'A&amp;R'!$H$73:$H$92)</f>
        <v>0</v>
      </c>
      <c r="AN74" s="908">
        <f>SUMIF('A&amp;R'!$C$73:$C$92,AN$7,'A&amp;R'!$H$73:$H$92)</f>
        <v>0</v>
      </c>
      <c r="AO74" s="908">
        <f>SUMIF('A&amp;R'!$C$73:$C$92,AO$7,'A&amp;R'!$H$73:$H$92)</f>
        <v>0</v>
      </c>
      <c r="AP74" s="908">
        <f>SUMIF('A&amp;R'!$C$73:$C$92,AP$7,'A&amp;R'!$H$73:$H$92)</f>
        <v>0</v>
      </c>
      <c r="AQ74" s="908">
        <f>SUMIF('A&amp;R'!$C$73:$C$92,AQ$7,'A&amp;R'!$H$73:$H$92)</f>
        <v>0</v>
      </c>
      <c r="AR74" s="908">
        <f>SUMIF('A&amp;R'!$C$73:$C$92,AR$7,'A&amp;R'!$H$73:$H$92)</f>
        <v>0</v>
      </c>
      <c r="AS74" s="908">
        <f>SUMIF('A&amp;R'!$C$73:$C$92,AS$7,'A&amp;R'!$H$73:$H$92)</f>
        <v>0</v>
      </c>
      <c r="AT74" s="908">
        <f>SUMIF('A&amp;R'!$C$73:$C$92,AT$7,'A&amp;R'!$H$73:$H$92)</f>
        <v>0</v>
      </c>
      <c r="AU74" s="908">
        <f>SUMIF('A&amp;R'!$C$73:$C$92,AU$7,'A&amp;R'!$H$73:$H$92)</f>
        <v>0</v>
      </c>
      <c r="AV74" s="908">
        <f>SUMIF('A&amp;R'!$C$73:$C$92,AV$7,'A&amp;R'!$H$73:$H$92)</f>
        <v>0</v>
      </c>
      <c r="AW74" s="908">
        <f>SUMIF('A&amp;R'!$C$73:$C$92,AW$7,'A&amp;R'!$H$73:$H$92)</f>
        <v>0</v>
      </c>
      <c r="AX74" s="908">
        <f>SUMIF('A&amp;R'!$C$73:$C$92,AX$7,'A&amp;R'!$H$73:$H$92)</f>
        <v>0</v>
      </c>
      <c r="AY74" s="908">
        <f>SUMIF('A&amp;R'!$C$73:$C$92,AY$7,'A&amp;R'!$H$73:$H$92)</f>
        <v>0</v>
      </c>
      <c r="AZ74" s="908">
        <f>SUMIF('A&amp;R'!$C$73:$C$92,AZ$7,'A&amp;R'!$H$73:$H$92)</f>
        <v>0</v>
      </c>
      <c r="BA74" s="908">
        <f>SUMIF('A&amp;R'!$C$73:$C$92,BA$7,'A&amp;R'!$H$73:$H$92)</f>
        <v>0</v>
      </c>
      <c r="BB74" s="908">
        <f>SUMIF('A&amp;R'!$C$73:$C$92,BB$7,'A&amp;R'!$H$73:$H$92)</f>
        <v>0</v>
      </c>
      <c r="BC74" s="908">
        <f>SUMIF('A&amp;R'!$C$73:$C$92,BC$7,'A&amp;R'!$H$73:$H$92)</f>
        <v>0</v>
      </c>
      <c r="BD74" s="908">
        <f>SUMIF('A&amp;R'!$C$73:$C$92,BD$7,'A&amp;R'!$H$73:$H$92)</f>
        <v>0</v>
      </c>
      <c r="BE74" s="908">
        <f>SUMIF('A&amp;R'!$C$73:$C$92,BE$7,'A&amp;R'!$H$73:$H$92)</f>
        <v>0</v>
      </c>
      <c r="BF74" s="908">
        <f>SUMIF('A&amp;R'!$C$73:$C$92,BF$7,'A&amp;R'!$H$73:$H$92)</f>
        <v>0</v>
      </c>
      <c r="BG74" s="908">
        <f>SUMIF('A&amp;R'!$C$73:$C$92,BG$7,'A&amp;R'!$H$73:$H$92)</f>
        <v>0</v>
      </c>
      <c r="BH74" s="908">
        <f>SUMIF('A&amp;R'!$C$73:$C$92,BH$7,'A&amp;R'!$H$73:$H$92)</f>
        <v>0</v>
      </c>
      <c r="BI74" s="908">
        <f>SUMIF('A&amp;R'!$C$73:$C$92,BI$7,'A&amp;R'!$H$73:$H$92)</f>
        <v>0</v>
      </c>
      <c r="BJ74" s="908">
        <f>SUMIF('A&amp;R'!$C$73:$C$92,BJ$7,'A&amp;R'!$H$73:$H$92)</f>
        <v>0</v>
      </c>
      <c r="BK74" s="908">
        <f>SUMIF('A&amp;R'!$C$73:$C$92,BK$7,'A&amp;R'!$H$73:$H$92)</f>
        <v>0</v>
      </c>
      <c r="BL74" s="908">
        <f>SUMIF('A&amp;R'!$C$73:$C$92,BL$7,'A&amp;R'!$H$73:$H$92)</f>
        <v>0</v>
      </c>
      <c r="BM74" s="908">
        <f>SUMIF('A&amp;R'!$C$73:$C$92,BM$7,'A&amp;R'!$H$73:$H$92)</f>
        <v>0</v>
      </c>
      <c r="BN74" s="908">
        <f>SUMIF('A&amp;R'!$C$73:$C$92,BN$7,'A&amp;R'!$H$73:$H$92)</f>
        <v>0</v>
      </c>
      <c r="BO74" s="908">
        <f>SUMIF('A&amp;R'!$C$73:$C$92,BO$7,'A&amp;R'!$H$73:$H$92)</f>
        <v>0</v>
      </c>
      <c r="BP74" s="908">
        <f>SUMIF('A&amp;R'!$C$73:$C$92,BP$7,'A&amp;R'!$H$73:$H$92)</f>
        <v>0</v>
      </c>
      <c r="BQ74" s="908">
        <f>SUMIF('A&amp;R'!$C$73:$C$92,BQ$7,'A&amp;R'!$H$73:$H$92)</f>
        <v>0</v>
      </c>
      <c r="BR74" s="908">
        <f>SUMIF('A&amp;R'!$C$73:$C$92,BR$7,'A&amp;R'!$H$73:$H$92)</f>
        <v>0</v>
      </c>
      <c r="BS74" s="908">
        <f>SUMIF('A&amp;R'!$C$73:$C$92,BS$7,'A&amp;R'!$H$73:$H$92)</f>
        <v>0</v>
      </c>
      <c r="BT74" s="908">
        <f>SUMIF('A&amp;R'!$C$73:$C$92,BT$7,'A&amp;R'!$H$73:$H$92)</f>
        <v>0</v>
      </c>
      <c r="BU74" s="908">
        <f>SUMIF('A&amp;R'!$C$73:$C$92,BU$7,'A&amp;R'!$H$73:$H$92)</f>
        <v>0</v>
      </c>
      <c r="BV74" s="908">
        <f>SUMIF('A&amp;R'!$C$73:$C$92,BV$7,'A&amp;R'!$H$73:$H$92)</f>
        <v>0</v>
      </c>
      <c r="BW74" s="908">
        <f>SUMIF('A&amp;R'!$C$73:$C$92,BW$7,'A&amp;R'!$H$73:$H$92)</f>
        <v>0</v>
      </c>
      <c r="BX74" s="908">
        <f>SUMIF('A&amp;R'!$C$73:$C$92,BX$7,'A&amp;R'!$H$73:$H$92)</f>
        <v>0</v>
      </c>
      <c r="BY74" s="908">
        <f>SUMIF('A&amp;R'!$C$73:$C$92,BY$7,'A&amp;R'!$H$73:$H$92)</f>
        <v>0</v>
      </c>
      <c r="BZ74" s="908">
        <f>SUMIF('A&amp;R'!$C$73:$C$92,BZ$7,'A&amp;R'!$H$73:$H$92)</f>
        <v>0</v>
      </c>
      <c r="CA74" s="908">
        <f>SUMIF('A&amp;R'!$C$73:$C$92,CA$7,'A&amp;R'!$H$73:$H$92)</f>
        <v>0</v>
      </c>
      <c r="CB74" s="908">
        <f>SUMIF('A&amp;R'!$C$73:$C$92,CB$7,'A&amp;R'!$H$73:$H$92)</f>
        <v>0</v>
      </c>
      <c r="CC74" s="908">
        <f>SUMIF('A&amp;R'!$C$73:$C$92,CC$7,'A&amp;R'!$H$73:$H$92)</f>
        <v>0</v>
      </c>
      <c r="CD74" s="908">
        <f>SUMIF('A&amp;R'!$C$73:$C$92,CD$7,'A&amp;R'!$H$73:$H$92)</f>
        <v>0</v>
      </c>
      <c r="CE74" s="908">
        <f>SUMIF('A&amp;R'!$C$73:$C$92,CE$7,'A&amp;R'!$H$73:$H$92)</f>
        <v>0</v>
      </c>
      <c r="CF74" s="908">
        <f>SUMIF('A&amp;R'!$C$73:$C$92,CF$7,'A&amp;R'!$H$73:$H$92)</f>
        <v>0</v>
      </c>
      <c r="CG74" s="908">
        <f>SUMIF('A&amp;R'!$C$73:$C$92,CG$7,'A&amp;R'!$H$73:$H$92)</f>
        <v>0</v>
      </c>
      <c r="CH74" s="908">
        <f>SUMIF('A&amp;R'!$C$73:$C$92,CH$7,'A&amp;R'!$H$73:$H$92)</f>
        <v>0</v>
      </c>
      <c r="CI74" s="908">
        <f>SUMIF('A&amp;R'!$C$73:$C$92,CI$7,'A&amp;R'!$H$73:$H$92)</f>
        <v>0</v>
      </c>
      <c r="CJ74" s="908">
        <f>SUMIF('A&amp;R'!$C$73:$C$92,CJ$7,'A&amp;R'!$H$73:$H$92)</f>
        <v>0</v>
      </c>
      <c r="CK74" s="908">
        <f>SUMIF('A&amp;R'!$C$73:$C$92,CK$7,'A&amp;R'!$H$73:$H$92)</f>
        <v>0</v>
      </c>
      <c r="CL74" s="908">
        <f>SUMIF('A&amp;R'!$C$73:$C$92,CL$7,'A&amp;R'!$H$73:$H$92)</f>
        <v>0</v>
      </c>
      <c r="CM74" s="908">
        <f>SUMIF('A&amp;R'!$C$73:$C$92,CM$7,'A&amp;R'!$H$73:$H$92)</f>
        <v>0</v>
      </c>
      <c r="CN74" s="908">
        <f>SUMIF('A&amp;R'!$C$73:$C$92,CN$7,'A&amp;R'!$H$73:$H$92)</f>
        <v>0</v>
      </c>
      <c r="CO74" s="908">
        <f>SUMIF('A&amp;R'!$C$73:$C$92,CO$7,'A&amp;R'!$H$73:$H$92)</f>
        <v>0</v>
      </c>
      <c r="CP74" s="908">
        <f>SUMIF('A&amp;R'!$C$73:$C$92,CP$7,'A&amp;R'!$H$73:$H$92)</f>
        <v>0</v>
      </c>
      <c r="CQ74" s="908">
        <f>SUMIF('A&amp;R'!$C$73:$C$92,CQ$7,'A&amp;R'!$H$73:$H$92)</f>
        <v>0</v>
      </c>
      <c r="CR74" s="908">
        <f>SUMIF('A&amp;R'!$C$73:$C$92,CR$7,'A&amp;R'!$H$73:$H$92)</f>
        <v>0</v>
      </c>
      <c r="CS74" s="908">
        <f>SUMIF('A&amp;R'!$C$73:$C$92,CS$7,'A&amp;R'!$H$73:$H$92)</f>
        <v>0</v>
      </c>
      <c r="CT74" s="908">
        <f>SUMIF('A&amp;R'!$C$73:$C$92,CT$7,'A&amp;R'!$H$73:$H$92)</f>
        <v>0</v>
      </c>
      <c r="CU74" s="908">
        <f>SUMIF('A&amp;R'!$C$73:$C$92,CU$7,'A&amp;R'!$H$73:$H$92)</f>
        <v>0</v>
      </c>
      <c r="CV74" s="908">
        <f>SUMIF('A&amp;R'!$C$73:$C$92,CV$7,'A&amp;R'!$H$73:$H$92)</f>
        <v>0</v>
      </c>
      <c r="CW74" s="908">
        <f>SUMIF('A&amp;R'!$C$73:$C$92,CW$7,'A&amp;R'!$H$73:$H$92)</f>
        <v>0</v>
      </c>
      <c r="CX74" s="908">
        <f>SUMIF('A&amp;R'!$C$73:$C$92,CX$7,'A&amp;R'!$H$73:$H$92)</f>
        <v>0</v>
      </c>
      <c r="CY74" s="908">
        <f>SUMIF('A&amp;R'!$C$73:$C$92,CY$7,'A&amp;R'!$H$73:$H$92)</f>
        <v>0</v>
      </c>
      <c r="CZ74" s="908">
        <f>SUMIF('A&amp;R'!$C$73:$C$92,CZ$7,'A&amp;R'!$H$73:$H$92)</f>
        <v>0</v>
      </c>
      <c r="DA74" s="908">
        <f>SUMIF('A&amp;R'!$C$73:$C$92,DA$7,'A&amp;R'!$H$73:$H$92)</f>
        <v>0</v>
      </c>
      <c r="DB74" s="908">
        <f>SUMIF('A&amp;R'!$C$73:$C$92,DB$7,'A&amp;R'!$H$73:$H$92)</f>
        <v>0</v>
      </c>
      <c r="DC74" s="908">
        <f>SUMIF('A&amp;R'!$C$73:$C$92,DC$7,'A&amp;R'!$H$73:$H$92)</f>
        <v>0</v>
      </c>
      <c r="DD74" s="908">
        <f>SUMIF('A&amp;R'!$C$73:$C$92,DD$7,'A&amp;R'!$H$73:$H$92)</f>
        <v>0</v>
      </c>
      <c r="DE74" s="908">
        <f>SUMIF('A&amp;R'!$C$73:$C$92,DE$7,'A&amp;R'!$H$73:$H$92)</f>
        <v>0</v>
      </c>
      <c r="DF74" s="908">
        <f>SUMIF('A&amp;R'!$C$73:$C$92,DF$7,'A&amp;R'!$H$73:$H$92)</f>
        <v>0</v>
      </c>
      <c r="DG74" s="908">
        <f>SUMIF('A&amp;R'!$C$73:$C$92,DG$7,'A&amp;R'!$H$73:$H$92)</f>
        <v>0</v>
      </c>
      <c r="DH74" s="908">
        <f>SUMIF('A&amp;R'!$C$73:$C$92,DH$7,'A&amp;R'!$H$73:$H$92)</f>
        <v>0</v>
      </c>
      <c r="DI74" s="908">
        <f>SUMIF('A&amp;R'!$C$73:$C$92,DI$7,'A&amp;R'!$H$73:$H$92)</f>
        <v>0</v>
      </c>
      <c r="DJ74" s="908">
        <f>SUMIF('A&amp;R'!$C$73:$C$92,DJ$7,'A&amp;R'!$H$73:$H$92)</f>
        <v>0</v>
      </c>
      <c r="DK74" s="908">
        <f>SUMIF('A&amp;R'!$C$73:$C$92,DK$7,'A&amp;R'!$H$73:$H$92)</f>
        <v>0</v>
      </c>
      <c r="DL74" s="908">
        <f>SUMIF('A&amp;R'!$C$73:$C$92,DL$7,'A&amp;R'!$H$73:$H$92)</f>
        <v>0</v>
      </c>
      <c r="DM74" s="908">
        <f>SUMIF('A&amp;R'!$C$73:$C$92,DM$7,'A&amp;R'!$H$73:$H$92)</f>
        <v>0</v>
      </c>
      <c r="DN74" s="908">
        <f>SUMIF('A&amp;R'!$C$73:$C$92,DN$7,'A&amp;R'!$H$73:$H$92)</f>
        <v>0</v>
      </c>
      <c r="DO74" s="908">
        <f>SUMIF('A&amp;R'!$C$73:$C$92,DO$7,'A&amp;R'!$H$73:$H$92)</f>
        <v>0</v>
      </c>
      <c r="DP74" s="908">
        <f>SUMIF('A&amp;R'!$C$73:$C$92,DP$7,'A&amp;R'!$H$73:$H$92)</f>
        <v>0</v>
      </c>
      <c r="DQ74" s="908">
        <f>SUMIF('A&amp;R'!$C$73:$C$92,DQ$7,'A&amp;R'!$H$73:$H$92)</f>
        <v>0</v>
      </c>
      <c r="DR74" s="908">
        <f>SUMIF('A&amp;R'!$C$73:$C$92,DR$7,'A&amp;R'!$H$73:$H$92)</f>
        <v>0</v>
      </c>
      <c r="DS74" s="908">
        <f>SUMIF('A&amp;R'!$C$73:$C$92,DS$7,'A&amp;R'!$H$73:$H$92)</f>
        <v>0</v>
      </c>
      <c r="DT74" s="908">
        <f>SUMIF('A&amp;R'!$C$73:$C$92,DT$7,'A&amp;R'!$H$73:$H$92)</f>
        <v>0</v>
      </c>
      <c r="DU74" s="908">
        <f>SUMIF('A&amp;R'!$C$73:$C$92,DU$7,'A&amp;R'!$H$73:$H$92)</f>
        <v>0</v>
      </c>
      <c r="DV74" s="908">
        <f>SUMIF('A&amp;R'!$C$73:$C$92,DV$7,'A&amp;R'!$H$73:$H$92)</f>
        <v>0</v>
      </c>
      <c r="DW74" s="908">
        <f>SUMIF('A&amp;R'!$C$73:$C$92,DW$7,'A&amp;R'!$H$73:$H$92)</f>
        <v>0</v>
      </c>
    </row>
    <row r="75" spans="2:127" ht="11.25" customHeight="1">
      <c r="B75" s="985"/>
      <c r="C75" s="911" t="s">
        <v>580</v>
      </c>
      <c r="D75" s="912"/>
      <c r="E75" s="912"/>
      <c r="F75" s="912"/>
      <c r="G75" s="913">
        <f>'A&amp;R'!K103</f>
        <v>46691</v>
      </c>
      <c r="H75" s="921">
        <f>'A&amp;R'!I103</f>
        <v>0</v>
      </c>
      <c r="I75" s="921">
        <f>'A&amp;R'!F103*'A&amp;R'!F102</f>
        <v>7.4999999999999997E-2</v>
      </c>
      <c r="J75" s="921">
        <f>'A&amp;R'!F103</f>
        <v>7.4999999999999997E-2</v>
      </c>
      <c r="K75" s="918"/>
      <c r="L75" s="98"/>
      <c r="M75" s="920">
        <f>M$74*$J75*(6/12)*(M$54&lt;=$G$76)</f>
        <v>0</v>
      </c>
      <c r="N75" s="920">
        <f>N$74*$J75*(6/12)*(N$54&lt;=$G$76)</f>
        <v>555000</v>
      </c>
      <c r="O75" s="920">
        <f>O$74*$J75*(6/12)*(O$54&lt;=$G$76)</f>
        <v>555000</v>
      </c>
      <c r="P75" s="920">
        <f>P$74*$J75*(6/12)*(P$54&lt;=$G$76)</f>
        <v>0</v>
      </c>
      <c r="Q75" s="920">
        <f>Q$74*$J75*(6/12)*(Q$54&lt;=$G$76)</f>
        <v>0</v>
      </c>
      <c r="R75" s="920">
        <f t="shared" ref="R75:CB75" si="43">R$74*$J75*(6/12)*(R$54&lt;=$G$76)</f>
        <v>0</v>
      </c>
      <c r="S75" s="920">
        <f t="shared" si="43"/>
        <v>0</v>
      </c>
      <c r="T75" s="920">
        <f t="shared" si="43"/>
        <v>0</v>
      </c>
      <c r="U75" s="920">
        <f t="shared" si="43"/>
        <v>0</v>
      </c>
      <c r="V75" s="920">
        <f t="shared" si="43"/>
        <v>0</v>
      </c>
      <c r="W75" s="920">
        <f t="shared" si="43"/>
        <v>0</v>
      </c>
      <c r="X75" s="920">
        <f t="shared" si="43"/>
        <v>0</v>
      </c>
      <c r="Y75" s="920">
        <f t="shared" si="43"/>
        <v>0</v>
      </c>
      <c r="Z75" s="920">
        <f t="shared" si="43"/>
        <v>0</v>
      </c>
      <c r="AA75" s="920">
        <f t="shared" si="43"/>
        <v>0</v>
      </c>
      <c r="AB75" s="920">
        <f t="shared" si="43"/>
        <v>0</v>
      </c>
      <c r="AC75" s="920">
        <f t="shared" si="43"/>
        <v>0</v>
      </c>
      <c r="AD75" s="920">
        <f t="shared" si="43"/>
        <v>0</v>
      </c>
      <c r="AE75" s="920">
        <f t="shared" si="43"/>
        <v>0</v>
      </c>
      <c r="AF75" s="920">
        <f t="shared" si="43"/>
        <v>0</v>
      </c>
      <c r="AG75" s="920">
        <f t="shared" si="43"/>
        <v>0</v>
      </c>
      <c r="AH75" s="920">
        <f t="shared" si="43"/>
        <v>0</v>
      </c>
      <c r="AI75" s="920">
        <f t="shared" si="43"/>
        <v>0</v>
      </c>
      <c r="AJ75" s="920">
        <f t="shared" si="43"/>
        <v>0</v>
      </c>
      <c r="AK75" s="920">
        <f t="shared" si="43"/>
        <v>0</v>
      </c>
      <c r="AL75" s="920">
        <f t="shared" si="43"/>
        <v>0</v>
      </c>
      <c r="AM75" s="920">
        <f t="shared" si="43"/>
        <v>0</v>
      </c>
      <c r="AN75" s="920">
        <f t="shared" si="43"/>
        <v>0</v>
      </c>
      <c r="AO75" s="920">
        <f t="shared" si="43"/>
        <v>0</v>
      </c>
      <c r="AP75" s="920">
        <f t="shared" si="43"/>
        <v>0</v>
      </c>
      <c r="AQ75" s="920">
        <f t="shared" si="43"/>
        <v>0</v>
      </c>
      <c r="AR75" s="920">
        <f t="shared" si="43"/>
        <v>0</v>
      </c>
      <c r="AS75" s="920">
        <f t="shared" si="43"/>
        <v>0</v>
      </c>
      <c r="AT75" s="920">
        <f t="shared" si="43"/>
        <v>0</v>
      </c>
      <c r="AU75" s="920">
        <f t="shared" si="43"/>
        <v>0</v>
      </c>
      <c r="AV75" s="920">
        <f t="shared" si="43"/>
        <v>0</v>
      </c>
      <c r="AW75" s="920">
        <f t="shared" si="43"/>
        <v>0</v>
      </c>
      <c r="AX75" s="920">
        <f t="shared" si="43"/>
        <v>0</v>
      </c>
      <c r="AY75" s="920">
        <f t="shared" si="43"/>
        <v>0</v>
      </c>
      <c r="AZ75" s="920">
        <f t="shared" si="43"/>
        <v>0</v>
      </c>
      <c r="BA75" s="920">
        <f t="shared" si="43"/>
        <v>0</v>
      </c>
      <c r="BB75" s="920">
        <f t="shared" si="43"/>
        <v>0</v>
      </c>
      <c r="BC75" s="920">
        <f t="shared" si="43"/>
        <v>0</v>
      </c>
      <c r="BD75" s="920">
        <f t="shared" si="43"/>
        <v>0</v>
      </c>
      <c r="BE75" s="920">
        <f t="shared" si="43"/>
        <v>0</v>
      </c>
      <c r="BF75" s="920">
        <f t="shared" si="43"/>
        <v>0</v>
      </c>
      <c r="BG75" s="920">
        <f t="shared" si="43"/>
        <v>0</v>
      </c>
      <c r="BH75" s="920">
        <f t="shared" si="43"/>
        <v>0</v>
      </c>
      <c r="BI75" s="920">
        <f t="shared" si="43"/>
        <v>0</v>
      </c>
      <c r="BJ75" s="920">
        <f t="shared" si="43"/>
        <v>0</v>
      </c>
      <c r="BK75" s="920">
        <f t="shared" si="43"/>
        <v>0</v>
      </c>
      <c r="BL75" s="920">
        <f t="shared" si="43"/>
        <v>0</v>
      </c>
      <c r="BM75" s="920">
        <f t="shared" si="43"/>
        <v>0</v>
      </c>
      <c r="BN75" s="920">
        <f t="shared" si="43"/>
        <v>0</v>
      </c>
      <c r="BO75" s="920">
        <f t="shared" si="43"/>
        <v>0</v>
      </c>
      <c r="BP75" s="920">
        <f t="shared" si="43"/>
        <v>0</v>
      </c>
      <c r="BQ75" s="920">
        <f t="shared" si="43"/>
        <v>0</v>
      </c>
      <c r="BR75" s="920">
        <f t="shared" si="43"/>
        <v>0</v>
      </c>
      <c r="BS75" s="920">
        <f t="shared" si="43"/>
        <v>0</v>
      </c>
      <c r="BT75" s="920">
        <f t="shared" si="43"/>
        <v>0</v>
      </c>
      <c r="BU75" s="920">
        <f t="shared" si="43"/>
        <v>0</v>
      </c>
      <c r="BV75" s="920">
        <f t="shared" si="43"/>
        <v>0</v>
      </c>
      <c r="BW75" s="920">
        <f t="shared" si="43"/>
        <v>0</v>
      </c>
      <c r="BX75" s="920">
        <f t="shared" si="43"/>
        <v>0</v>
      </c>
      <c r="BY75" s="920">
        <f t="shared" si="43"/>
        <v>0</v>
      </c>
      <c r="BZ75" s="920">
        <f t="shared" si="43"/>
        <v>0</v>
      </c>
      <c r="CA75" s="920">
        <f t="shared" si="43"/>
        <v>0</v>
      </c>
      <c r="CB75" s="920">
        <f t="shared" si="43"/>
        <v>0</v>
      </c>
      <c r="CC75" s="920">
        <f t="shared" ref="CC75:DW75" si="44">CC$74*$J75*(6/12)*(CC$54&lt;=$G$76)</f>
        <v>0</v>
      </c>
      <c r="CD75" s="920">
        <f t="shared" si="44"/>
        <v>0</v>
      </c>
      <c r="CE75" s="920">
        <f t="shared" si="44"/>
        <v>0</v>
      </c>
      <c r="CF75" s="920">
        <f t="shared" si="44"/>
        <v>0</v>
      </c>
      <c r="CG75" s="920">
        <f t="shared" si="44"/>
        <v>0</v>
      </c>
      <c r="CH75" s="920">
        <f t="shared" si="44"/>
        <v>0</v>
      </c>
      <c r="CI75" s="920">
        <f t="shared" si="44"/>
        <v>0</v>
      </c>
      <c r="CJ75" s="920">
        <f t="shared" si="44"/>
        <v>0</v>
      </c>
      <c r="CK75" s="920">
        <f t="shared" si="44"/>
        <v>0</v>
      </c>
      <c r="CL75" s="920">
        <f t="shared" si="44"/>
        <v>0</v>
      </c>
      <c r="CM75" s="920">
        <f t="shared" si="44"/>
        <v>0</v>
      </c>
      <c r="CN75" s="920">
        <f t="shared" si="44"/>
        <v>0</v>
      </c>
      <c r="CO75" s="920">
        <f t="shared" si="44"/>
        <v>0</v>
      </c>
      <c r="CP75" s="920">
        <f t="shared" si="44"/>
        <v>0</v>
      </c>
      <c r="CQ75" s="920">
        <f t="shared" si="44"/>
        <v>0</v>
      </c>
      <c r="CR75" s="920">
        <f t="shared" si="44"/>
        <v>0</v>
      </c>
      <c r="CS75" s="920">
        <f t="shared" si="44"/>
        <v>0</v>
      </c>
      <c r="CT75" s="920">
        <f t="shared" si="44"/>
        <v>0</v>
      </c>
      <c r="CU75" s="920">
        <f t="shared" si="44"/>
        <v>0</v>
      </c>
      <c r="CV75" s="920">
        <f t="shared" si="44"/>
        <v>0</v>
      </c>
      <c r="CW75" s="920">
        <f t="shared" si="44"/>
        <v>0</v>
      </c>
      <c r="CX75" s="920">
        <f t="shared" si="44"/>
        <v>0</v>
      </c>
      <c r="CY75" s="920">
        <f t="shared" si="44"/>
        <v>0</v>
      </c>
      <c r="CZ75" s="920">
        <f t="shared" si="44"/>
        <v>0</v>
      </c>
      <c r="DA75" s="920">
        <f t="shared" si="44"/>
        <v>0</v>
      </c>
      <c r="DB75" s="920">
        <f t="shared" si="44"/>
        <v>0</v>
      </c>
      <c r="DC75" s="920">
        <f t="shared" si="44"/>
        <v>0</v>
      </c>
      <c r="DD75" s="920">
        <f t="shared" si="44"/>
        <v>0</v>
      </c>
      <c r="DE75" s="920">
        <f t="shared" si="44"/>
        <v>0</v>
      </c>
      <c r="DF75" s="920">
        <f t="shared" si="44"/>
        <v>0</v>
      </c>
      <c r="DG75" s="920">
        <f t="shared" si="44"/>
        <v>0</v>
      </c>
      <c r="DH75" s="920">
        <f t="shared" si="44"/>
        <v>0</v>
      </c>
      <c r="DI75" s="920">
        <f t="shared" si="44"/>
        <v>0</v>
      </c>
      <c r="DJ75" s="920">
        <f t="shared" si="44"/>
        <v>0</v>
      </c>
      <c r="DK75" s="920">
        <f t="shared" si="44"/>
        <v>0</v>
      </c>
      <c r="DL75" s="920">
        <f t="shared" si="44"/>
        <v>0</v>
      </c>
      <c r="DM75" s="920">
        <f t="shared" si="44"/>
        <v>0</v>
      </c>
      <c r="DN75" s="920">
        <f t="shared" si="44"/>
        <v>0</v>
      </c>
      <c r="DO75" s="920">
        <f t="shared" si="44"/>
        <v>0</v>
      </c>
      <c r="DP75" s="920">
        <f t="shared" si="44"/>
        <v>0</v>
      </c>
      <c r="DQ75" s="920">
        <f t="shared" si="44"/>
        <v>0</v>
      </c>
      <c r="DR75" s="920">
        <f t="shared" si="44"/>
        <v>0</v>
      </c>
      <c r="DS75" s="920">
        <f t="shared" si="44"/>
        <v>0</v>
      </c>
      <c r="DT75" s="920">
        <f t="shared" si="44"/>
        <v>0</v>
      </c>
      <c r="DU75" s="920">
        <f t="shared" si="44"/>
        <v>0</v>
      </c>
      <c r="DV75" s="920">
        <f t="shared" si="44"/>
        <v>0</v>
      </c>
      <c r="DW75" s="920">
        <f t="shared" si="44"/>
        <v>0</v>
      </c>
    </row>
    <row r="76" spans="2:127" ht="11.25" customHeight="1">
      <c r="B76" s="985"/>
      <c r="C76" s="911" t="s">
        <v>582</v>
      </c>
      <c r="D76" s="912"/>
      <c r="E76" s="912"/>
      <c r="F76" s="912"/>
      <c r="G76" s="913">
        <f>G75</f>
        <v>46691</v>
      </c>
      <c r="H76" s="912"/>
      <c r="I76" s="913"/>
      <c r="J76" s="914"/>
      <c r="K76" s="918">
        <f ca="1">SUM(M76:DW76)</f>
        <v>3939952.0316274604</v>
      </c>
      <c r="L76" s="98"/>
      <c r="M76" s="920">
        <f>MAX(M75-M73,)</f>
        <v>0</v>
      </c>
      <c r="N76" s="920">
        <f ca="1">MAX(N75-N73,)</f>
        <v>2237827.7762699807</v>
      </c>
      <c r="O76" s="920">
        <f t="shared" ref="O76:BZ76" ca="1" si="45">MAX(O75-O73,)</f>
        <v>1702124.2553574797</v>
      </c>
      <c r="P76" s="920">
        <f t="shared" ca="1" si="45"/>
        <v>0</v>
      </c>
      <c r="Q76" s="920">
        <f t="shared" ca="1" si="45"/>
        <v>0</v>
      </c>
      <c r="R76" s="920">
        <f t="shared" ca="1" si="45"/>
        <v>0</v>
      </c>
      <c r="S76" s="920">
        <f t="shared" ca="1" si="45"/>
        <v>0</v>
      </c>
      <c r="T76" s="920">
        <f t="shared" ca="1" si="45"/>
        <v>0</v>
      </c>
      <c r="U76" s="920">
        <f t="shared" ca="1" si="45"/>
        <v>0</v>
      </c>
      <c r="V76" s="920">
        <f t="shared" ca="1" si="45"/>
        <v>0</v>
      </c>
      <c r="W76" s="920">
        <f t="shared" ca="1" si="45"/>
        <v>0</v>
      </c>
      <c r="X76" s="920">
        <f t="shared" ca="1" si="45"/>
        <v>0</v>
      </c>
      <c r="Y76" s="920">
        <f t="shared" ref="Y76:AG76" ca="1" si="46">MAX(Y75-Y73,)</f>
        <v>0</v>
      </c>
      <c r="Z76" s="920">
        <f t="shared" ca="1" si="46"/>
        <v>0</v>
      </c>
      <c r="AA76" s="920">
        <f t="shared" ca="1" si="46"/>
        <v>0</v>
      </c>
      <c r="AB76" s="920">
        <f t="shared" ca="1" si="46"/>
        <v>0</v>
      </c>
      <c r="AC76" s="920">
        <f t="shared" ca="1" si="46"/>
        <v>0</v>
      </c>
      <c r="AD76" s="920">
        <f t="shared" ca="1" si="46"/>
        <v>0</v>
      </c>
      <c r="AE76" s="920">
        <f t="shared" ca="1" si="46"/>
        <v>0</v>
      </c>
      <c r="AF76" s="920">
        <f t="shared" ca="1" si="46"/>
        <v>0</v>
      </c>
      <c r="AG76" s="920">
        <f t="shared" ca="1" si="46"/>
        <v>0</v>
      </c>
      <c r="AH76" s="920">
        <f t="shared" si="45"/>
        <v>0</v>
      </c>
      <c r="AI76" s="920">
        <f t="shared" si="45"/>
        <v>0</v>
      </c>
      <c r="AJ76" s="920">
        <f t="shared" si="45"/>
        <v>0</v>
      </c>
      <c r="AK76" s="920">
        <f t="shared" si="45"/>
        <v>0</v>
      </c>
      <c r="AL76" s="920">
        <f t="shared" si="45"/>
        <v>0</v>
      </c>
      <c r="AM76" s="920">
        <f t="shared" si="45"/>
        <v>0</v>
      </c>
      <c r="AN76" s="920">
        <f t="shared" si="45"/>
        <v>0</v>
      </c>
      <c r="AO76" s="920">
        <f t="shared" si="45"/>
        <v>0</v>
      </c>
      <c r="AP76" s="920">
        <f t="shared" si="45"/>
        <v>0</v>
      </c>
      <c r="AQ76" s="920">
        <f t="shared" si="45"/>
        <v>0</v>
      </c>
      <c r="AR76" s="920">
        <f t="shared" si="45"/>
        <v>0</v>
      </c>
      <c r="AS76" s="920">
        <f t="shared" si="45"/>
        <v>0</v>
      </c>
      <c r="AT76" s="920">
        <f t="shared" si="45"/>
        <v>0</v>
      </c>
      <c r="AU76" s="920">
        <f t="shared" si="45"/>
        <v>0</v>
      </c>
      <c r="AV76" s="920">
        <f t="shared" si="45"/>
        <v>0</v>
      </c>
      <c r="AW76" s="920">
        <f t="shared" si="45"/>
        <v>0</v>
      </c>
      <c r="AX76" s="920">
        <f t="shared" si="45"/>
        <v>0</v>
      </c>
      <c r="AY76" s="920">
        <f t="shared" si="45"/>
        <v>0</v>
      </c>
      <c r="AZ76" s="920">
        <f t="shared" si="45"/>
        <v>0</v>
      </c>
      <c r="BA76" s="920">
        <f t="shared" si="45"/>
        <v>0</v>
      </c>
      <c r="BB76" s="920">
        <f t="shared" si="45"/>
        <v>0</v>
      </c>
      <c r="BC76" s="920">
        <f t="shared" si="45"/>
        <v>0</v>
      </c>
      <c r="BD76" s="920">
        <f t="shared" si="45"/>
        <v>0</v>
      </c>
      <c r="BE76" s="920">
        <f t="shared" si="45"/>
        <v>0</v>
      </c>
      <c r="BF76" s="920">
        <f t="shared" si="45"/>
        <v>0</v>
      </c>
      <c r="BG76" s="920">
        <f t="shared" si="45"/>
        <v>0</v>
      </c>
      <c r="BH76" s="920">
        <f t="shared" si="45"/>
        <v>0</v>
      </c>
      <c r="BI76" s="920">
        <f t="shared" si="45"/>
        <v>0</v>
      </c>
      <c r="BJ76" s="920">
        <f t="shared" si="45"/>
        <v>0</v>
      </c>
      <c r="BK76" s="920">
        <f t="shared" si="45"/>
        <v>0</v>
      </c>
      <c r="BL76" s="920">
        <f t="shared" si="45"/>
        <v>0</v>
      </c>
      <c r="BM76" s="920">
        <f t="shared" si="45"/>
        <v>0</v>
      </c>
      <c r="BN76" s="920">
        <f t="shared" si="45"/>
        <v>0</v>
      </c>
      <c r="BO76" s="920">
        <f t="shared" si="45"/>
        <v>0</v>
      </c>
      <c r="BP76" s="920">
        <f t="shared" si="45"/>
        <v>0</v>
      </c>
      <c r="BQ76" s="920">
        <f t="shared" si="45"/>
        <v>0</v>
      </c>
      <c r="BR76" s="920">
        <f t="shared" si="45"/>
        <v>0</v>
      </c>
      <c r="BS76" s="920">
        <f t="shared" si="45"/>
        <v>0</v>
      </c>
      <c r="BT76" s="920">
        <f t="shared" si="45"/>
        <v>0</v>
      </c>
      <c r="BU76" s="920">
        <f t="shared" si="45"/>
        <v>0</v>
      </c>
      <c r="BV76" s="920">
        <f t="shared" si="45"/>
        <v>0</v>
      </c>
      <c r="BW76" s="920">
        <f t="shared" si="45"/>
        <v>0</v>
      </c>
      <c r="BX76" s="920">
        <f t="shared" si="45"/>
        <v>0</v>
      </c>
      <c r="BY76" s="920">
        <f t="shared" si="45"/>
        <v>0</v>
      </c>
      <c r="BZ76" s="920">
        <f t="shared" si="45"/>
        <v>0</v>
      </c>
      <c r="CA76" s="920">
        <f t="shared" ref="CA76:DW76" si="47">MAX(CA75-CA73,)</f>
        <v>0</v>
      </c>
      <c r="CB76" s="920">
        <f t="shared" si="47"/>
        <v>0</v>
      </c>
      <c r="CC76" s="920">
        <f t="shared" si="47"/>
        <v>0</v>
      </c>
      <c r="CD76" s="920">
        <f t="shared" si="47"/>
        <v>0</v>
      </c>
      <c r="CE76" s="920">
        <f t="shared" si="47"/>
        <v>0</v>
      </c>
      <c r="CF76" s="920">
        <f t="shared" si="47"/>
        <v>0</v>
      </c>
      <c r="CG76" s="920">
        <f t="shared" si="47"/>
        <v>0</v>
      </c>
      <c r="CH76" s="920">
        <f t="shared" si="47"/>
        <v>0</v>
      </c>
      <c r="CI76" s="920">
        <f t="shared" si="47"/>
        <v>0</v>
      </c>
      <c r="CJ76" s="920">
        <f t="shared" si="47"/>
        <v>0</v>
      </c>
      <c r="CK76" s="920">
        <f t="shared" si="47"/>
        <v>0</v>
      </c>
      <c r="CL76" s="920">
        <f t="shared" si="47"/>
        <v>0</v>
      </c>
      <c r="CM76" s="920">
        <f t="shared" si="47"/>
        <v>0</v>
      </c>
      <c r="CN76" s="920">
        <f t="shared" si="47"/>
        <v>0</v>
      </c>
      <c r="CO76" s="920">
        <f t="shared" si="47"/>
        <v>0</v>
      </c>
      <c r="CP76" s="920">
        <f t="shared" si="47"/>
        <v>0</v>
      </c>
      <c r="CQ76" s="920">
        <f t="shared" si="47"/>
        <v>0</v>
      </c>
      <c r="CR76" s="920">
        <f t="shared" si="47"/>
        <v>0</v>
      </c>
      <c r="CS76" s="920">
        <f t="shared" si="47"/>
        <v>0</v>
      </c>
      <c r="CT76" s="920">
        <f t="shared" si="47"/>
        <v>0</v>
      </c>
      <c r="CU76" s="920">
        <f t="shared" si="47"/>
        <v>0</v>
      </c>
      <c r="CV76" s="920">
        <f t="shared" si="47"/>
        <v>0</v>
      </c>
      <c r="CW76" s="920">
        <f t="shared" si="47"/>
        <v>0</v>
      </c>
      <c r="CX76" s="920">
        <f t="shared" si="47"/>
        <v>0</v>
      </c>
      <c r="CY76" s="920">
        <f t="shared" si="47"/>
        <v>0</v>
      </c>
      <c r="CZ76" s="920">
        <f t="shared" si="47"/>
        <v>0</v>
      </c>
      <c r="DA76" s="920">
        <f t="shared" si="47"/>
        <v>0</v>
      </c>
      <c r="DB76" s="920">
        <f t="shared" si="47"/>
        <v>0</v>
      </c>
      <c r="DC76" s="920">
        <f t="shared" si="47"/>
        <v>0</v>
      </c>
      <c r="DD76" s="920">
        <f t="shared" si="47"/>
        <v>0</v>
      </c>
      <c r="DE76" s="920">
        <f t="shared" si="47"/>
        <v>0</v>
      </c>
      <c r="DF76" s="920">
        <f t="shared" si="47"/>
        <v>0</v>
      </c>
      <c r="DG76" s="920">
        <f t="shared" si="47"/>
        <v>0</v>
      </c>
      <c r="DH76" s="920">
        <f t="shared" si="47"/>
        <v>0</v>
      </c>
      <c r="DI76" s="920">
        <f t="shared" si="47"/>
        <v>0</v>
      </c>
      <c r="DJ76" s="920">
        <f t="shared" si="47"/>
        <v>0</v>
      </c>
      <c r="DK76" s="920">
        <f t="shared" si="47"/>
        <v>0</v>
      </c>
      <c r="DL76" s="920">
        <f t="shared" si="47"/>
        <v>0</v>
      </c>
      <c r="DM76" s="920">
        <f t="shared" si="47"/>
        <v>0</v>
      </c>
      <c r="DN76" s="920">
        <f t="shared" si="47"/>
        <v>0</v>
      </c>
      <c r="DO76" s="920">
        <f t="shared" si="47"/>
        <v>0</v>
      </c>
      <c r="DP76" s="920">
        <f t="shared" si="47"/>
        <v>0</v>
      </c>
      <c r="DQ76" s="920">
        <f t="shared" si="47"/>
        <v>0</v>
      </c>
      <c r="DR76" s="920">
        <f t="shared" si="47"/>
        <v>0</v>
      </c>
      <c r="DS76" s="920">
        <f t="shared" si="47"/>
        <v>0</v>
      </c>
      <c r="DT76" s="920">
        <f t="shared" si="47"/>
        <v>0</v>
      </c>
      <c r="DU76" s="920">
        <f t="shared" si="47"/>
        <v>0</v>
      </c>
      <c r="DV76" s="920">
        <f t="shared" si="47"/>
        <v>0</v>
      </c>
      <c r="DW76" s="920">
        <f t="shared" si="47"/>
        <v>0</v>
      </c>
    </row>
    <row r="77" spans="2:127" ht="11.25" customHeight="1">
      <c r="B77" s="985"/>
      <c r="C77" s="911" t="s">
        <v>583</v>
      </c>
      <c r="D77" s="912"/>
      <c r="E77" s="912"/>
      <c r="F77" s="912"/>
      <c r="G77" s="912"/>
      <c r="H77" s="912"/>
      <c r="I77" s="913"/>
      <c r="J77" s="914" t="b">
        <f ca="1">ABS(K77+K78)&lt;1</f>
        <v>1</v>
      </c>
      <c r="K77" s="918">
        <f ca="1">SUM(M77:DW77)</f>
        <v>-3939952.0316274604</v>
      </c>
      <c r="L77" s="98"/>
      <c r="M77" s="920">
        <f>-M76</f>
        <v>0</v>
      </c>
      <c r="N77" s="920">
        <f t="shared" ref="N77:BY77" ca="1" si="48">-N76</f>
        <v>-2237827.7762699807</v>
      </c>
      <c r="O77" s="920">
        <f t="shared" ca="1" si="48"/>
        <v>-1702124.2553574797</v>
      </c>
      <c r="P77" s="920">
        <f t="shared" ca="1" si="48"/>
        <v>0</v>
      </c>
      <c r="Q77" s="920">
        <f t="shared" ca="1" si="48"/>
        <v>0</v>
      </c>
      <c r="R77" s="920">
        <f t="shared" ca="1" si="48"/>
        <v>0</v>
      </c>
      <c r="S77" s="920">
        <f t="shared" ca="1" si="48"/>
        <v>0</v>
      </c>
      <c r="T77" s="920">
        <f t="shared" ca="1" si="48"/>
        <v>0</v>
      </c>
      <c r="U77" s="920">
        <f t="shared" ca="1" si="48"/>
        <v>0</v>
      </c>
      <c r="V77" s="920">
        <f t="shared" ca="1" si="48"/>
        <v>0</v>
      </c>
      <c r="W77" s="920">
        <f t="shared" ca="1" si="48"/>
        <v>0</v>
      </c>
      <c r="X77" s="920">
        <f t="shared" ca="1" si="48"/>
        <v>0</v>
      </c>
      <c r="Y77" s="920">
        <f t="shared" ca="1" si="48"/>
        <v>0</v>
      </c>
      <c r="Z77" s="920">
        <f t="shared" ca="1" si="48"/>
        <v>0</v>
      </c>
      <c r="AA77" s="920">
        <f t="shared" ca="1" si="48"/>
        <v>0</v>
      </c>
      <c r="AB77" s="920">
        <f t="shared" ca="1" si="48"/>
        <v>0</v>
      </c>
      <c r="AC77" s="920">
        <f t="shared" ca="1" si="48"/>
        <v>0</v>
      </c>
      <c r="AD77" s="920">
        <f t="shared" ca="1" si="48"/>
        <v>0</v>
      </c>
      <c r="AE77" s="920">
        <f t="shared" ca="1" si="48"/>
        <v>0</v>
      </c>
      <c r="AF77" s="920">
        <f t="shared" ca="1" si="48"/>
        <v>0</v>
      </c>
      <c r="AG77" s="920">
        <f t="shared" ca="1" si="48"/>
        <v>0</v>
      </c>
      <c r="AH77" s="920">
        <f t="shared" si="48"/>
        <v>0</v>
      </c>
      <c r="AI77" s="920">
        <f t="shared" si="48"/>
        <v>0</v>
      </c>
      <c r="AJ77" s="920">
        <f t="shared" si="48"/>
        <v>0</v>
      </c>
      <c r="AK77" s="920">
        <f t="shared" si="48"/>
        <v>0</v>
      </c>
      <c r="AL77" s="920">
        <f t="shared" si="48"/>
        <v>0</v>
      </c>
      <c r="AM77" s="920">
        <f t="shared" si="48"/>
        <v>0</v>
      </c>
      <c r="AN77" s="920">
        <f t="shared" si="48"/>
        <v>0</v>
      </c>
      <c r="AO77" s="920">
        <f t="shared" si="48"/>
        <v>0</v>
      </c>
      <c r="AP77" s="920">
        <f t="shared" si="48"/>
        <v>0</v>
      </c>
      <c r="AQ77" s="920">
        <f t="shared" si="48"/>
        <v>0</v>
      </c>
      <c r="AR77" s="920">
        <f t="shared" si="48"/>
        <v>0</v>
      </c>
      <c r="AS77" s="920">
        <f t="shared" si="48"/>
        <v>0</v>
      </c>
      <c r="AT77" s="920">
        <f t="shared" si="48"/>
        <v>0</v>
      </c>
      <c r="AU77" s="920">
        <f t="shared" si="48"/>
        <v>0</v>
      </c>
      <c r="AV77" s="920">
        <f t="shared" si="48"/>
        <v>0</v>
      </c>
      <c r="AW77" s="920">
        <f t="shared" si="48"/>
        <v>0</v>
      </c>
      <c r="AX77" s="920">
        <f t="shared" si="48"/>
        <v>0</v>
      </c>
      <c r="AY77" s="920">
        <f t="shared" si="48"/>
        <v>0</v>
      </c>
      <c r="AZ77" s="920">
        <f t="shared" si="48"/>
        <v>0</v>
      </c>
      <c r="BA77" s="920">
        <f t="shared" si="48"/>
        <v>0</v>
      </c>
      <c r="BB77" s="920">
        <f t="shared" si="48"/>
        <v>0</v>
      </c>
      <c r="BC77" s="920">
        <f t="shared" si="48"/>
        <v>0</v>
      </c>
      <c r="BD77" s="920">
        <f t="shared" si="48"/>
        <v>0</v>
      </c>
      <c r="BE77" s="920">
        <f t="shared" si="48"/>
        <v>0</v>
      </c>
      <c r="BF77" s="920">
        <f t="shared" si="48"/>
        <v>0</v>
      </c>
      <c r="BG77" s="920">
        <f t="shared" si="48"/>
        <v>0</v>
      </c>
      <c r="BH77" s="920">
        <f t="shared" si="48"/>
        <v>0</v>
      </c>
      <c r="BI77" s="920">
        <f t="shared" si="48"/>
        <v>0</v>
      </c>
      <c r="BJ77" s="920">
        <f t="shared" si="48"/>
        <v>0</v>
      </c>
      <c r="BK77" s="920">
        <f t="shared" si="48"/>
        <v>0</v>
      </c>
      <c r="BL77" s="920">
        <f t="shared" si="48"/>
        <v>0</v>
      </c>
      <c r="BM77" s="920">
        <f t="shared" si="48"/>
        <v>0</v>
      </c>
      <c r="BN77" s="920">
        <f t="shared" si="48"/>
        <v>0</v>
      </c>
      <c r="BO77" s="920">
        <f t="shared" si="48"/>
        <v>0</v>
      </c>
      <c r="BP77" s="920">
        <f t="shared" si="48"/>
        <v>0</v>
      </c>
      <c r="BQ77" s="920">
        <f t="shared" si="48"/>
        <v>0</v>
      </c>
      <c r="BR77" s="920">
        <f t="shared" si="48"/>
        <v>0</v>
      </c>
      <c r="BS77" s="920">
        <f t="shared" si="48"/>
        <v>0</v>
      </c>
      <c r="BT77" s="920">
        <f t="shared" si="48"/>
        <v>0</v>
      </c>
      <c r="BU77" s="920">
        <f t="shared" si="48"/>
        <v>0</v>
      </c>
      <c r="BV77" s="920">
        <f t="shared" si="48"/>
        <v>0</v>
      </c>
      <c r="BW77" s="920">
        <f t="shared" si="48"/>
        <v>0</v>
      </c>
      <c r="BX77" s="920">
        <f t="shared" si="48"/>
        <v>0</v>
      </c>
      <c r="BY77" s="920">
        <f t="shared" si="48"/>
        <v>0</v>
      </c>
      <c r="BZ77" s="920">
        <f t="shared" ref="BZ77:DW77" si="49">-BZ76</f>
        <v>0</v>
      </c>
      <c r="CA77" s="920">
        <f t="shared" si="49"/>
        <v>0</v>
      </c>
      <c r="CB77" s="920">
        <f t="shared" si="49"/>
        <v>0</v>
      </c>
      <c r="CC77" s="920">
        <f t="shared" si="49"/>
        <v>0</v>
      </c>
      <c r="CD77" s="920">
        <f t="shared" si="49"/>
        <v>0</v>
      </c>
      <c r="CE77" s="920">
        <f t="shared" si="49"/>
        <v>0</v>
      </c>
      <c r="CF77" s="920">
        <f t="shared" si="49"/>
        <v>0</v>
      </c>
      <c r="CG77" s="920">
        <f t="shared" si="49"/>
        <v>0</v>
      </c>
      <c r="CH77" s="920">
        <f t="shared" si="49"/>
        <v>0</v>
      </c>
      <c r="CI77" s="920">
        <f t="shared" si="49"/>
        <v>0</v>
      </c>
      <c r="CJ77" s="920">
        <f t="shared" si="49"/>
        <v>0</v>
      </c>
      <c r="CK77" s="920">
        <f t="shared" si="49"/>
        <v>0</v>
      </c>
      <c r="CL77" s="920">
        <f t="shared" si="49"/>
        <v>0</v>
      </c>
      <c r="CM77" s="920">
        <f t="shared" si="49"/>
        <v>0</v>
      </c>
      <c r="CN77" s="920">
        <f t="shared" si="49"/>
        <v>0</v>
      </c>
      <c r="CO77" s="920">
        <f t="shared" si="49"/>
        <v>0</v>
      </c>
      <c r="CP77" s="920">
        <f t="shared" si="49"/>
        <v>0</v>
      </c>
      <c r="CQ77" s="920">
        <f t="shared" si="49"/>
        <v>0</v>
      </c>
      <c r="CR77" s="920">
        <f t="shared" si="49"/>
        <v>0</v>
      </c>
      <c r="CS77" s="920">
        <f t="shared" si="49"/>
        <v>0</v>
      </c>
      <c r="CT77" s="920">
        <f t="shared" si="49"/>
        <v>0</v>
      </c>
      <c r="CU77" s="920">
        <f t="shared" si="49"/>
        <v>0</v>
      </c>
      <c r="CV77" s="920">
        <f t="shared" si="49"/>
        <v>0</v>
      </c>
      <c r="CW77" s="920">
        <f t="shared" si="49"/>
        <v>0</v>
      </c>
      <c r="CX77" s="920">
        <f t="shared" si="49"/>
        <v>0</v>
      </c>
      <c r="CY77" s="920">
        <f t="shared" si="49"/>
        <v>0</v>
      </c>
      <c r="CZ77" s="920">
        <f t="shared" si="49"/>
        <v>0</v>
      </c>
      <c r="DA77" s="920">
        <f t="shared" si="49"/>
        <v>0</v>
      </c>
      <c r="DB77" s="920">
        <f t="shared" si="49"/>
        <v>0</v>
      </c>
      <c r="DC77" s="920">
        <f t="shared" si="49"/>
        <v>0</v>
      </c>
      <c r="DD77" s="920">
        <f t="shared" si="49"/>
        <v>0</v>
      </c>
      <c r="DE77" s="920">
        <f t="shared" si="49"/>
        <v>0</v>
      </c>
      <c r="DF77" s="920">
        <f t="shared" si="49"/>
        <v>0</v>
      </c>
      <c r="DG77" s="920">
        <f t="shared" si="49"/>
        <v>0</v>
      </c>
      <c r="DH77" s="920">
        <f t="shared" si="49"/>
        <v>0</v>
      </c>
      <c r="DI77" s="920">
        <f t="shared" si="49"/>
        <v>0</v>
      </c>
      <c r="DJ77" s="920">
        <f t="shared" si="49"/>
        <v>0</v>
      </c>
      <c r="DK77" s="920">
        <f t="shared" si="49"/>
        <v>0</v>
      </c>
      <c r="DL77" s="920">
        <f t="shared" si="49"/>
        <v>0</v>
      </c>
      <c r="DM77" s="920">
        <f t="shared" si="49"/>
        <v>0</v>
      </c>
      <c r="DN77" s="920">
        <f t="shared" si="49"/>
        <v>0</v>
      </c>
      <c r="DO77" s="920">
        <f t="shared" si="49"/>
        <v>0</v>
      </c>
      <c r="DP77" s="920">
        <f t="shared" si="49"/>
        <v>0</v>
      </c>
      <c r="DQ77" s="920">
        <f t="shared" si="49"/>
        <v>0</v>
      </c>
      <c r="DR77" s="920">
        <f t="shared" si="49"/>
        <v>0</v>
      </c>
      <c r="DS77" s="920">
        <f t="shared" si="49"/>
        <v>0</v>
      </c>
      <c r="DT77" s="920">
        <f t="shared" si="49"/>
        <v>0</v>
      </c>
      <c r="DU77" s="920">
        <f t="shared" si="49"/>
        <v>0</v>
      </c>
      <c r="DV77" s="920">
        <f t="shared" si="49"/>
        <v>0</v>
      </c>
      <c r="DW77" s="920">
        <f t="shared" si="49"/>
        <v>0</v>
      </c>
    </row>
    <row r="78" spans="2:127" ht="11.25" customHeight="1" thickBot="1">
      <c r="B78" s="986"/>
      <c r="C78" s="998" t="s">
        <v>584</v>
      </c>
      <c r="D78" s="999"/>
      <c r="E78" s="999"/>
      <c r="F78" s="999"/>
      <c r="G78" s="999"/>
      <c r="H78" s="999"/>
      <c r="I78" s="1000"/>
      <c r="J78" s="1001"/>
      <c r="K78" s="1002">
        <f>SUM(M78:DW78)</f>
        <v>3939952.0316274604</v>
      </c>
      <c r="L78" s="98"/>
      <c r="M78" s="1003">
        <v>0</v>
      </c>
      <c r="N78" s="1003">
        <v>2237827.7762699807</v>
      </c>
      <c r="O78" s="1003">
        <v>1702124.2553574797</v>
      </c>
      <c r="P78" s="1003">
        <v>0</v>
      </c>
      <c r="Q78" s="1003">
        <v>0</v>
      </c>
      <c r="R78" s="1003">
        <v>0</v>
      </c>
      <c r="S78" s="1003">
        <v>0</v>
      </c>
      <c r="T78" s="1003">
        <v>0</v>
      </c>
      <c r="U78" s="1003">
        <v>0</v>
      </c>
      <c r="V78" s="1003">
        <v>0</v>
      </c>
      <c r="W78" s="1003">
        <v>0</v>
      </c>
      <c r="X78" s="1003">
        <v>0</v>
      </c>
      <c r="Y78" s="1003">
        <v>0</v>
      </c>
      <c r="Z78" s="1003">
        <v>0</v>
      </c>
      <c r="AA78" s="1003">
        <v>0</v>
      </c>
      <c r="AB78" s="1003">
        <v>0</v>
      </c>
      <c r="AC78" s="1003">
        <v>0</v>
      </c>
      <c r="AD78" s="1003">
        <v>0</v>
      </c>
      <c r="AE78" s="1003">
        <v>0</v>
      </c>
      <c r="AF78" s="1003">
        <v>0</v>
      </c>
      <c r="AG78" s="1003">
        <v>0</v>
      </c>
      <c r="AH78" s="1003">
        <v>0</v>
      </c>
      <c r="AI78" s="1003">
        <v>0</v>
      </c>
      <c r="AJ78" s="1003">
        <v>0</v>
      </c>
      <c r="AK78" s="1003">
        <v>0</v>
      </c>
      <c r="AL78" s="1003">
        <v>0</v>
      </c>
      <c r="AM78" s="1003">
        <v>0</v>
      </c>
      <c r="AN78" s="1003">
        <v>0</v>
      </c>
      <c r="AO78" s="1003">
        <v>0</v>
      </c>
      <c r="AP78" s="1003">
        <v>0</v>
      </c>
      <c r="AQ78" s="1003">
        <v>0</v>
      </c>
      <c r="AR78" s="1003">
        <v>0</v>
      </c>
      <c r="AS78" s="1003">
        <v>0</v>
      </c>
      <c r="AT78" s="1003">
        <v>0</v>
      </c>
      <c r="AU78" s="1003">
        <v>0</v>
      </c>
      <c r="AV78" s="1003">
        <v>0</v>
      </c>
      <c r="AW78" s="1003">
        <v>0</v>
      </c>
      <c r="AX78" s="1003">
        <v>0</v>
      </c>
      <c r="AY78" s="1003">
        <v>0</v>
      </c>
      <c r="AZ78" s="1003">
        <v>0</v>
      </c>
      <c r="BA78" s="1003">
        <v>0</v>
      </c>
      <c r="BB78" s="1003">
        <v>0</v>
      </c>
      <c r="BC78" s="1003">
        <v>0</v>
      </c>
      <c r="BD78" s="1003">
        <v>0</v>
      </c>
      <c r="BE78" s="1003">
        <v>0</v>
      </c>
      <c r="BF78" s="1003">
        <v>0</v>
      </c>
      <c r="BG78" s="1003">
        <v>0</v>
      </c>
      <c r="BH78" s="1003">
        <v>0</v>
      </c>
      <c r="BI78" s="1003">
        <v>0</v>
      </c>
      <c r="BJ78" s="1003">
        <v>0</v>
      </c>
      <c r="BK78" s="1003">
        <v>0</v>
      </c>
      <c r="BL78" s="1003">
        <v>0</v>
      </c>
      <c r="BM78" s="1003">
        <v>0</v>
      </c>
      <c r="BN78" s="1003">
        <v>0</v>
      </c>
      <c r="BO78" s="1003">
        <v>0</v>
      </c>
      <c r="BP78" s="1003">
        <v>0</v>
      </c>
      <c r="BQ78" s="1003">
        <v>0</v>
      </c>
      <c r="BR78" s="1003">
        <v>0</v>
      </c>
      <c r="BS78" s="1003">
        <v>0</v>
      </c>
      <c r="BT78" s="1003">
        <v>0</v>
      </c>
      <c r="BU78" s="1003">
        <v>0</v>
      </c>
      <c r="BV78" s="1003">
        <v>0</v>
      </c>
      <c r="BW78" s="1003">
        <v>0</v>
      </c>
      <c r="BX78" s="1003">
        <v>0</v>
      </c>
      <c r="BY78" s="1003">
        <v>0</v>
      </c>
      <c r="BZ78" s="1003">
        <v>0</v>
      </c>
      <c r="CA78" s="1003">
        <v>0</v>
      </c>
      <c r="CB78" s="1003">
        <v>0</v>
      </c>
      <c r="CC78" s="1003">
        <v>0</v>
      </c>
      <c r="CD78" s="1003">
        <v>0</v>
      </c>
      <c r="CE78" s="1003">
        <v>0</v>
      </c>
      <c r="CF78" s="1003">
        <v>0</v>
      </c>
      <c r="CG78" s="1003">
        <v>0</v>
      </c>
      <c r="CH78" s="1003">
        <v>0</v>
      </c>
      <c r="CI78" s="1003">
        <v>0</v>
      </c>
      <c r="CJ78" s="1003">
        <v>0</v>
      </c>
      <c r="CK78" s="1003">
        <v>0</v>
      </c>
      <c r="CL78" s="1003">
        <v>0</v>
      </c>
      <c r="CM78" s="1003">
        <v>0</v>
      </c>
      <c r="CN78" s="1003">
        <v>0</v>
      </c>
      <c r="CO78" s="1003">
        <v>0</v>
      </c>
      <c r="CP78" s="1003">
        <v>0</v>
      </c>
      <c r="CQ78" s="1003">
        <v>0</v>
      </c>
      <c r="CR78" s="1003">
        <v>0</v>
      </c>
      <c r="CS78" s="1003">
        <v>0</v>
      </c>
      <c r="CT78" s="1003">
        <v>0</v>
      </c>
      <c r="CU78" s="1003">
        <v>0</v>
      </c>
      <c r="CV78" s="1003">
        <v>0</v>
      </c>
      <c r="CW78" s="1003">
        <v>0</v>
      </c>
      <c r="CX78" s="1003">
        <v>0</v>
      </c>
      <c r="CY78" s="1003">
        <v>0</v>
      </c>
      <c r="CZ78" s="1003">
        <v>0</v>
      </c>
      <c r="DA78" s="1003">
        <v>0</v>
      </c>
      <c r="DB78" s="1003">
        <v>0</v>
      </c>
      <c r="DC78" s="1003">
        <v>0</v>
      </c>
      <c r="DD78" s="1003">
        <v>0</v>
      </c>
      <c r="DE78" s="1003">
        <v>0</v>
      </c>
      <c r="DF78" s="1003">
        <v>0</v>
      </c>
      <c r="DG78" s="1003">
        <v>0</v>
      </c>
      <c r="DH78" s="1003">
        <v>0</v>
      </c>
      <c r="DI78" s="1003">
        <v>0</v>
      </c>
      <c r="DJ78" s="1003">
        <v>0</v>
      </c>
      <c r="DK78" s="1003">
        <v>0</v>
      </c>
      <c r="DL78" s="1003">
        <v>0</v>
      </c>
      <c r="DM78" s="1003">
        <v>0</v>
      </c>
      <c r="DN78" s="1003">
        <v>0</v>
      </c>
      <c r="DO78" s="1003">
        <v>0</v>
      </c>
      <c r="DP78" s="1003">
        <v>0</v>
      </c>
      <c r="DQ78" s="1003">
        <v>0</v>
      </c>
      <c r="DR78" s="1003">
        <v>0</v>
      </c>
      <c r="DS78" s="1003">
        <v>0</v>
      </c>
      <c r="DT78" s="1003">
        <v>0</v>
      </c>
      <c r="DU78" s="1003">
        <v>0</v>
      </c>
      <c r="DV78" s="1003">
        <v>0</v>
      </c>
      <c r="DW78" s="1003">
        <v>0</v>
      </c>
    </row>
    <row r="79" spans="2:127" ht="11.25" customHeight="1" thickTop="1"/>
    <row r="80" spans="2:127" ht="11.25" customHeight="1">
      <c r="M80" s="90"/>
      <c r="N80" s="90">
        <f ca="1">SUMIF('IS(M)'!$M$60:$ER$60,N$54,'IS(M)'!$M$70:$ER$70)-SUMIF('IS(M)'!$M$60:$ER$60,N$54,'IS(M)'!$M$75:$ER$75)</f>
        <v>192172.22373001929</v>
      </c>
      <c r="O80" s="90">
        <f ca="1">SUMIF('IS(M)'!$M$60:$ER$60,O$54,'IS(M)'!$M$70:$ER$70)-SUMIF('IS(M)'!$M$60:$ER$60,O$54,'IS(M)'!$M$75:$ER$75)</f>
        <v>727875.74464252021</v>
      </c>
      <c r="P80" s="90">
        <f ca="1">SUMIF('IS(M)'!$M$60:$ER$60,P$54,'IS(M)'!$M$70:$ER$70)-SUMIF('IS(M)'!$M$60:$ER$60,P$54,'IS(M)'!$M$75:$ER$75)</f>
        <v>449433.10388313339</v>
      </c>
      <c r="Q80" s="90">
        <f ca="1">SUMIF('IS(M)'!$M$60:$ER$60,Q$54,'IS(M)'!$M$70:$ER$70)-SUMIF('IS(M)'!$M$60:$ER$60,Q$54,'IS(M)'!$M$75:$ER$75)</f>
        <v>851990.24781444005</v>
      </c>
      <c r="R80" s="90">
        <f ca="1">SUMIF('IS(M)'!$M$60:$ER$60,R$54,'IS(M)'!$M$70:$ER$70)-SUMIF('IS(M)'!$M$60:$ER$60,R$54,'IS(M)'!$M$75:$ER$75)</f>
        <v>858176.21332071873</v>
      </c>
      <c r="S80" s="90">
        <f ca="1">SUMIF('IS(M)'!$M$60:$ER$60,S$54,'IS(M)'!$M$70:$ER$70)-SUMIF('IS(M)'!$M$60:$ER$60,S$54,'IS(M)'!$M$75:$ER$75)</f>
        <v>-840000.00000000012</v>
      </c>
      <c r="T80" s="90">
        <f ca="1">SUMIF('IS(M)'!$M$60:$ER$60,T$54,'IS(M)'!$M$70:$ER$70)-SUMIF('IS(M)'!$M$60:$ER$60,T$54,'IS(M)'!$M$75:$ER$75)</f>
        <v>-840000.00000000012</v>
      </c>
      <c r="U80" s="90">
        <f ca="1">SUMIF('IS(M)'!$M$60:$ER$60,U$54,'IS(M)'!$M$70:$ER$70)-SUMIF('IS(M)'!$M$60:$ER$60,U$54,'IS(M)'!$M$75:$ER$75)</f>
        <v>117948.25676668691</v>
      </c>
      <c r="V80" s="90">
        <f ca="1">SUMIF('IS(M)'!$M$60:$ER$60,V$54,'IS(M)'!$M$70:$ER$70)-SUMIF('IS(M)'!$M$60:$ER$60,V$54,'IS(M)'!$M$75:$ER$75)</f>
        <v>1417309.3785133664</v>
      </c>
      <c r="W80" s="90">
        <f ca="1">SUMIF('IS(M)'!$M$60:$ER$60,W$54,'IS(M)'!$M$70:$ER$70)-SUMIF('IS(M)'!$M$60:$ER$60,W$54,'IS(M)'!$M$75:$ER$75)</f>
        <v>1646096.641440114</v>
      </c>
      <c r="X80" s="90">
        <f ca="1">SUMIF('IS(M)'!$M$60:$ER$60,X$54,'IS(M)'!$M$70:$ER$70)-SUMIF('IS(M)'!$M$60:$ER$60,X$54,'IS(M)'!$M$75:$ER$75)</f>
        <v>1945946.380730385</v>
      </c>
      <c r="Y80" s="90">
        <f ca="1">SUMIF('IS(M)'!$M$60:$ER$60,Y$54,'IS(M)'!$M$70:$ER$70)-SUMIF('IS(M)'!$M$60:$ER$60,Y$54,'IS(M)'!$M$75:$ER$75)</f>
        <v>2190012.2318941494</v>
      </c>
      <c r="Z80" s="90">
        <f ca="1">SUMIF('IS(M)'!$M$60:$ER$60,Z$54,'IS(M)'!$M$70:$ER$70)-SUMIF('IS(M)'!$M$60:$ER$60,Z$54,'IS(M)'!$M$75:$ER$75)</f>
        <v>2173001.0053553209</v>
      </c>
      <c r="AA80" s="90">
        <f ca="1">SUMIF('IS(M)'!$M$60:$ER$60,AA$54,'IS(M)'!$M$70:$ER$70)-SUMIF('IS(M)'!$M$60:$ER$60,AA$54,'IS(M)'!$M$75:$ER$75)</f>
        <v>2426207.4371801456</v>
      </c>
      <c r="AB80" s="90">
        <f ca="1">SUMIF('IS(M)'!$M$60:$ER$60,AB$54,'IS(M)'!$M$70:$ER$70)-SUMIF('IS(M)'!$M$60:$ER$60,AB$54,'IS(M)'!$M$75:$ER$75)</f>
        <v>2415762.485072895</v>
      </c>
      <c r="AC80" s="90">
        <f ca="1">SUMIF('IS(M)'!$M$60:$ER$60,AC$54,'IS(M)'!$M$70:$ER$70)-SUMIF('IS(M)'!$M$60:$ER$60,AC$54,'IS(M)'!$M$75:$ER$75)</f>
        <v>1769361.9053656049</v>
      </c>
      <c r="AD80" s="90">
        <f ca="1">SUMIF('IS(M)'!$M$60:$ER$60,AD$54,'IS(M)'!$M$70:$ER$70)-SUMIF('IS(M)'!$M$60:$ER$60,AD$54,'IS(M)'!$M$75:$ER$75)</f>
        <v>2467405.2119484521</v>
      </c>
      <c r="AE80" s="90">
        <f ca="1">SUMIF('IS(M)'!$M$60:$ER$60,AE$54,'IS(M)'!$M$70:$ER$70)-SUMIF('IS(M)'!$M$60:$ER$60,AE$54,'IS(M)'!$M$75:$ER$75)</f>
        <v>2701061.6520488132</v>
      </c>
      <c r="AF80" s="90">
        <f ca="1">SUMIF('IS(M)'!$M$60:$ER$60,AF$54,'IS(M)'!$M$70:$ER$70)-SUMIF('IS(M)'!$M$60:$ER$60,AF$54,'IS(M)'!$M$75:$ER$75)</f>
        <v>2821677.658500541</v>
      </c>
      <c r="AG80" s="90">
        <f ca="1">SUMIF('IS(M)'!$M$60:$ER$60,AG$54,'IS(M)'!$M$70:$ER$70)-SUMIF('IS(M)'!$M$60:$ER$60,AG$54,'IS(M)'!$M$75:$ER$75)</f>
        <v>2972268.950916281</v>
      </c>
      <c r="AH80" s="90">
        <f ca="1">SUMIF('IS(M)'!$M$60:$ER$60,AH$54,'IS(M)'!$M$70:$ER$70)-SUMIF('IS(M)'!$M$60:$ER$60,AH$54,'IS(M)'!$M$75:$ER$75)</f>
        <v>0</v>
      </c>
      <c r="AI80" s="90">
        <f ca="1">SUMIF('IS(M)'!$M$60:$ER$60,AI$54,'IS(M)'!$M$70:$ER$70)-SUMIF('IS(M)'!$M$60:$ER$60,AI$54,'IS(M)'!$M$75:$ER$75)</f>
        <v>0</v>
      </c>
      <c r="AJ80" s="90">
        <f>SUMIF('IS(M)'!$M$60:$ER$60,AJ$54,'IS(M)'!$M$70:$ER$70)-SUMIF('IS(M)'!$M$60:$ER$60,AJ$54,'IS(M)'!$M$75:$ER$75)</f>
        <v>0</v>
      </c>
      <c r="AK80" s="90">
        <f>SUMIF('IS(M)'!$M$60:$ER$60,AK$54,'IS(M)'!$M$70:$ER$70)-SUMIF('IS(M)'!$M$60:$ER$60,AK$54,'IS(M)'!$M$75:$ER$75)</f>
        <v>0</v>
      </c>
      <c r="AL80" s="90">
        <f>SUMIF('IS(M)'!$M$60:$ER$60,AL$54,'IS(M)'!$M$70:$ER$70)-SUMIF('IS(M)'!$M$60:$ER$60,AL$54,'IS(M)'!$M$75:$ER$75)</f>
        <v>0</v>
      </c>
      <c r="AM80" s="90">
        <f>SUMIF('IS(M)'!$M$60:$ER$60,AM$54,'IS(M)'!$M$70:$ER$70)-SUMIF('IS(M)'!$M$60:$ER$60,AM$54,'IS(M)'!$M$75:$ER$75)</f>
        <v>0</v>
      </c>
      <c r="AN80" s="90">
        <f>SUMIF('IS(M)'!$M$60:$ER$60,AN$54,'IS(M)'!$M$70:$ER$70)-SUMIF('IS(M)'!$M$60:$ER$60,AN$54,'IS(M)'!$M$75:$ER$75)</f>
        <v>0</v>
      </c>
      <c r="AO80" s="90">
        <f>SUMIF('IS(M)'!$M$60:$ER$60,AO$54,'IS(M)'!$M$70:$ER$70)-SUMIF('IS(M)'!$M$60:$ER$60,AO$54,'IS(M)'!$M$75:$ER$75)</f>
        <v>0</v>
      </c>
      <c r="AP80" s="90">
        <f>SUMIF('IS(M)'!$M$60:$ER$60,AP$54,'IS(M)'!$M$70:$ER$70)-SUMIF('IS(M)'!$M$60:$ER$60,AP$54,'IS(M)'!$M$75:$ER$75)</f>
        <v>0</v>
      </c>
      <c r="AQ80" s="90">
        <f>SUMIF('IS(M)'!$M$60:$ER$60,AQ$54,'IS(M)'!$M$70:$ER$70)-SUMIF('IS(M)'!$M$60:$ER$60,AQ$54,'IS(M)'!$M$75:$ER$75)</f>
        <v>0</v>
      </c>
      <c r="AR80" s="90">
        <f>SUMIF('IS(M)'!$M$60:$ER$60,AR$54,'IS(M)'!$M$70:$ER$70)-SUMIF('IS(M)'!$M$60:$ER$60,AR$54,'IS(M)'!$M$75:$ER$75)</f>
        <v>0</v>
      </c>
      <c r="AS80" s="90">
        <f>SUMIF('IS(M)'!$M$60:$ER$60,AS$54,'IS(M)'!$M$70:$ER$70)-SUMIF('IS(M)'!$M$60:$ER$60,AS$54,'IS(M)'!$M$75:$ER$75)</f>
        <v>0</v>
      </c>
      <c r="AT80" s="90">
        <f>SUMIF('IS(M)'!$M$60:$ER$60,AT$54,'IS(M)'!$M$70:$ER$70)-SUMIF('IS(M)'!$M$60:$ER$60,AT$54,'IS(M)'!$M$75:$ER$75)</f>
        <v>0</v>
      </c>
      <c r="AU80" s="90">
        <f>SUMIF('IS(M)'!$M$60:$ER$60,AU$54,'IS(M)'!$M$70:$ER$70)-SUMIF('IS(M)'!$M$60:$ER$60,AU$54,'IS(M)'!$M$75:$ER$75)</f>
        <v>0</v>
      </c>
      <c r="AV80" s="90">
        <f>SUMIF('IS(M)'!$M$60:$ER$60,AV$54,'IS(M)'!$M$70:$ER$70)-SUMIF('IS(M)'!$M$60:$ER$60,AV$54,'IS(M)'!$M$75:$ER$75)</f>
        <v>0</v>
      </c>
      <c r="AW80" s="90">
        <f>SUMIF('IS(M)'!$M$60:$ER$60,AW$54,'IS(M)'!$M$70:$ER$70)-SUMIF('IS(M)'!$M$60:$ER$60,AW$54,'IS(M)'!$M$75:$ER$75)</f>
        <v>0</v>
      </c>
      <c r="AX80" s="90">
        <f>SUMIF('IS(M)'!$M$60:$ER$60,AX$54,'IS(M)'!$M$70:$ER$70)-SUMIF('IS(M)'!$M$60:$ER$60,AX$54,'IS(M)'!$M$75:$ER$75)</f>
        <v>0</v>
      </c>
      <c r="AY80" s="90">
        <f>SUMIF('IS(M)'!$M$60:$ER$60,AY$54,'IS(M)'!$M$70:$ER$70)-SUMIF('IS(M)'!$M$60:$ER$60,AY$54,'IS(M)'!$M$75:$ER$75)</f>
        <v>0</v>
      </c>
      <c r="AZ80" s="90">
        <f>SUMIF('IS(M)'!$M$60:$ER$60,AZ$54,'IS(M)'!$M$70:$ER$70)-SUMIF('IS(M)'!$M$60:$ER$60,AZ$54,'IS(M)'!$M$75:$ER$75)</f>
        <v>0</v>
      </c>
      <c r="BA80" s="90">
        <f>SUMIF('IS(M)'!$M$60:$ER$60,BA$54,'IS(M)'!$M$70:$ER$70)-SUMIF('IS(M)'!$M$60:$ER$60,BA$54,'IS(M)'!$M$75:$ER$75)</f>
        <v>0</v>
      </c>
      <c r="BB80" s="90">
        <f>SUMIF('IS(M)'!$M$60:$ER$60,BB$54,'IS(M)'!$M$70:$ER$70)-SUMIF('IS(M)'!$M$60:$ER$60,BB$54,'IS(M)'!$M$75:$ER$75)</f>
        <v>0</v>
      </c>
      <c r="BC80" s="90">
        <f>SUMIF('IS(M)'!$M$60:$ER$60,BC$54,'IS(M)'!$M$70:$ER$70)-SUMIF('IS(M)'!$M$60:$ER$60,BC$54,'IS(M)'!$M$75:$ER$75)</f>
        <v>0</v>
      </c>
      <c r="BD80" s="90">
        <f>SUMIF('IS(M)'!$M$60:$ER$60,BD$54,'IS(M)'!$M$70:$ER$70)-SUMIF('IS(M)'!$M$60:$ER$60,BD$54,'IS(M)'!$M$75:$ER$75)</f>
        <v>0</v>
      </c>
      <c r="BE80" s="90">
        <f>SUMIF('IS(M)'!$M$60:$ER$60,BE$54,'IS(M)'!$M$70:$ER$70)-SUMIF('IS(M)'!$M$60:$ER$60,BE$54,'IS(M)'!$M$75:$ER$75)</f>
        <v>0</v>
      </c>
      <c r="BF80" s="90">
        <f>SUMIF('IS(M)'!$M$60:$ER$60,BF$54,'IS(M)'!$M$70:$ER$70)-SUMIF('IS(M)'!$M$60:$ER$60,BF$54,'IS(M)'!$M$75:$ER$75)</f>
        <v>0</v>
      </c>
      <c r="BG80" s="90">
        <f>SUMIF('IS(M)'!$M$60:$ER$60,BG$54,'IS(M)'!$M$70:$ER$70)-SUMIF('IS(M)'!$M$60:$ER$60,BG$54,'IS(M)'!$M$75:$ER$75)</f>
        <v>0</v>
      </c>
      <c r="BH80" s="90">
        <f>SUMIF('IS(M)'!$M$60:$ER$60,BH$54,'IS(M)'!$M$70:$ER$70)-SUMIF('IS(M)'!$M$60:$ER$60,BH$54,'IS(M)'!$M$75:$ER$75)</f>
        <v>0</v>
      </c>
      <c r="BI80" s="90">
        <f>SUMIF('IS(M)'!$M$60:$ER$60,BI$54,'IS(M)'!$M$70:$ER$70)-SUMIF('IS(M)'!$M$60:$ER$60,BI$54,'IS(M)'!$M$75:$ER$75)</f>
        <v>0</v>
      </c>
      <c r="BJ80" s="90">
        <f>SUMIF('IS(M)'!$M$60:$ER$60,BJ$54,'IS(M)'!$M$70:$ER$70)-SUMIF('IS(M)'!$M$60:$ER$60,BJ$54,'IS(M)'!$M$75:$ER$75)</f>
        <v>0</v>
      </c>
      <c r="BK80" s="90">
        <f>SUMIF('IS(M)'!$M$60:$ER$60,BK$54,'IS(M)'!$M$70:$ER$70)-SUMIF('IS(M)'!$M$60:$ER$60,BK$54,'IS(M)'!$M$75:$ER$75)</f>
        <v>0</v>
      </c>
      <c r="BL80" s="90">
        <f>SUMIF('IS(M)'!$M$60:$ER$60,BL$54,'IS(M)'!$M$70:$ER$70)-SUMIF('IS(M)'!$M$60:$ER$60,BL$54,'IS(M)'!$M$75:$ER$75)</f>
        <v>0</v>
      </c>
      <c r="BM80" s="90">
        <f>SUMIF('IS(M)'!$M$60:$ER$60,BM$54,'IS(M)'!$M$70:$ER$70)-SUMIF('IS(M)'!$M$60:$ER$60,BM$54,'IS(M)'!$M$75:$ER$75)</f>
        <v>0</v>
      </c>
      <c r="BN80" s="90">
        <f>SUMIF('IS(M)'!$M$60:$ER$60,BN$54,'IS(M)'!$M$70:$ER$70)-SUMIF('IS(M)'!$M$60:$ER$60,BN$54,'IS(M)'!$M$75:$ER$75)</f>
        <v>0</v>
      </c>
      <c r="BO80" s="90">
        <f>SUMIF('IS(M)'!$M$60:$ER$60,BO$54,'IS(M)'!$M$70:$ER$70)-SUMIF('IS(M)'!$M$60:$ER$60,BO$54,'IS(M)'!$M$75:$ER$75)</f>
        <v>0</v>
      </c>
      <c r="BP80" s="90">
        <f>SUMIF('IS(M)'!$M$60:$ER$60,BP$54,'IS(M)'!$M$70:$ER$70)-SUMIF('IS(M)'!$M$60:$ER$60,BP$54,'IS(M)'!$M$75:$ER$75)</f>
        <v>0</v>
      </c>
      <c r="BQ80" s="90">
        <f>SUMIF('IS(M)'!$M$60:$ER$60,BQ$54,'IS(M)'!$M$70:$ER$70)-SUMIF('IS(M)'!$M$60:$ER$60,BQ$54,'IS(M)'!$M$75:$ER$75)</f>
        <v>0</v>
      </c>
      <c r="BR80" s="90">
        <f>SUMIF('IS(M)'!$M$60:$ER$60,BR$54,'IS(M)'!$M$70:$ER$70)-SUMIF('IS(M)'!$M$60:$ER$60,BR$54,'IS(M)'!$M$75:$ER$75)</f>
        <v>0</v>
      </c>
      <c r="BS80" s="90">
        <f>SUMIF('IS(M)'!$M$60:$ER$60,BS$54,'IS(M)'!$M$70:$ER$70)-SUMIF('IS(M)'!$M$60:$ER$60,BS$54,'IS(M)'!$M$75:$ER$75)</f>
        <v>0</v>
      </c>
      <c r="BT80" s="90">
        <f>SUMIF('IS(M)'!$M$60:$ER$60,BT$54,'IS(M)'!$M$70:$ER$70)-SUMIF('IS(M)'!$M$60:$ER$60,BT$54,'IS(M)'!$M$75:$ER$75)</f>
        <v>0</v>
      </c>
      <c r="BU80" s="90">
        <f>SUMIF('IS(M)'!$M$60:$ER$60,BU$54,'IS(M)'!$M$70:$ER$70)-SUMIF('IS(M)'!$M$60:$ER$60,BU$54,'IS(M)'!$M$75:$ER$75)</f>
        <v>0</v>
      </c>
      <c r="BV80" s="90">
        <f>SUMIF('IS(M)'!$M$60:$ER$60,BV$54,'IS(M)'!$M$70:$ER$70)-SUMIF('IS(M)'!$M$60:$ER$60,BV$54,'IS(M)'!$M$75:$ER$75)</f>
        <v>0</v>
      </c>
      <c r="BW80" s="90">
        <f>SUMIF('IS(M)'!$M$60:$ER$60,BW$54,'IS(M)'!$M$70:$ER$70)-SUMIF('IS(M)'!$M$60:$ER$60,BW$54,'IS(M)'!$M$75:$ER$75)</f>
        <v>0</v>
      </c>
      <c r="BX80" s="90">
        <f>SUMIF('IS(M)'!$M$60:$ER$60,BX$54,'IS(M)'!$M$70:$ER$70)-SUMIF('IS(M)'!$M$60:$ER$60,BX$54,'IS(M)'!$M$75:$ER$75)</f>
        <v>0</v>
      </c>
      <c r="BY80" s="90">
        <f>SUMIF('IS(M)'!$M$60:$ER$60,BY$54,'IS(M)'!$M$70:$ER$70)-SUMIF('IS(M)'!$M$60:$ER$60,BY$54,'IS(M)'!$M$75:$ER$75)</f>
        <v>0</v>
      </c>
      <c r="BZ80" s="90">
        <f>SUMIF('IS(M)'!$M$60:$ER$60,BZ$54,'IS(M)'!$M$70:$ER$70)-SUMIF('IS(M)'!$M$60:$ER$60,BZ$54,'IS(M)'!$M$75:$ER$75)</f>
        <v>0</v>
      </c>
      <c r="CA80" s="90">
        <f>SUMIF('IS(M)'!$M$60:$ER$60,CA$54,'IS(M)'!$M$70:$ER$70)-SUMIF('IS(M)'!$M$60:$ER$60,CA$54,'IS(M)'!$M$75:$ER$75)</f>
        <v>0</v>
      </c>
      <c r="CB80" s="90">
        <f>SUMIF('IS(M)'!$M$60:$ER$60,CB$54,'IS(M)'!$M$70:$ER$70)-SUMIF('IS(M)'!$M$60:$ER$60,CB$54,'IS(M)'!$M$75:$ER$75)</f>
        <v>0</v>
      </c>
      <c r="CC80" s="90">
        <f>SUMIF('IS(M)'!$M$60:$ER$60,CC$54,'IS(M)'!$M$70:$ER$70)-SUMIF('IS(M)'!$M$60:$ER$60,CC$54,'IS(M)'!$M$75:$ER$75)</f>
        <v>0</v>
      </c>
      <c r="CD80" s="90">
        <f>SUMIF('IS(M)'!$M$60:$ER$60,CD$54,'IS(M)'!$M$70:$ER$70)-SUMIF('IS(M)'!$M$60:$ER$60,CD$54,'IS(M)'!$M$75:$ER$75)</f>
        <v>0</v>
      </c>
      <c r="CE80" s="90">
        <f>SUMIF('IS(M)'!$M$60:$ER$60,CE$54,'IS(M)'!$M$70:$ER$70)-SUMIF('IS(M)'!$M$60:$ER$60,CE$54,'IS(M)'!$M$75:$ER$75)</f>
        <v>0</v>
      </c>
      <c r="CF80" s="90">
        <f>SUMIF('IS(M)'!$M$60:$ER$60,CF$54,'IS(M)'!$M$70:$ER$70)-SUMIF('IS(M)'!$M$60:$ER$60,CF$54,'IS(M)'!$M$75:$ER$75)</f>
        <v>0</v>
      </c>
      <c r="CG80" s="90">
        <f>SUMIF('IS(M)'!$M$60:$ER$60,CG$54,'IS(M)'!$M$70:$ER$70)-SUMIF('IS(M)'!$M$60:$ER$60,CG$54,'IS(M)'!$M$75:$ER$75)</f>
        <v>0</v>
      </c>
      <c r="CH80" s="90">
        <f>SUMIF('IS(M)'!$M$60:$ER$60,CH$54,'IS(M)'!$M$70:$ER$70)-SUMIF('IS(M)'!$M$60:$ER$60,CH$54,'IS(M)'!$M$75:$ER$75)</f>
        <v>0</v>
      </c>
      <c r="CI80" s="90">
        <f>SUMIF('IS(M)'!$M$60:$ER$60,CI$54,'IS(M)'!$M$70:$ER$70)-SUMIF('IS(M)'!$M$60:$ER$60,CI$54,'IS(M)'!$M$75:$ER$75)</f>
        <v>0</v>
      </c>
      <c r="CJ80" s="90">
        <f>SUMIF('IS(M)'!$M$60:$ER$60,CJ$54,'IS(M)'!$M$70:$ER$70)-SUMIF('IS(M)'!$M$60:$ER$60,CJ$54,'IS(M)'!$M$75:$ER$75)</f>
        <v>0</v>
      </c>
      <c r="CK80" s="90">
        <f>SUMIF('IS(M)'!$M$60:$ER$60,CK$54,'IS(M)'!$M$70:$ER$70)-SUMIF('IS(M)'!$M$60:$ER$60,CK$54,'IS(M)'!$M$75:$ER$75)</f>
        <v>0</v>
      </c>
      <c r="CL80" s="90">
        <f>SUMIF('IS(M)'!$M$60:$ER$60,CL$54,'IS(M)'!$M$70:$ER$70)-SUMIF('IS(M)'!$M$60:$ER$60,CL$54,'IS(M)'!$M$75:$ER$75)</f>
        <v>0</v>
      </c>
      <c r="CM80" s="90">
        <f>SUMIF('IS(M)'!$M$60:$ER$60,CM$54,'IS(M)'!$M$70:$ER$70)-SUMIF('IS(M)'!$M$60:$ER$60,CM$54,'IS(M)'!$M$75:$ER$75)</f>
        <v>0</v>
      </c>
      <c r="CN80" s="90">
        <f>SUMIF('IS(M)'!$M$60:$ER$60,CN$54,'IS(M)'!$M$70:$ER$70)-SUMIF('IS(M)'!$M$60:$ER$60,CN$54,'IS(M)'!$M$75:$ER$75)</f>
        <v>0</v>
      </c>
      <c r="CO80" s="90">
        <f>SUMIF('IS(M)'!$M$60:$ER$60,CO$54,'IS(M)'!$M$70:$ER$70)-SUMIF('IS(M)'!$M$60:$ER$60,CO$54,'IS(M)'!$M$75:$ER$75)</f>
        <v>0</v>
      </c>
      <c r="CP80" s="90">
        <f>SUMIF('IS(M)'!$M$60:$ER$60,CP$54,'IS(M)'!$M$70:$ER$70)-SUMIF('IS(M)'!$M$60:$ER$60,CP$54,'IS(M)'!$M$75:$ER$75)</f>
        <v>0</v>
      </c>
      <c r="CQ80" s="90">
        <f>SUMIF('IS(M)'!$M$60:$ER$60,CQ$54,'IS(M)'!$M$70:$ER$70)-SUMIF('IS(M)'!$M$60:$ER$60,CQ$54,'IS(M)'!$M$75:$ER$75)</f>
        <v>0</v>
      </c>
      <c r="CR80" s="90">
        <f>SUMIF('IS(M)'!$M$60:$ER$60,CR$54,'IS(M)'!$M$70:$ER$70)-SUMIF('IS(M)'!$M$60:$ER$60,CR$54,'IS(M)'!$M$75:$ER$75)</f>
        <v>0</v>
      </c>
      <c r="CS80" s="90">
        <f>SUMIF('IS(M)'!$M$60:$ER$60,CS$54,'IS(M)'!$M$70:$ER$70)-SUMIF('IS(M)'!$M$60:$ER$60,CS$54,'IS(M)'!$M$75:$ER$75)</f>
        <v>0</v>
      </c>
      <c r="CT80" s="90">
        <f>SUMIF('IS(M)'!$M$60:$ER$60,CT$54,'IS(M)'!$M$70:$ER$70)-SUMIF('IS(M)'!$M$60:$ER$60,CT$54,'IS(M)'!$M$75:$ER$75)</f>
        <v>0</v>
      </c>
      <c r="CU80" s="90">
        <f>SUMIF('IS(M)'!$M$60:$ER$60,CU$54,'IS(M)'!$M$70:$ER$70)-SUMIF('IS(M)'!$M$60:$ER$60,CU$54,'IS(M)'!$M$75:$ER$75)</f>
        <v>0</v>
      </c>
      <c r="CV80" s="90">
        <f>SUMIF('IS(M)'!$M$60:$ER$60,CV$54,'IS(M)'!$M$70:$ER$70)-SUMIF('IS(M)'!$M$60:$ER$60,CV$54,'IS(M)'!$M$75:$ER$75)</f>
        <v>0</v>
      </c>
      <c r="CW80" s="90">
        <f>SUMIF('IS(M)'!$M$60:$ER$60,CW$54,'IS(M)'!$M$70:$ER$70)-SUMIF('IS(M)'!$M$60:$ER$60,CW$54,'IS(M)'!$M$75:$ER$75)</f>
        <v>0</v>
      </c>
      <c r="CX80" s="90">
        <f>SUMIF('IS(M)'!$M$60:$ER$60,CX$54,'IS(M)'!$M$70:$ER$70)-SUMIF('IS(M)'!$M$60:$ER$60,CX$54,'IS(M)'!$M$75:$ER$75)</f>
        <v>0</v>
      </c>
      <c r="CY80" s="90">
        <f>SUMIF('IS(M)'!$M$60:$ER$60,CY$54,'IS(M)'!$M$70:$ER$70)-SUMIF('IS(M)'!$M$60:$ER$60,CY$54,'IS(M)'!$M$75:$ER$75)</f>
        <v>0</v>
      </c>
      <c r="CZ80" s="90">
        <f>SUMIF('IS(M)'!$M$60:$ER$60,CZ$54,'IS(M)'!$M$70:$ER$70)-SUMIF('IS(M)'!$M$60:$ER$60,CZ$54,'IS(M)'!$M$75:$ER$75)</f>
        <v>0</v>
      </c>
      <c r="DA80" s="90">
        <f>SUMIF('IS(M)'!$M$60:$ER$60,DA$54,'IS(M)'!$M$70:$ER$70)-SUMIF('IS(M)'!$M$60:$ER$60,DA$54,'IS(M)'!$M$75:$ER$75)</f>
        <v>0</v>
      </c>
      <c r="DB80" s="90">
        <f>SUMIF('IS(M)'!$M$60:$ER$60,DB$54,'IS(M)'!$M$70:$ER$70)-SUMIF('IS(M)'!$M$60:$ER$60,DB$54,'IS(M)'!$M$75:$ER$75)</f>
        <v>0</v>
      </c>
      <c r="DC80" s="90">
        <f>SUMIF('IS(M)'!$M$60:$ER$60,DC$54,'IS(M)'!$M$70:$ER$70)-SUMIF('IS(M)'!$M$60:$ER$60,DC$54,'IS(M)'!$M$75:$ER$75)</f>
        <v>0</v>
      </c>
      <c r="DD80" s="90">
        <f>SUMIF('IS(M)'!$M$60:$ER$60,DD$54,'IS(M)'!$M$70:$ER$70)-SUMIF('IS(M)'!$M$60:$ER$60,DD$54,'IS(M)'!$M$75:$ER$75)</f>
        <v>0</v>
      </c>
      <c r="DE80" s="90">
        <f>SUMIF('IS(M)'!$M$60:$ER$60,DE$54,'IS(M)'!$M$70:$ER$70)-SUMIF('IS(M)'!$M$60:$ER$60,DE$54,'IS(M)'!$M$75:$ER$75)</f>
        <v>0</v>
      </c>
      <c r="DF80" s="90">
        <f>SUMIF('IS(M)'!$M$60:$ER$60,DF$54,'IS(M)'!$M$70:$ER$70)-SUMIF('IS(M)'!$M$60:$ER$60,DF$54,'IS(M)'!$M$75:$ER$75)</f>
        <v>0</v>
      </c>
      <c r="DG80" s="90">
        <f>SUMIF('IS(M)'!$M$60:$ER$60,DG$54,'IS(M)'!$M$70:$ER$70)-SUMIF('IS(M)'!$M$60:$ER$60,DG$54,'IS(M)'!$M$75:$ER$75)</f>
        <v>0</v>
      </c>
      <c r="DH80" s="90">
        <f>SUMIF('IS(M)'!$M$60:$ER$60,DH$54,'IS(M)'!$M$70:$ER$70)-SUMIF('IS(M)'!$M$60:$ER$60,DH$54,'IS(M)'!$M$75:$ER$75)</f>
        <v>0</v>
      </c>
      <c r="DI80" s="90">
        <f>SUMIF('IS(M)'!$M$60:$ER$60,DI$54,'IS(M)'!$M$70:$ER$70)-SUMIF('IS(M)'!$M$60:$ER$60,DI$54,'IS(M)'!$M$75:$ER$75)</f>
        <v>0</v>
      </c>
      <c r="DJ80" s="90">
        <f>SUMIF('IS(M)'!$M$60:$ER$60,DJ$54,'IS(M)'!$M$70:$ER$70)-SUMIF('IS(M)'!$M$60:$ER$60,DJ$54,'IS(M)'!$M$75:$ER$75)</f>
        <v>0</v>
      </c>
      <c r="DK80" s="90">
        <f>SUMIF('IS(M)'!$M$60:$ER$60,DK$54,'IS(M)'!$M$70:$ER$70)-SUMIF('IS(M)'!$M$60:$ER$60,DK$54,'IS(M)'!$M$75:$ER$75)</f>
        <v>0</v>
      </c>
      <c r="DL80" s="90">
        <f>SUMIF('IS(M)'!$M$60:$ER$60,DL$54,'IS(M)'!$M$70:$ER$70)-SUMIF('IS(M)'!$M$60:$ER$60,DL$54,'IS(M)'!$M$75:$ER$75)</f>
        <v>0</v>
      </c>
      <c r="DM80" s="90">
        <f>SUMIF('IS(M)'!$M$60:$ER$60,DM$54,'IS(M)'!$M$70:$ER$70)-SUMIF('IS(M)'!$M$60:$ER$60,DM$54,'IS(M)'!$M$75:$ER$75)</f>
        <v>0</v>
      </c>
      <c r="DN80" s="90">
        <f>SUMIF('IS(M)'!$M$60:$ER$60,DN$54,'IS(M)'!$M$70:$ER$70)-SUMIF('IS(M)'!$M$60:$ER$60,DN$54,'IS(M)'!$M$75:$ER$75)</f>
        <v>0</v>
      </c>
      <c r="DO80" s="90">
        <f>SUMIF('IS(M)'!$M$60:$ER$60,DO$54,'IS(M)'!$M$70:$ER$70)-SUMIF('IS(M)'!$M$60:$ER$60,DO$54,'IS(M)'!$M$75:$ER$75)</f>
        <v>0</v>
      </c>
      <c r="DP80" s="90">
        <f>SUMIF('IS(M)'!$M$60:$ER$60,DP$54,'IS(M)'!$M$70:$ER$70)-SUMIF('IS(M)'!$M$60:$ER$60,DP$54,'IS(M)'!$M$75:$ER$75)</f>
        <v>0</v>
      </c>
      <c r="DQ80" s="90">
        <f>SUMIF('IS(M)'!$M$60:$ER$60,DQ$54,'IS(M)'!$M$70:$ER$70)-SUMIF('IS(M)'!$M$60:$ER$60,DQ$54,'IS(M)'!$M$75:$ER$75)</f>
        <v>0</v>
      </c>
      <c r="DR80" s="90">
        <f>SUMIF('IS(M)'!$M$60:$ER$60,DR$54,'IS(M)'!$M$70:$ER$70)-SUMIF('IS(M)'!$M$60:$ER$60,DR$54,'IS(M)'!$M$75:$ER$75)</f>
        <v>0</v>
      </c>
      <c r="DS80" s="90">
        <f>SUMIF('IS(M)'!$M$60:$ER$60,DS$54,'IS(M)'!$M$70:$ER$70)-SUMIF('IS(M)'!$M$60:$ER$60,DS$54,'IS(M)'!$M$75:$ER$75)</f>
        <v>0</v>
      </c>
      <c r="DT80" s="90">
        <f>SUMIF('IS(M)'!$M$60:$ER$60,DT$54,'IS(M)'!$M$70:$ER$70)-SUMIF('IS(M)'!$M$60:$ER$60,DT$54,'IS(M)'!$M$75:$ER$75)</f>
        <v>0</v>
      </c>
      <c r="DU80" s="90">
        <f>SUMIF('IS(M)'!$M$60:$ER$60,DU$54,'IS(M)'!$M$70:$ER$70)-SUMIF('IS(M)'!$M$60:$ER$60,DU$54,'IS(M)'!$M$75:$ER$75)</f>
        <v>0</v>
      </c>
      <c r="DV80" s="90">
        <f>SUMIF('IS(M)'!$M$60:$ER$60,DV$54,'IS(M)'!$M$70:$ER$70)-SUMIF('IS(M)'!$M$60:$ER$60,DV$54,'IS(M)'!$M$75:$ER$75)</f>
        <v>0</v>
      </c>
      <c r="DW80" s="90">
        <f>SUMIF('IS(M)'!$M$60:$ER$60,DW$54,'IS(M)'!$M$70:$ER$70)-SUMIF('IS(M)'!$M$60:$ER$60,DW$54,'IS(M)'!$M$75:$ER$75)</f>
        <v>0</v>
      </c>
    </row>
    <row r="82" spans="11:11" ht="11.25" customHeight="1">
      <c r="K82" s="5">
        <f>K32/10</f>
        <v>666547.00000000012</v>
      </c>
    </row>
    <row r="83" spans="11:11" ht="11.25" customHeight="1">
      <c r="K83" s="5">
        <f>K82/0.223%</f>
        <v>298900000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577</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45263706.729123607</v>
      </c>
      <c r="L9" s="216">
        <f t="shared" ref="L9:BW9" ca="1" si="4">SUM(L10,L17,L29,L35,L44)</f>
        <v>-12856669.630531998</v>
      </c>
      <c r="M9" s="217">
        <f t="shared" ca="1" si="4"/>
        <v>13804760.706959637</v>
      </c>
      <c r="N9" s="217">
        <f t="shared" ca="1" si="4"/>
        <v>1787729.6279758541</v>
      </c>
      <c r="O9" s="217">
        <f t="shared" ca="1" si="4"/>
        <v>1161359.4167075211</v>
      </c>
      <c r="P9" s="217">
        <f t="shared" ca="1" si="4"/>
        <v>1822731.7321894392</v>
      </c>
      <c r="Q9" s="217">
        <f t="shared" ca="1" si="4"/>
        <v>1575280.1764603453</v>
      </c>
      <c r="R9" s="217">
        <f t="shared" ca="1" si="4"/>
        <v>-3217460.0080983778</v>
      </c>
      <c r="S9" s="217">
        <f t="shared" ca="1" si="4"/>
        <v>1897667.7844351872</v>
      </c>
      <c r="T9" s="217">
        <f t="shared" ca="1" si="4"/>
        <v>2406140.8752167374</v>
      </c>
      <c r="U9" s="217">
        <f t="shared" ca="1" si="4"/>
        <v>2144515.6225667521</v>
      </c>
      <c r="V9" s="217">
        <f t="shared" ca="1" si="4"/>
        <v>2601729.2937996611</v>
      </c>
      <c r="W9" s="217">
        <f t="shared" ca="1" si="4"/>
        <v>2678082.3751356388</v>
      </c>
      <c r="X9" s="217">
        <f t="shared" ca="1" si="4"/>
        <v>3140774.5383305764</v>
      </c>
      <c r="Y9" s="217">
        <f t="shared" ca="1" si="4"/>
        <v>2909989.168152527</v>
      </c>
      <c r="Z9" s="217">
        <f t="shared" ca="1" si="4"/>
        <v>3372178.2017368395</v>
      </c>
      <c r="AA9" s="217">
        <f t="shared" ca="1" si="4"/>
        <v>3157527.69329267</v>
      </c>
      <c r="AB9" s="217">
        <f t="shared" ca="1" si="4"/>
        <v>2702878.8453780324</v>
      </c>
      <c r="AC9" s="217">
        <f t="shared" ca="1" si="4"/>
        <v>3214262.8263774347</v>
      </c>
      <c r="AD9" s="217">
        <f t="shared" ca="1" si="4"/>
        <v>3645026.6254113787</v>
      </c>
      <c r="AE9" s="217">
        <f t="shared" ca="1" si="4"/>
        <v>3572781.2340261457</v>
      </c>
      <c r="AF9" s="217">
        <f t="shared" ca="1" si="4"/>
        <v>3742419.6236015814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175149083.02034265</v>
      </c>
      <c r="K10" s="98"/>
      <c r="L10" s="162">
        <f>SUM(L11:L16)</f>
        <v>0</v>
      </c>
      <c r="M10" s="162">
        <f t="shared" ref="M10:BX10" ca="1" si="6">SUM(M11:M16)</f>
        <v>7658404.9812739147</v>
      </c>
      <c r="N10" s="162">
        <f t="shared" ca="1" si="6"/>
        <v>8038597.598842931</v>
      </c>
      <c r="O10" s="162">
        <f t="shared" ca="1" si="6"/>
        <v>7761220.5355791198</v>
      </c>
      <c r="P10" s="162">
        <f t="shared" ca="1" si="6"/>
        <v>8163777.6795104258</v>
      </c>
      <c r="Q10" s="162">
        <f t="shared" ca="1" si="6"/>
        <v>8323448.6739249434</v>
      </c>
      <c r="R10" s="162">
        <f t="shared" ca="1" si="6"/>
        <v>3357430.9814733574</v>
      </c>
      <c r="S10" s="162">
        <f t="shared" ca="1" si="6"/>
        <v>8681771.7596950084</v>
      </c>
      <c r="T10" s="162">
        <f t="shared" ca="1" si="6"/>
        <v>8910527.4776088651</v>
      </c>
      <c r="U10" s="162">
        <f t="shared" ca="1" si="6"/>
        <v>8886813.8694543149</v>
      </c>
      <c r="V10" s="162">
        <f t="shared" ca="1" si="6"/>
        <v>9115601.1323810611</v>
      </c>
      <c r="W10" s="162">
        <f t="shared" ca="1" si="6"/>
        <v>9098700.0797821302</v>
      </c>
      <c r="X10" s="162">
        <f t="shared" ca="1" si="6"/>
        <v>9342765.9309458919</v>
      </c>
      <c r="Y10" s="162">
        <f t="shared" ca="1" si="6"/>
        <v>9328927.7782459352</v>
      </c>
      <c r="Z10" s="162">
        <f t="shared" ca="1" si="6"/>
        <v>9582134.2100707609</v>
      </c>
      <c r="AA10" s="162">
        <f t="shared" ca="1" si="6"/>
        <v>9575287.7006599456</v>
      </c>
      <c r="AB10" s="162">
        <f t="shared" ca="1" si="6"/>
        <v>9606425.3943847977</v>
      </c>
      <c r="AC10" s="162">
        <f t="shared" ca="1" si="6"/>
        <v>9722046.2779541817</v>
      </c>
      <c r="AD10" s="162">
        <f t="shared" ca="1" si="6"/>
        <v>9865244.2977418099</v>
      </c>
      <c r="AE10" s="162">
        <f t="shared" ca="1" si="6"/>
        <v>9989682.6841987614</v>
      </c>
      <c r="AF10" s="162">
        <f t="shared" ca="1" si="6"/>
        <v>10140273.976614486</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1022</v>
      </c>
      <c r="H15" s="90"/>
      <c r="I15" s="222"/>
      <c r="J15" s="171">
        <f t="shared" ca="1" si="8"/>
        <v>1737468.0866062997</v>
      </c>
      <c r="K15" s="98"/>
      <c r="L15" s="171">
        <f>SUMIF('CF(M)'!$L$10:$EQ$10,L$6,'CF(M)'!$L20:$EQ20)</f>
        <v>0</v>
      </c>
      <c r="M15" s="171">
        <f ca="1">SUMIF('CF(M)'!$L$10:$EQ$10,M$6,'CF(M)'!$L20:$EQ20)</f>
        <v>194082.67155863479</v>
      </c>
      <c r="N15" s="171">
        <f ca="1">SUMIF('CF(M)'!$L$10:$EQ$10,N$6,'CF(M)'!$L20:$EQ20)</f>
        <v>165819.68928186846</v>
      </c>
      <c r="O15" s="171">
        <f ca="1">SUMIF('CF(M)'!$L$10:$EQ$10,O$6,'CF(M)'!$L20:$EQ20)</f>
        <v>129124.32630725767</v>
      </c>
      <c r="P15" s="171">
        <f ca="1">SUMIF('CF(M)'!$L$10:$EQ$10,P$6,'CF(M)'!$L20:$EQ20)</f>
        <v>113014.48039663841</v>
      </c>
      <c r="Q15" s="171">
        <f ca="1">SUMIF('CF(M)'!$L$10:$EQ$10,Q$6,'CF(M)'!$L20:$EQ20)</f>
        <v>177708.64009914745</v>
      </c>
      <c r="R15" s="171">
        <f ca="1">SUMIF('CF(M)'!$L$10:$EQ$10,R$6,'CF(M)'!$L20:$EQ20)</f>
        <v>136498.90376763401</v>
      </c>
      <c r="S15" s="171">
        <f ca="1">SUMIF('CF(M)'!$L$10:$EQ$10,S$6,'CF(M)'!$L20:$EQ20)</f>
        <v>56679.081745147567</v>
      </c>
      <c r="T15" s="171">
        <f ca="1">SUMIF('CF(M)'!$L$10:$EQ$10,T$6,'CF(M)'!$L20:$EQ20)</f>
        <v>52848.876288724226</v>
      </c>
      <c r="U15" s="171">
        <f ca="1">SUMIF('CF(M)'!$L$10:$EQ$10,U$6,'CF(M)'!$L20:$EQ20)</f>
        <v>38974.12588080451</v>
      </c>
      <c r="V15" s="171">
        <f ca="1">SUMIF('CF(M)'!$L$10:$EQ$10,V$6,'CF(M)'!$L20:$EQ20)</f>
        <v>39250.858214220025</v>
      </c>
      <c r="W15" s="171">
        <f ca="1">SUMIF('CF(M)'!$L$10:$EQ$10,W$6,'CF(M)'!$L20:$EQ20)</f>
        <v>32434.634805582045</v>
      </c>
      <c r="X15" s="171">
        <f ca="1">SUMIF('CF(M)'!$L$10:$EQ$10,X$6,'CF(M)'!$L20:$EQ20)</f>
        <v>42277.19211117924</v>
      </c>
      <c r="Y15" s="171">
        <f ca="1">SUMIF('CF(M)'!$L$10:$EQ$10,Y$6,'CF(M)'!$L20:$EQ20)</f>
        <v>38775.989331274395</v>
      </c>
      <c r="Z15" s="171">
        <f ca="1">SUMIF('CF(M)'!$L$10:$EQ$10,Z$6,'CF(M)'!$L20:$EQ20)</f>
        <v>51903.544951479817</v>
      </c>
      <c r="AA15" s="171">
        <f ca="1">SUMIF('CF(M)'!$L$10:$EQ$10,AA$6,'CF(M)'!$L20:$EQ20)</f>
        <v>55652.409208718032</v>
      </c>
      <c r="AB15" s="171">
        <f ca="1">SUMIF('CF(M)'!$L$10:$EQ$10,AB$6,'CF(M)'!$L20:$EQ20)</f>
        <v>61659.208068991327</v>
      </c>
      <c r="AC15" s="171">
        <f ca="1">SUMIF('CF(M)'!$L$10:$EQ$10,AC$6,'CF(M)'!$L20:$EQ20)</f>
        <v>63357.226367723371</v>
      </c>
      <c r="AD15" s="171">
        <f ca="1">SUMIF('CF(M)'!$L$10:$EQ$10,AD$6,'CF(M)'!$L20:$EQ20)</f>
        <v>81685.263593704833</v>
      </c>
      <c r="AE15" s="171">
        <f ca="1">SUMIF('CF(M)'!$L$10:$EQ$10,AE$6,'CF(M)'!$L20:$EQ20)</f>
        <v>90824.705828588369</v>
      </c>
      <c r="AF15" s="171">
        <f ca="1">SUMIF('CF(M)'!$L$10:$EQ$10,AF$6,'CF(M)'!$L20:$EQ20)</f>
        <v>114896.25879898119</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9"/>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50"/>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616</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-4390000</v>
      </c>
      <c r="K60" s="98"/>
      <c r="L60" s="171">
        <f>SUMIF('CF(M)'!$L$10:$EQ$10,L$6,'CF(M)'!$L65:$EQ65)</f>
        <v>-4390000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-235384.77486795187</v>
      </c>
      <c r="K61" s="98"/>
      <c r="L61" s="171">
        <f>SUMIF('CF(M)'!$L$10:$EQ$10,L$6,'CF(M)'!$L66:$EQ66)</f>
        <v>-235384.77486795187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-115985534.77444097</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-2715000</v>
      </c>
      <c r="T62" s="216">
        <f t="shared" ca="1" si="24"/>
        <v>-2715000</v>
      </c>
      <c r="U62" s="216">
        <f t="shared" ca="1" si="24"/>
        <v>-2696056.3038810929</v>
      </c>
      <c r="V62" s="216">
        <f t="shared" ca="1" si="24"/>
        <v>-2601729.2937996686</v>
      </c>
      <c r="W62" s="216">
        <f t="shared" ca="1" si="24"/>
        <v>-2678082.375135636</v>
      </c>
      <c r="X62" s="216">
        <f t="shared" ca="1" si="24"/>
        <v>-2884132.0271836026</v>
      </c>
      <c r="Y62" s="216">
        <f t="shared" ca="1" si="24"/>
        <v>-2715000</v>
      </c>
      <c r="Z62" s="216">
        <f t="shared" ca="1" si="24"/>
        <v>-2715000</v>
      </c>
      <c r="AA62" s="216">
        <f t="shared" ca="1" si="24"/>
        <v>-2715000</v>
      </c>
      <c r="AB62" s="216">
        <f t="shared" ca="1" si="24"/>
        <v>-2715000</v>
      </c>
      <c r="AC62" s="216">
        <f t="shared" ca="1" si="24"/>
        <v>-2715000</v>
      </c>
      <c r="AD62" s="216">
        <f t="shared" ca="1" si="24"/>
        <v>-2715000</v>
      </c>
      <c r="AE62" s="216">
        <f t="shared" ca="1" si="24"/>
        <v>-2715000</v>
      </c>
      <c r="AF62" s="216">
        <f t="shared" ca="1" si="24"/>
        <v>-367190534.774441</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618</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552</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-49615106.954888195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-1875000</v>
      </c>
      <c r="T95" s="162">
        <f t="shared" ca="1" si="47"/>
        <v>-1875000</v>
      </c>
      <c r="U95" s="162">
        <f t="shared" ca="1" si="47"/>
        <v>-1856056.3038810929</v>
      </c>
      <c r="V95" s="162">
        <f t="shared" ca="1" si="47"/>
        <v>-1761729.2937996686</v>
      </c>
      <c r="W95" s="162">
        <f t="shared" ca="1" si="47"/>
        <v>-1838082.375135636</v>
      </c>
      <c r="X95" s="162">
        <f t="shared" ca="1" si="47"/>
        <v>-2044132.0271836026</v>
      </c>
      <c r="Y95" s="162">
        <f t="shared" ca="1" si="47"/>
        <v>-1875000</v>
      </c>
      <c r="Z95" s="162">
        <f t="shared" ca="1" si="47"/>
        <v>-1875000</v>
      </c>
      <c r="AA95" s="162">
        <f t="shared" ca="1" si="47"/>
        <v>-1875000</v>
      </c>
      <c r="AB95" s="162">
        <f t="shared" ca="1" si="47"/>
        <v>-1875000</v>
      </c>
      <c r="AC95" s="162">
        <f t="shared" ca="1" si="47"/>
        <v>-1875000</v>
      </c>
      <c r="AD95" s="162">
        <f t="shared" ca="1" si="47"/>
        <v>-1875000</v>
      </c>
      <c r="AE95" s="162">
        <f t="shared" ca="1" si="47"/>
        <v>-1875000</v>
      </c>
      <c r="AF95" s="162">
        <f t="shared" ca="1" si="47"/>
        <v>-63990106.954888195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552</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-1875000</v>
      </c>
      <c r="T98" s="171">
        <f ca="1">SUMIF('CF(M)'!$L$10:$EQ$10,T$6,'CF(M)'!$L103:$EQ103)</f>
        <v>-1875000</v>
      </c>
      <c r="U98" s="171">
        <f ca="1">SUMIF('CF(M)'!$L$10:$EQ$10,U$6,'CF(M)'!$L103:$EQ103)</f>
        <v>-1856056.3038810929</v>
      </c>
      <c r="V98" s="171">
        <f ca="1">SUMIF('CF(M)'!$L$10:$EQ$10,V$6,'CF(M)'!$L103:$EQ103)</f>
        <v>-1761729.2937996686</v>
      </c>
      <c r="W98" s="171">
        <f ca="1">SUMIF('CF(M)'!$L$10:$EQ$10,W$6,'CF(M)'!$L103:$EQ103)</f>
        <v>-1838082.375135636</v>
      </c>
      <c r="X98" s="171">
        <f ca="1">SUMIF('CF(M)'!$L$10:$EQ$10,X$6,'CF(M)'!$L103:$EQ103)</f>
        <v>-2044132.0271836026</v>
      </c>
      <c r="Y98" s="171">
        <f ca="1">SUMIF('CF(M)'!$L$10:$EQ$10,Y$6,'CF(M)'!$L103:$EQ103)</f>
        <v>-1875000</v>
      </c>
      <c r="Z98" s="171">
        <f ca="1">SUMIF('CF(M)'!$L$10:$EQ$10,Z$6,'CF(M)'!$L103:$EQ103)</f>
        <v>-1875000</v>
      </c>
      <c r="AA98" s="171">
        <f ca="1">SUMIF('CF(M)'!$L$10:$EQ$10,AA$6,'CF(M)'!$L103:$EQ103)</f>
        <v>-1875000</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-12115106.954888193</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-12115106.954888193</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552</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-49570427.819552772</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-63260427.819552772</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552</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-48460427.819552772</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-48460427.819552772</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552</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-2321908.9235723615</v>
      </c>
      <c r="N115" s="235">
        <f t="shared" ca="1" si="55"/>
        <v>-1482270.3720241459</v>
      </c>
      <c r="O115" s="235">
        <f t="shared" ca="1" si="55"/>
        <v>-1553640.5832924789</v>
      </c>
      <c r="P115" s="235">
        <f t="shared" ca="1" si="55"/>
        <v>4107731.7321894392</v>
      </c>
      <c r="Q115" s="235">
        <f t="shared" ca="1" si="55"/>
        <v>-1139719.8235396547</v>
      </c>
      <c r="R115" s="235">
        <f t="shared" ca="1" si="55"/>
        <v>-5932460.0080983778</v>
      </c>
      <c r="S115" s="235">
        <f t="shared" ca="1" si="55"/>
        <v>-817332.21556481277</v>
      </c>
      <c r="T115" s="235">
        <f t="shared" ca="1" si="55"/>
        <v>-308859.12478326261</v>
      </c>
      <c r="U115" s="235">
        <f t="shared" ca="1" si="55"/>
        <v>-551540.68131434079</v>
      </c>
      <c r="V115" s="235">
        <f t="shared" ca="1" si="55"/>
        <v>-7.4505805969238281E-9</v>
      </c>
      <c r="W115" s="235">
        <f t="shared" ca="1" si="55"/>
        <v>0</v>
      </c>
      <c r="X115" s="235">
        <f t="shared" ca="1" si="55"/>
        <v>256642.51114697382</v>
      </c>
      <c r="Y115" s="235">
        <f t="shared" ca="1" si="55"/>
        <v>194989.16815252695</v>
      </c>
      <c r="Z115" s="235">
        <f t="shared" ca="1" si="55"/>
        <v>657178.20173683949</v>
      </c>
      <c r="AA115" s="235">
        <f t="shared" ca="1" si="55"/>
        <v>442527.69329266995</v>
      </c>
      <c r="AB115" s="235">
        <f t="shared" ca="1" si="55"/>
        <v>-12121.15462196758</v>
      </c>
      <c r="AC115" s="235">
        <f t="shared" ca="1" si="55"/>
        <v>499262.82637743466</v>
      </c>
      <c r="AD115" s="235">
        <f t="shared" ca="1" si="55"/>
        <v>930026.62541137869</v>
      </c>
      <c r="AE115" s="235">
        <f t="shared" ca="1" si="55"/>
        <v>857781.23402614566</v>
      </c>
      <c r="AF115" s="235">
        <f t="shared" ca="1" si="55"/>
        <v>-3826287.1055220962</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7678091.0764276385</v>
      </c>
      <c r="O116" s="216">
        <f t="shared" ca="1" si="57"/>
        <v>6195820.7044034926</v>
      </c>
      <c r="P116" s="216">
        <f t="shared" ca="1" si="57"/>
        <v>4642180.1211110139</v>
      </c>
      <c r="Q116" s="216">
        <f t="shared" ca="1" si="57"/>
        <v>8749911.8533004522</v>
      </c>
      <c r="R116" s="216">
        <f t="shared" ca="1" si="57"/>
        <v>7610192.0297607975</v>
      </c>
      <c r="S116" s="216">
        <f t="shared" ca="1" si="57"/>
        <v>1677732.0216624197</v>
      </c>
      <c r="T116" s="216">
        <f t="shared" ca="1" si="57"/>
        <v>860399.8060976069</v>
      </c>
      <c r="U116" s="216">
        <f t="shared" ca="1" si="57"/>
        <v>551540.68131434429</v>
      </c>
      <c r="V116" s="216">
        <f t="shared" ca="1" si="57"/>
        <v>3.4924596548080444E-9</v>
      </c>
      <c r="W116" s="216">
        <f t="shared" ca="1" si="57"/>
        <v>-3.9581209421157837E-9</v>
      </c>
      <c r="X116" s="216">
        <f t="shared" ca="1" si="57"/>
        <v>-3.9581209421157837E-9</v>
      </c>
      <c r="Y116" s="216">
        <f t="shared" ca="1" si="57"/>
        <v>256642.51114696986</v>
      </c>
      <c r="Z116" s="216">
        <f t="shared" ca="1" si="57"/>
        <v>451631.67929949681</v>
      </c>
      <c r="AA116" s="216">
        <f t="shared" ca="1" si="57"/>
        <v>1108809.8810363363</v>
      </c>
      <c r="AB116" s="216">
        <f t="shared" ca="1" si="57"/>
        <v>1551337.5743290063</v>
      </c>
      <c r="AC116" s="216">
        <f t="shared" ca="1" si="57"/>
        <v>1539216.4197070387</v>
      </c>
      <c r="AD116" s="216">
        <f t="shared" ca="1" si="57"/>
        <v>2038479.2460844733</v>
      </c>
      <c r="AE116" s="216">
        <f t="shared" ca="1" si="57"/>
        <v>2968505.8714958522</v>
      </c>
      <c r="AF116" s="216">
        <f t="shared" ca="1" si="57"/>
        <v>3826287.1055219979</v>
      </c>
      <c r="AG116" s="216">
        <f t="shared" ca="1" si="57"/>
        <v>-9.8254531621932983E-8</v>
      </c>
      <c r="AH116" s="216">
        <f t="shared" ca="1" si="57"/>
        <v>-9.8254531621932983E-8</v>
      </c>
      <c r="AI116" s="216">
        <f t="shared" ca="1" si="57"/>
        <v>-9.8254531621932983E-8</v>
      </c>
      <c r="AJ116" s="216">
        <f t="shared" ca="1" si="57"/>
        <v>-9.8254531621932983E-8</v>
      </c>
      <c r="AK116" s="216">
        <f t="shared" ca="1" si="57"/>
        <v>-9.8254531621932983E-8</v>
      </c>
      <c r="AL116" s="216">
        <f t="shared" ca="1" si="57"/>
        <v>-9.8254531621932983E-8</v>
      </c>
      <c r="AM116" s="216">
        <f t="shared" ca="1" si="57"/>
        <v>-9.8254531621932983E-8</v>
      </c>
      <c r="AN116" s="216">
        <f t="shared" ca="1" si="57"/>
        <v>-9.8254531621932983E-8</v>
      </c>
      <c r="AO116" s="216">
        <f t="shared" ca="1" si="57"/>
        <v>-9.8254531621932983E-8</v>
      </c>
      <c r="AP116" s="216">
        <f t="shared" ca="1" si="57"/>
        <v>-9.8254531621932983E-8</v>
      </c>
      <c r="AQ116" s="216">
        <f t="shared" ca="1" si="57"/>
        <v>-9.8254531621932983E-8</v>
      </c>
      <c r="AR116" s="216">
        <f t="shared" ca="1" si="57"/>
        <v>-9.8254531621932983E-8</v>
      </c>
      <c r="AS116" s="216">
        <f t="shared" ca="1" si="57"/>
        <v>-9.8254531621932983E-8</v>
      </c>
      <c r="AT116" s="216">
        <f t="shared" ca="1" si="57"/>
        <v>-9.8254531621932983E-8</v>
      </c>
      <c r="AU116" s="216">
        <f t="shared" ca="1" si="57"/>
        <v>-9.8254531621932983E-8</v>
      </c>
      <c r="AV116" s="216">
        <f t="shared" ca="1" si="57"/>
        <v>-9.8254531621932983E-8</v>
      </c>
      <c r="AW116" s="216">
        <f t="shared" ca="1" si="57"/>
        <v>-9.8254531621932983E-8</v>
      </c>
      <c r="AX116" s="216">
        <f t="shared" ca="1" si="57"/>
        <v>-9.8254531621932983E-8</v>
      </c>
      <c r="AY116" s="216">
        <f t="shared" ca="1" si="57"/>
        <v>-9.8254531621932983E-8</v>
      </c>
      <c r="AZ116" s="216">
        <f t="shared" ca="1" si="57"/>
        <v>-9.8254531621932983E-8</v>
      </c>
      <c r="BA116" s="216">
        <f t="shared" ca="1" si="57"/>
        <v>-9.8254531621932983E-8</v>
      </c>
      <c r="BB116" s="216">
        <f t="shared" ca="1" si="57"/>
        <v>-9.8254531621932983E-8</v>
      </c>
      <c r="BC116" s="216">
        <f t="shared" ca="1" si="57"/>
        <v>-9.8254531621932983E-8</v>
      </c>
      <c r="BD116" s="216">
        <f t="shared" ca="1" si="57"/>
        <v>-9.8254531621932983E-8</v>
      </c>
      <c r="BE116" s="216">
        <f t="shared" ca="1" si="57"/>
        <v>-9.8254531621932983E-8</v>
      </c>
      <c r="BF116" s="216">
        <f t="shared" ca="1" si="57"/>
        <v>-9.8254531621932983E-8</v>
      </c>
      <c r="BG116" s="216">
        <f t="shared" ca="1" si="57"/>
        <v>-9.8254531621932983E-8</v>
      </c>
      <c r="BH116" s="216">
        <f t="shared" ca="1" si="57"/>
        <v>-9.8254531621932983E-8</v>
      </c>
      <c r="BI116" s="216">
        <f t="shared" ca="1" si="57"/>
        <v>-9.8254531621932983E-8</v>
      </c>
      <c r="BJ116" s="216">
        <f t="shared" ca="1" si="57"/>
        <v>-9.8254531621932983E-8</v>
      </c>
      <c r="BK116" s="216">
        <f t="shared" ca="1" si="57"/>
        <v>-9.8254531621932983E-8</v>
      </c>
      <c r="BL116" s="216">
        <f t="shared" ca="1" si="57"/>
        <v>-9.8254531621932983E-8</v>
      </c>
      <c r="BM116" s="216">
        <f t="shared" ca="1" si="57"/>
        <v>-9.8254531621932983E-8</v>
      </c>
      <c r="BN116" s="216">
        <f t="shared" ca="1" si="57"/>
        <v>-9.8254531621932983E-8</v>
      </c>
      <c r="BO116" s="216">
        <f t="shared" ca="1" si="57"/>
        <v>-9.8254531621932983E-8</v>
      </c>
      <c r="BP116" s="216">
        <f t="shared" ca="1" si="57"/>
        <v>-9.8254531621932983E-8</v>
      </c>
      <c r="BQ116" s="216">
        <f t="shared" ca="1" si="57"/>
        <v>-9.8254531621932983E-8</v>
      </c>
      <c r="BR116" s="216">
        <f t="shared" ca="1" si="57"/>
        <v>-9.8254531621932983E-8</v>
      </c>
      <c r="BS116" s="216">
        <f t="shared" ca="1" si="57"/>
        <v>-9.8254531621932983E-8</v>
      </c>
      <c r="BT116" s="216">
        <f t="shared" ca="1" si="57"/>
        <v>-9.8254531621932983E-8</v>
      </c>
      <c r="BU116" s="216">
        <f t="shared" ca="1" si="57"/>
        <v>-9.8254531621932983E-8</v>
      </c>
      <c r="BV116" s="216">
        <f t="shared" ca="1" si="57"/>
        <v>-9.8254531621932983E-8</v>
      </c>
      <c r="BW116" s="216">
        <f t="shared" ca="1" si="57"/>
        <v>-9.8254531621932983E-8</v>
      </c>
      <c r="BX116" s="216">
        <f t="shared" ca="1" si="57"/>
        <v>-9.8254531621932983E-8</v>
      </c>
      <c r="BY116" s="216">
        <f t="shared" ca="1" si="57"/>
        <v>-9.8254531621932983E-8</v>
      </c>
      <c r="BZ116" s="216">
        <f t="shared" ref="BZ116:DV116" ca="1" si="58">BY117</f>
        <v>-9.8254531621932983E-8</v>
      </c>
      <c r="CA116" s="216">
        <f t="shared" ca="1" si="58"/>
        <v>-9.8254531621932983E-8</v>
      </c>
      <c r="CB116" s="216">
        <f t="shared" ca="1" si="58"/>
        <v>-9.8254531621932983E-8</v>
      </c>
      <c r="CC116" s="216">
        <f t="shared" ca="1" si="58"/>
        <v>-9.8254531621932983E-8</v>
      </c>
      <c r="CD116" s="216">
        <f t="shared" ca="1" si="58"/>
        <v>-9.8254531621932983E-8</v>
      </c>
      <c r="CE116" s="216">
        <f t="shared" ca="1" si="58"/>
        <v>-9.8254531621932983E-8</v>
      </c>
      <c r="CF116" s="216">
        <f t="shared" ca="1" si="58"/>
        <v>-9.8254531621932983E-8</v>
      </c>
      <c r="CG116" s="216">
        <f t="shared" ca="1" si="58"/>
        <v>-9.8254531621932983E-8</v>
      </c>
      <c r="CH116" s="216">
        <f t="shared" ca="1" si="58"/>
        <v>-9.8254531621932983E-8</v>
      </c>
      <c r="CI116" s="216">
        <f t="shared" ca="1" si="58"/>
        <v>-9.8254531621932983E-8</v>
      </c>
      <c r="CJ116" s="216">
        <f t="shared" ca="1" si="58"/>
        <v>-9.8254531621932983E-8</v>
      </c>
      <c r="CK116" s="216">
        <f t="shared" ca="1" si="58"/>
        <v>-9.8254531621932983E-8</v>
      </c>
      <c r="CL116" s="216">
        <f t="shared" ca="1" si="58"/>
        <v>-9.8254531621932983E-8</v>
      </c>
      <c r="CM116" s="216">
        <f t="shared" ca="1" si="58"/>
        <v>-9.8254531621932983E-8</v>
      </c>
      <c r="CN116" s="216">
        <f t="shared" ca="1" si="58"/>
        <v>-9.8254531621932983E-8</v>
      </c>
      <c r="CO116" s="216">
        <f t="shared" ca="1" si="58"/>
        <v>-9.8254531621932983E-8</v>
      </c>
      <c r="CP116" s="216">
        <f t="shared" ca="1" si="58"/>
        <v>-9.8254531621932983E-8</v>
      </c>
      <c r="CQ116" s="216">
        <f t="shared" ca="1" si="58"/>
        <v>-9.8254531621932983E-8</v>
      </c>
      <c r="CR116" s="216">
        <f t="shared" ca="1" si="58"/>
        <v>-9.8254531621932983E-8</v>
      </c>
      <c r="CS116" s="216">
        <f t="shared" ca="1" si="58"/>
        <v>-9.8254531621932983E-8</v>
      </c>
      <c r="CT116" s="216">
        <f t="shared" ca="1" si="58"/>
        <v>-9.8254531621932983E-8</v>
      </c>
      <c r="CU116" s="216">
        <f t="shared" ca="1" si="58"/>
        <v>-9.8254531621932983E-8</v>
      </c>
      <c r="CV116" s="216">
        <f t="shared" ca="1" si="58"/>
        <v>-9.8254531621932983E-8</v>
      </c>
      <c r="CW116" s="216">
        <f t="shared" ca="1" si="58"/>
        <v>-9.8254531621932983E-8</v>
      </c>
      <c r="CX116" s="216">
        <f t="shared" ca="1" si="58"/>
        <v>-9.8254531621932983E-8</v>
      </c>
      <c r="CY116" s="216">
        <f t="shared" ca="1" si="58"/>
        <v>-9.8254531621932983E-8</v>
      </c>
      <c r="CZ116" s="216">
        <f t="shared" ca="1" si="58"/>
        <v>-9.8254531621932983E-8</v>
      </c>
      <c r="DA116" s="216">
        <f t="shared" ca="1" si="58"/>
        <v>-9.8254531621932983E-8</v>
      </c>
      <c r="DB116" s="216">
        <f t="shared" ca="1" si="58"/>
        <v>-9.8254531621932983E-8</v>
      </c>
      <c r="DC116" s="216">
        <f t="shared" ca="1" si="58"/>
        <v>-9.8254531621932983E-8</v>
      </c>
      <c r="DD116" s="216">
        <f t="shared" ca="1" si="58"/>
        <v>-9.8254531621932983E-8</v>
      </c>
      <c r="DE116" s="216">
        <f t="shared" ca="1" si="58"/>
        <v>-9.8254531621932983E-8</v>
      </c>
      <c r="DF116" s="216">
        <f t="shared" ca="1" si="58"/>
        <v>-9.8254531621932983E-8</v>
      </c>
      <c r="DG116" s="216">
        <f t="shared" ca="1" si="58"/>
        <v>-9.8254531621932983E-8</v>
      </c>
      <c r="DH116" s="216">
        <f t="shared" ca="1" si="58"/>
        <v>-9.8254531621932983E-8</v>
      </c>
      <c r="DI116" s="216">
        <f t="shared" ca="1" si="58"/>
        <v>-9.8254531621932983E-8</v>
      </c>
      <c r="DJ116" s="216">
        <f t="shared" ca="1" si="58"/>
        <v>-9.8254531621932983E-8</v>
      </c>
      <c r="DK116" s="216">
        <f t="shared" ca="1" si="58"/>
        <v>-9.8254531621932983E-8</v>
      </c>
      <c r="DL116" s="216">
        <f t="shared" ca="1" si="58"/>
        <v>-9.8254531621932983E-8</v>
      </c>
      <c r="DM116" s="216">
        <f t="shared" ca="1" si="58"/>
        <v>-9.8254531621932983E-8</v>
      </c>
      <c r="DN116" s="216">
        <f t="shared" ca="1" si="58"/>
        <v>-9.8254531621932983E-8</v>
      </c>
      <c r="DO116" s="216">
        <f t="shared" ca="1" si="58"/>
        <v>-9.8254531621932983E-8</v>
      </c>
      <c r="DP116" s="216">
        <f t="shared" ca="1" si="58"/>
        <v>-9.8254531621932983E-8</v>
      </c>
      <c r="DQ116" s="216">
        <f t="shared" ca="1" si="58"/>
        <v>-9.8254531621932983E-8</v>
      </c>
      <c r="DR116" s="216">
        <f t="shared" ca="1" si="58"/>
        <v>-9.8254531621932983E-8</v>
      </c>
      <c r="DS116" s="216">
        <f t="shared" ca="1" si="58"/>
        <v>-9.8254531621932983E-8</v>
      </c>
      <c r="DT116" s="216">
        <f t="shared" ca="1" si="58"/>
        <v>-9.8254531621932983E-8</v>
      </c>
      <c r="DU116" s="216">
        <f t="shared" ca="1" si="58"/>
        <v>-9.8254531621932983E-8</v>
      </c>
      <c r="DV116" s="216">
        <f t="shared" ca="1" si="58"/>
        <v>-9.8254531621932983E-8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7678091.0764276385</v>
      </c>
      <c r="N117" s="235">
        <f t="shared" ca="1" si="59"/>
        <v>6195820.7044034926</v>
      </c>
      <c r="O117" s="235">
        <f t="shared" ca="1" si="59"/>
        <v>4642180.1211110139</v>
      </c>
      <c r="P117" s="235">
        <f t="shared" ca="1" si="59"/>
        <v>8749911.8533004522</v>
      </c>
      <c r="Q117" s="235">
        <f t="shared" ca="1" si="59"/>
        <v>7610192.0297607975</v>
      </c>
      <c r="R117" s="235">
        <f t="shared" ca="1" si="59"/>
        <v>1677732.0216624197</v>
      </c>
      <c r="S117" s="235">
        <f t="shared" ca="1" si="59"/>
        <v>860399.8060976069</v>
      </c>
      <c r="T117" s="235">
        <f t="shared" ca="1" si="59"/>
        <v>551540.68131434429</v>
      </c>
      <c r="U117" s="235">
        <f t="shared" ca="1" si="59"/>
        <v>3.4924596548080444E-9</v>
      </c>
      <c r="V117" s="235">
        <f t="shared" ca="1" si="59"/>
        <v>-3.9581209421157837E-9</v>
      </c>
      <c r="W117" s="235">
        <f t="shared" ca="1" si="59"/>
        <v>-3.9581209421157837E-9</v>
      </c>
      <c r="X117" s="235">
        <f t="shared" ca="1" si="59"/>
        <v>256642.51114696986</v>
      </c>
      <c r="Y117" s="235">
        <f t="shared" ca="1" si="59"/>
        <v>451631.67929949681</v>
      </c>
      <c r="Z117" s="235">
        <f t="shared" ca="1" si="59"/>
        <v>1108809.8810363363</v>
      </c>
      <c r="AA117" s="235">
        <f t="shared" ca="1" si="59"/>
        <v>1551337.5743290063</v>
      </c>
      <c r="AB117" s="235">
        <f t="shared" ca="1" si="59"/>
        <v>1539216.4197070387</v>
      </c>
      <c r="AC117" s="235">
        <f t="shared" ca="1" si="59"/>
        <v>2038479.2460844733</v>
      </c>
      <c r="AD117" s="235">
        <f t="shared" ca="1" si="59"/>
        <v>2968505.8714958522</v>
      </c>
      <c r="AE117" s="235">
        <f t="shared" ca="1" si="59"/>
        <v>3826287.1055219979</v>
      </c>
      <c r="AF117" s="235">
        <f t="shared" ca="1" si="59"/>
        <v>-9.8254531621932983E-8</v>
      </c>
      <c r="AG117" s="235">
        <f t="shared" ca="1" si="59"/>
        <v>-9.8254531621932983E-8</v>
      </c>
      <c r="AH117" s="235">
        <f t="shared" ca="1" si="59"/>
        <v>-9.8254531621932983E-8</v>
      </c>
      <c r="AI117" s="235">
        <f t="shared" ca="1" si="59"/>
        <v>-9.8254531621932983E-8</v>
      </c>
      <c r="AJ117" s="235">
        <f t="shared" ca="1" si="59"/>
        <v>-9.8254531621932983E-8</v>
      </c>
      <c r="AK117" s="235">
        <f t="shared" ca="1" si="59"/>
        <v>-9.8254531621932983E-8</v>
      </c>
      <c r="AL117" s="235">
        <f t="shared" ca="1" si="59"/>
        <v>-9.8254531621932983E-8</v>
      </c>
      <c r="AM117" s="235">
        <f t="shared" ca="1" si="59"/>
        <v>-9.8254531621932983E-8</v>
      </c>
      <c r="AN117" s="235">
        <f t="shared" ca="1" si="59"/>
        <v>-9.8254531621932983E-8</v>
      </c>
      <c r="AO117" s="235">
        <f t="shared" ca="1" si="59"/>
        <v>-9.8254531621932983E-8</v>
      </c>
      <c r="AP117" s="235">
        <f t="shared" ca="1" si="59"/>
        <v>-9.8254531621932983E-8</v>
      </c>
      <c r="AQ117" s="235">
        <f t="shared" ca="1" si="59"/>
        <v>-9.8254531621932983E-8</v>
      </c>
      <c r="AR117" s="235">
        <f t="shared" ca="1" si="59"/>
        <v>-9.8254531621932983E-8</v>
      </c>
      <c r="AS117" s="235">
        <f t="shared" ca="1" si="59"/>
        <v>-9.8254531621932983E-8</v>
      </c>
      <c r="AT117" s="235">
        <f t="shared" ca="1" si="59"/>
        <v>-9.8254531621932983E-8</v>
      </c>
      <c r="AU117" s="235">
        <f t="shared" ca="1" si="59"/>
        <v>-9.8254531621932983E-8</v>
      </c>
      <c r="AV117" s="235">
        <f t="shared" ca="1" si="59"/>
        <v>-9.8254531621932983E-8</v>
      </c>
      <c r="AW117" s="235">
        <f t="shared" ca="1" si="59"/>
        <v>-9.8254531621932983E-8</v>
      </c>
      <c r="AX117" s="235">
        <f t="shared" ca="1" si="59"/>
        <v>-9.8254531621932983E-8</v>
      </c>
      <c r="AY117" s="235">
        <f t="shared" ca="1" si="59"/>
        <v>-9.8254531621932983E-8</v>
      </c>
      <c r="AZ117" s="235">
        <f t="shared" ca="1" si="59"/>
        <v>-9.8254531621932983E-8</v>
      </c>
      <c r="BA117" s="235">
        <f t="shared" ca="1" si="59"/>
        <v>-9.8254531621932983E-8</v>
      </c>
      <c r="BB117" s="235">
        <f t="shared" ca="1" si="59"/>
        <v>-9.8254531621932983E-8</v>
      </c>
      <c r="BC117" s="235">
        <f t="shared" ca="1" si="59"/>
        <v>-9.8254531621932983E-8</v>
      </c>
      <c r="BD117" s="235">
        <f t="shared" ca="1" si="59"/>
        <v>-9.8254531621932983E-8</v>
      </c>
      <c r="BE117" s="235">
        <f t="shared" ca="1" si="59"/>
        <v>-9.8254531621932983E-8</v>
      </c>
      <c r="BF117" s="235">
        <f t="shared" ca="1" si="59"/>
        <v>-9.8254531621932983E-8</v>
      </c>
      <c r="BG117" s="235">
        <f t="shared" ca="1" si="59"/>
        <v>-9.8254531621932983E-8</v>
      </c>
      <c r="BH117" s="235">
        <f t="shared" ca="1" si="59"/>
        <v>-9.8254531621932983E-8</v>
      </c>
      <c r="BI117" s="235">
        <f t="shared" ca="1" si="59"/>
        <v>-9.8254531621932983E-8</v>
      </c>
      <c r="BJ117" s="235">
        <f t="shared" ca="1" si="59"/>
        <v>-9.8254531621932983E-8</v>
      </c>
      <c r="BK117" s="235">
        <f t="shared" ca="1" si="59"/>
        <v>-9.8254531621932983E-8</v>
      </c>
      <c r="BL117" s="235">
        <f t="shared" ca="1" si="59"/>
        <v>-9.8254531621932983E-8</v>
      </c>
      <c r="BM117" s="235">
        <f t="shared" ca="1" si="59"/>
        <v>-9.8254531621932983E-8</v>
      </c>
      <c r="BN117" s="235">
        <f t="shared" ca="1" si="59"/>
        <v>-9.8254531621932983E-8</v>
      </c>
      <c r="BO117" s="235">
        <f t="shared" ca="1" si="59"/>
        <v>-9.8254531621932983E-8</v>
      </c>
      <c r="BP117" s="235">
        <f t="shared" ca="1" si="59"/>
        <v>-9.8254531621932983E-8</v>
      </c>
      <c r="BQ117" s="235">
        <f t="shared" ca="1" si="59"/>
        <v>-9.8254531621932983E-8</v>
      </c>
      <c r="BR117" s="235">
        <f t="shared" ca="1" si="59"/>
        <v>-9.8254531621932983E-8</v>
      </c>
      <c r="BS117" s="235">
        <f t="shared" ca="1" si="59"/>
        <v>-9.8254531621932983E-8</v>
      </c>
      <c r="BT117" s="235">
        <f t="shared" ca="1" si="59"/>
        <v>-9.8254531621932983E-8</v>
      </c>
      <c r="BU117" s="235">
        <f t="shared" ca="1" si="59"/>
        <v>-9.8254531621932983E-8</v>
      </c>
      <c r="BV117" s="235">
        <f t="shared" ca="1" si="59"/>
        <v>-9.8254531621932983E-8</v>
      </c>
      <c r="BW117" s="235">
        <f t="shared" ca="1" si="59"/>
        <v>-9.8254531621932983E-8</v>
      </c>
      <c r="BX117" s="235">
        <f t="shared" ca="1" si="59"/>
        <v>-9.8254531621932983E-8</v>
      </c>
      <c r="BY117" s="235">
        <f t="shared" ref="BY117:DV117" ca="1" si="60">BY116+BY115</f>
        <v>-9.8254531621932983E-8</v>
      </c>
      <c r="BZ117" s="235">
        <f t="shared" ca="1" si="60"/>
        <v>-9.8254531621932983E-8</v>
      </c>
      <c r="CA117" s="235">
        <f t="shared" ca="1" si="60"/>
        <v>-9.8254531621932983E-8</v>
      </c>
      <c r="CB117" s="235">
        <f t="shared" ca="1" si="60"/>
        <v>-9.8254531621932983E-8</v>
      </c>
      <c r="CC117" s="235">
        <f t="shared" ca="1" si="60"/>
        <v>-9.8254531621932983E-8</v>
      </c>
      <c r="CD117" s="235">
        <f t="shared" ca="1" si="60"/>
        <v>-9.8254531621932983E-8</v>
      </c>
      <c r="CE117" s="235">
        <f t="shared" ca="1" si="60"/>
        <v>-9.8254531621932983E-8</v>
      </c>
      <c r="CF117" s="235">
        <f t="shared" ca="1" si="60"/>
        <v>-9.8254531621932983E-8</v>
      </c>
      <c r="CG117" s="235">
        <f t="shared" ca="1" si="60"/>
        <v>-9.8254531621932983E-8</v>
      </c>
      <c r="CH117" s="235">
        <f t="shared" ca="1" si="60"/>
        <v>-9.8254531621932983E-8</v>
      </c>
      <c r="CI117" s="235">
        <f t="shared" ca="1" si="60"/>
        <v>-9.8254531621932983E-8</v>
      </c>
      <c r="CJ117" s="235">
        <f t="shared" ca="1" si="60"/>
        <v>-9.8254531621932983E-8</v>
      </c>
      <c r="CK117" s="235">
        <f t="shared" ca="1" si="60"/>
        <v>-9.8254531621932983E-8</v>
      </c>
      <c r="CL117" s="235">
        <f t="shared" ca="1" si="60"/>
        <v>-9.8254531621932983E-8</v>
      </c>
      <c r="CM117" s="235">
        <f t="shared" ca="1" si="60"/>
        <v>-9.8254531621932983E-8</v>
      </c>
      <c r="CN117" s="235">
        <f t="shared" ca="1" si="60"/>
        <v>-9.8254531621932983E-8</v>
      </c>
      <c r="CO117" s="235">
        <f t="shared" ca="1" si="60"/>
        <v>-9.8254531621932983E-8</v>
      </c>
      <c r="CP117" s="235">
        <f t="shared" ca="1" si="60"/>
        <v>-9.8254531621932983E-8</v>
      </c>
      <c r="CQ117" s="235">
        <f t="shared" ca="1" si="60"/>
        <v>-9.8254531621932983E-8</v>
      </c>
      <c r="CR117" s="235">
        <f t="shared" ca="1" si="60"/>
        <v>-9.8254531621932983E-8</v>
      </c>
      <c r="CS117" s="235">
        <f t="shared" ca="1" si="60"/>
        <v>-9.8254531621932983E-8</v>
      </c>
      <c r="CT117" s="235">
        <f t="shared" ca="1" si="60"/>
        <v>-9.8254531621932983E-8</v>
      </c>
      <c r="CU117" s="235">
        <f t="shared" ca="1" si="60"/>
        <v>-9.8254531621932983E-8</v>
      </c>
      <c r="CV117" s="235">
        <f t="shared" ca="1" si="60"/>
        <v>-9.8254531621932983E-8</v>
      </c>
      <c r="CW117" s="235">
        <f t="shared" ca="1" si="60"/>
        <v>-9.8254531621932983E-8</v>
      </c>
      <c r="CX117" s="235">
        <f t="shared" ca="1" si="60"/>
        <v>-9.8254531621932983E-8</v>
      </c>
      <c r="CY117" s="235">
        <f t="shared" ca="1" si="60"/>
        <v>-9.8254531621932983E-8</v>
      </c>
      <c r="CZ117" s="235">
        <f t="shared" ca="1" si="60"/>
        <v>-9.8254531621932983E-8</v>
      </c>
      <c r="DA117" s="235">
        <f t="shared" ca="1" si="60"/>
        <v>-9.8254531621932983E-8</v>
      </c>
      <c r="DB117" s="235">
        <f t="shared" ca="1" si="60"/>
        <v>-9.8254531621932983E-8</v>
      </c>
      <c r="DC117" s="235">
        <f t="shared" ca="1" si="60"/>
        <v>-9.8254531621932983E-8</v>
      </c>
      <c r="DD117" s="235">
        <f t="shared" ca="1" si="60"/>
        <v>-9.8254531621932983E-8</v>
      </c>
      <c r="DE117" s="235">
        <f t="shared" ca="1" si="60"/>
        <v>-9.8254531621932983E-8</v>
      </c>
      <c r="DF117" s="235">
        <f t="shared" ca="1" si="60"/>
        <v>-9.8254531621932983E-8</v>
      </c>
      <c r="DG117" s="235">
        <f t="shared" ca="1" si="60"/>
        <v>-9.8254531621932983E-8</v>
      </c>
      <c r="DH117" s="235">
        <f t="shared" ca="1" si="60"/>
        <v>-9.8254531621932983E-8</v>
      </c>
      <c r="DI117" s="235">
        <f t="shared" ca="1" si="60"/>
        <v>-9.8254531621932983E-8</v>
      </c>
      <c r="DJ117" s="235">
        <f t="shared" ca="1" si="60"/>
        <v>-9.8254531621932983E-8</v>
      </c>
      <c r="DK117" s="235">
        <f t="shared" ca="1" si="60"/>
        <v>-9.8254531621932983E-8</v>
      </c>
      <c r="DL117" s="235">
        <f t="shared" ca="1" si="60"/>
        <v>-9.8254531621932983E-8</v>
      </c>
      <c r="DM117" s="235">
        <f t="shared" ca="1" si="60"/>
        <v>-9.8254531621932983E-8</v>
      </c>
      <c r="DN117" s="235">
        <f t="shared" ca="1" si="60"/>
        <v>-9.8254531621932983E-8</v>
      </c>
      <c r="DO117" s="235">
        <f t="shared" ca="1" si="60"/>
        <v>-9.8254531621932983E-8</v>
      </c>
      <c r="DP117" s="235">
        <f t="shared" ca="1" si="60"/>
        <v>-9.8254531621932983E-8</v>
      </c>
      <c r="DQ117" s="235">
        <f t="shared" ca="1" si="60"/>
        <v>-9.8254531621932983E-8</v>
      </c>
      <c r="DR117" s="235">
        <f t="shared" ca="1" si="60"/>
        <v>-9.8254531621932983E-8</v>
      </c>
      <c r="DS117" s="235">
        <f t="shared" ca="1" si="60"/>
        <v>-9.8254531621932983E-8</v>
      </c>
      <c r="DT117" s="235">
        <f t="shared" ca="1" si="60"/>
        <v>-9.8254531621932983E-8</v>
      </c>
      <c r="DU117" s="235">
        <f t="shared" ca="1" si="60"/>
        <v>-9.8254531621932983E-8</v>
      </c>
      <c r="DV117" s="235">
        <f t="shared" ca="1" si="60"/>
        <v>-9.8254531621932983E-8</v>
      </c>
    </row>
    <row r="118" spans="2:126" ht="11.25" customHeight="1">
      <c r="B118" s="211" t="str">
        <f>'CF(M)'!B123</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'CF(M)'!B124</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'CF(M)'!B125</f>
        <v>2종 우선주 CF_매각차익 제외</v>
      </c>
      <c r="C120" s="212"/>
      <c r="D120" s="212"/>
      <c r="E120" s="212"/>
      <c r="F120" s="212"/>
      <c r="G120" s="212"/>
      <c r="H120" s="213"/>
      <c r="I120" s="242">
        <f t="shared" ca="1" si="61"/>
        <v>7.6382734954516751E-2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1875000</v>
      </c>
      <c r="T120" s="216">
        <f t="shared" ca="1" si="67"/>
        <v>1875000</v>
      </c>
      <c r="U120" s="216">
        <f t="shared" ca="1" si="67"/>
        <v>1856056.3038810929</v>
      </c>
      <c r="V120" s="216">
        <f t="shared" ca="1" si="67"/>
        <v>1761729.2937996686</v>
      </c>
      <c r="W120" s="216">
        <f t="shared" ca="1" si="67"/>
        <v>1838082.375135636</v>
      </c>
      <c r="X120" s="216">
        <f t="shared" ca="1" si="67"/>
        <v>2044132.0271836026</v>
      </c>
      <c r="Y120" s="216">
        <f t="shared" ca="1" si="67"/>
        <v>1875000</v>
      </c>
      <c r="Z120" s="216">
        <f t="shared" ca="1" si="67"/>
        <v>1875000</v>
      </c>
      <c r="AA120" s="216">
        <f t="shared" ca="1" si="67"/>
        <v>1875000</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'CF(M)'!B126</f>
        <v>2종 우선주 CF_매각차익 포함</v>
      </c>
      <c r="C121" s="238"/>
      <c r="D121" s="238"/>
      <c r="E121" s="238"/>
      <c r="F121" s="238"/>
      <c r="G121" s="238"/>
      <c r="H121" s="239"/>
      <c r="I121" s="243">
        <f t="shared" ca="1" si="61"/>
        <v>9.2431551034658499E-2</v>
      </c>
      <c r="J121" s="241">
        <f t="shared" ca="1" si="62"/>
        <v>49615106.954888195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1875000</v>
      </c>
      <c r="T121" s="235">
        <f t="shared" ca="1" si="69"/>
        <v>1875000</v>
      </c>
      <c r="U121" s="235">
        <f t="shared" ca="1" si="69"/>
        <v>1856056.3038810929</v>
      </c>
      <c r="V121" s="235">
        <f t="shared" ca="1" si="69"/>
        <v>1761729.2937996686</v>
      </c>
      <c r="W121" s="235">
        <f t="shared" ca="1" si="69"/>
        <v>1838082.375135636</v>
      </c>
      <c r="X121" s="235">
        <f t="shared" ca="1" si="69"/>
        <v>2044132.0271836026</v>
      </c>
      <c r="Y121" s="235">
        <f t="shared" ca="1" si="69"/>
        <v>1875000</v>
      </c>
      <c r="Z121" s="235">
        <f t="shared" ca="1" si="69"/>
        <v>1875000</v>
      </c>
      <c r="AA121" s="235">
        <f t="shared" ca="1" si="69"/>
        <v>1875000</v>
      </c>
      <c r="AB121" s="235">
        <f t="shared" ca="1" si="69"/>
        <v>1875000</v>
      </c>
      <c r="AC121" s="235">
        <f t="shared" ca="1" si="69"/>
        <v>1875000</v>
      </c>
      <c r="AD121" s="235">
        <f t="shared" ca="1" si="69"/>
        <v>1875000</v>
      </c>
      <c r="AE121" s="235">
        <f t="shared" ca="1" si="69"/>
        <v>1875000</v>
      </c>
      <c r="AF121" s="235">
        <f t="shared" ca="1" si="69"/>
        <v>63990106.954888195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'CF(M)'!B127</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'CF(M)'!B128</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'CF(M)'!B129</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'CF(M)'!B130</f>
        <v>보통주 CF_매각차익 포함</v>
      </c>
      <c r="C125" s="238"/>
      <c r="D125" s="238"/>
      <c r="E125" s="238"/>
      <c r="F125" s="238"/>
      <c r="G125" s="238"/>
      <c r="H125" s="239"/>
      <c r="I125" s="243">
        <f t="shared" ca="1" si="61"/>
        <v>0.16438586395039989</v>
      </c>
      <c r="J125" s="241">
        <f t="shared" ca="1" si="62"/>
        <v>49570427.819552772</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63260427.819552772</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555</v>
      </c>
    </row>
    <row r="2" spans="1:129" s="4" customFormat="1">
      <c r="A2" s="4" t="s">
        <v>578</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556</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557</v>
      </c>
      <c r="C9" s="212"/>
      <c r="D9" s="212"/>
      <c r="E9" s="212"/>
      <c r="F9" s="212"/>
      <c r="G9" s="212"/>
      <c r="H9" s="213"/>
      <c r="I9" s="972"/>
      <c r="K9" s="216">
        <f ca="1">SUM(K10,K15)</f>
        <v>311756669.63053203</v>
      </c>
      <c r="L9" s="217">
        <f t="shared" ref="L9:BW9" ca="1" si="4">SUM(L10,L15)</f>
        <v>295296566.39706337</v>
      </c>
      <c r="M9" s="217">
        <f t="shared" ca="1" si="4"/>
        <v>291734310.17503923</v>
      </c>
      <c r="N9" s="217">
        <f t="shared" ca="1" si="4"/>
        <v>288835567.04853898</v>
      </c>
      <c r="O9" s="217">
        <f t="shared" ca="1" si="4"/>
        <v>290870735.77772844</v>
      </c>
      <c r="P9" s="217">
        <f t="shared" ca="1" si="4"/>
        <v>288378654.18319094</v>
      </c>
      <c r="Q9" s="217">
        <f t="shared" ca="1" si="4"/>
        <v>280387745.40140474</v>
      </c>
      <c r="R9" s="217">
        <f t="shared" ca="1" si="4"/>
        <v>278206863.32059926</v>
      </c>
      <c r="S9" s="217">
        <f t="shared" ca="1" si="4"/>
        <v>275837079.00478047</v>
      </c>
      <c r="T9" s="217">
        <f t="shared" ca="1" si="4"/>
        <v>273919091.6704734</v>
      </c>
      <c r="U9" s="217">
        <f t="shared" ca="1" si="4"/>
        <v>271867918.28400582</v>
      </c>
      <c r="V9" s="217">
        <f t="shared" ca="1" si="4"/>
        <v>270494640.22750413</v>
      </c>
      <c r="W9" s="217">
        <f t="shared" ca="1" si="4"/>
        <v>268706955.94991291</v>
      </c>
      <c r="X9" s="217">
        <f t="shared" ca="1" si="4"/>
        <v>267521972.61267626</v>
      </c>
      <c r="Y9" s="217">
        <f t="shared" ca="1" si="4"/>
        <v>266141533.69144964</v>
      </c>
      <c r="Z9" s="217">
        <f t="shared" ca="1" si="4"/>
        <v>265197528.65246394</v>
      </c>
      <c r="AA9" s="217">
        <f t="shared" ca="1" si="4"/>
        <v>263162104.49764258</v>
      </c>
      <c r="AB9" s="217">
        <f t="shared" ca="1" si="4"/>
        <v>262268017.84590566</v>
      </c>
      <c r="AC9" s="217">
        <f t="shared" ca="1" si="4"/>
        <v>261166096.19662091</v>
      </c>
      <c r="AD9" s="217">
        <f t="shared" ca="1" si="4"/>
        <v>260624616.25290397</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558</v>
      </c>
      <c r="D10" s="159"/>
      <c r="E10" s="159"/>
      <c r="F10" s="159"/>
      <c r="G10" s="159"/>
      <c r="H10" s="160"/>
      <c r="I10" s="973"/>
      <c r="J10" s="98"/>
      <c r="K10" s="162">
        <f t="shared" ref="K10:AP10" ca="1" si="6">SUM(K11:K14)</f>
        <v>22856669.630531996</v>
      </c>
      <c r="L10" s="162">
        <f t="shared" ca="1" si="6"/>
        <v>8105409.897063354</v>
      </c>
      <c r="M10" s="162">
        <f t="shared" ca="1" si="6"/>
        <v>6251997.1750392094</v>
      </c>
      <c r="N10" s="162">
        <f t="shared" ca="1" si="6"/>
        <v>5062097.5485390071</v>
      </c>
      <c r="O10" s="162">
        <f t="shared" ca="1" si="6"/>
        <v>8806109.7777284477</v>
      </c>
      <c r="P10" s="162">
        <f t="shared" ca="1" si="6"/>
        <v>8022871.6831909176</v>
      </c>
      <c r="Q10" s="162">
        <f t="shared" ca="1" si="6"/>
        <v>1740806.401404755</v>
      </c>
      <c r="R10" s="162">
        <f t="shared" ca="1" si="6"/>
        <v>1268767.8205992421</v>
      </c>
      <c r="S10" s="162">
        <f t="shared" ca="1" si="6"/>
        <v>607827.0047804463</v>
      </c>
      <c r="T10" s="162">
        <f t="shared" ca="1" si="6"/>
        <v>398683.17047339317</v>
      </c>
      <c r="U10" s="162">
        <f t="shared" ca="1" si="6"/>
        <v>56353.284005817288</v>
      </c>
      <c r="V10" s="162">
        <f t="shared" ca="1" si="6"/>
        <v>391918.72750415769</v>
      </c>
      <c r="W10" s="162">
        <f t="shared" ca="1" si="6"/>
        <v>313077.94991290796</v>
      </c>
      <c r="X10" s="162">
        <f t="shared" ca="1" si="6"/>
        <v>836938.11267627287</v>
      </c>
      <c r="Y10" s="162">
        <f t="shared" ca="1" si="6"/>
        <v>1165342.6914496538</v>
      </c>
      <c r="Z10" s="162">
        <f t="shared" ca="1" si="6"/>
        <v>1930181.1524639376</v>
      </c>
      <c r="AA10" s="162">
        <f t="shared" ca="1" si="6"/>
        <v>1603600.497642589</v>
      </c>
      <c r="AB10" s="162">
        <f t="shared" ca="1" si="6"/>
        <v>2418357.3459056634</v>
      </c>
      <c r="AC10" s="162">
        <f t="shared" ca="1" si="6"/>
        <v>3025279.1966209156</v>
      </c>
      <c r="AD10" s="162">
        <f t="shared" ca="1" si="6"/>
        <v>4192642.7529039625</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559</v>
      </c>
      <c r="E11" s="165"/>
      <c r="F11" s="165"/>
      <c r="G11" s="165"/>
      <c r="H11" s="166"/>
      <c r="I11" s="974"/>
      <c r="J11" s="98"/>
      <c r="K11" s="168">
        <f ca="1">SUMIF('BS(M)'!$K$13:$EP$13,K$8,'BS(M)'!$K16:$EP16)</f>
        <v>10000000</v>
      </c>
      <c r="L11" s="168">
        <f ca="1">SUMIF('BS(M)'!$K$13:$EP$13,L$8,'BS(M)'!$K16:$EP16)</f>
        <v>7678091.0764276385</v>
      </c>
      <c r="M11" s="168">
        <f ca="1">SUMIF('BS(M)'!$K$13:$EP$13,M$8,'BS(M)'!$K16:$EP16)</f>
        <v>6195820.7044034936</v>
      </c>
      <c r="N11" s="168">
        <f ca="1">SUMIF('BS(M)'!$K$13:$EP$13,N$8,'BS(M)'!$K16:$EP16)</f>
        <v>4642180.121111013</v>
      </c>
      <c r="O11" s="168">
        <f ca="1">SUMIF('BS(M)'!$K$13:$EP$13,O$8,'BS(M)'!$K16:$EP16)</f>
        <v>8749911.8533004541</v>
      </c>
      <c r="P11" s="168">
        <f ca="1">SUMIF('BS(M)'!$K$13:$EP$13,P$8,'BS(M)'!$K16:$EP16)</f>
        <v>7610192.0297607984</v>
      </c>
      <c r="Q11" s="168">
        <f ca="1">SUMIF('BS(M)'!$K$13:$EP$13,Q$8,'BS(M)'!$K16:$EP16)</f>
        <v>1677732.0216624197</v>
      </c>
      <c r="R11" s="168">
        <f ca="1">SUMIF('BS(M)'!$K$13:$EP$13,R$8,'BS(M)'!$K16:$EP16)</f>
        <v>860399.8060976062</v>
      </c>
      <c r="S11" s="168">
        <f ca="1">SUMIF('BS(M)'!$K$13:$EP$13,S$8,'BS(M)'!$K16:$EP16)</f>
        <v>551540.68131434079</v>
      </c>
      <c r="T11" s="168">
        <f ca="1">SUMIF('BS(M)'!$K$13:$EP$13,T$8,'BS(M)'!$K16:$EP16)</f>
        <v>0</v>
      </c>
      <c r="U11" s="168">
        <f ca="1">SUMIF('BS(M)'!$K$13:$EP$13,U$8,'BS(M)'!$K16:$EP16)</f>
        <v>0</v>
      </c>
      <c r="V11" s="168">
        <f ca="1">SUMIF('BS(M)'!$K$13:$EP$13,V$8,'BS(M)'!$K16:$EP16)</f>
        <v>0</v>
      </c>
      <c r="W11" s="168">
        <f ca="1">SUMIF('BS(M)'!$K$13:$EP$13,W$8,'BS(M)'!$K16:$EP16)</f>
        <v>256642.51114697475</v>
      </c>
      <c r="X11" s="168">
        <f ca="1">SUMIF('BS(M)'!$K$13:$EP$13,X$8,'BS(M)'!$K16:$EP16)</f>
        <v>451631.67929950217</v>
      </c>
      <c r="Y11" s="168">
        <f ca="1">SUMIF('BS(M)'!$K$13:$EP$13,Y$8,'BS(M)'!$K16:$EP16)</f>
        <v>1108809.8810363431</v>
      </c>
      <c r="Z11" s="168">
        <f ca="1">SUMIF('BS(M)'!$K$13:$EP$13,Z$8,'BS(M)'!$K16:$EP16)</f>
        <v>1551337.5743290116</v>
      </c>
      <c r="AA11" s="168">
        <f ca="1">SUMIF('BS(M)'!$K$13:$EP$13,AA$8,'BS(M)'!$K16:$EP16)</f>
        <v>1539216.419707044</v>
      </c>
      <c r="AB11" s="168">
        <f ca="1">SUMIF('BS(M)'!$K$13:$EP$13,AB$8,'BS(M)'!$K16:$EP16)</f>
        <v>2038479.2460844791</v>
      </c>
      <c r="AC11" s="168">
        <f ca="1">SUMIF('BS(M)'!$K$13:$EP$13,AC$8,'BS(M)'!$K16:$EP16)</f>
        <v>2968505.8714958564</v>
      </c>
      <c r="AD11" s="168">
        <f ca="1">SUMIF('BS(M)'!$K$13:$EP$13,AD$8,'BS(M)'!$K16:$EP16)</f>
        <v>3826287.1055220002</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560</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561</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562</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563</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568</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569</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570</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564</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643</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618</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644</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94853328.723730013</v>
      </c>
      <c r="M29" s="216">
        <f t="shared" ca="1" si="26"/>
        <v>91442360.968372539</v>
      </c>
      <c r="N29" s="216">
        <f t="shared" ca="1" si="26"/>
        <v>88307950.572255671</v>
      </c>
      <c r="O29" s="216">
        <f t="shared" ca="1" si="26"/>
        <v>75576097.320070118</v>
      </c>
      <c r="P29" s="216">
        <f t="shared" ca="1" si="26"/>
        <v>72850430.033390835</v>
      </c>
      <c r="Q29" s="216">
        <f t="shared" ca="1" si="26"/>
        <v>65090346.661737792</v>
      </c>
      <c r="R29" s="216">
        <f t="shared" ca="1" si="26"/>
        <v>62677900.173971936</v>
      </c>
      <c r="S29" s="216">
        <f t="shared" ca="1" si="26"/>
        <v>60536847.790157512</v>
      </c>
      <c r="T29" s="216">
        <f t="shared" ca="1" si="26"/>
        <v>58389257.364789784</v>
      </c>
      <c r="U29" s="216">
        <f t="shared" ca="1" si="26"/>
        <v>56564781.212430231</v>
      </c>
      <c r="V29" s="216">
        <f t="shared" ca="1" si="26"/>
        <v>54963801.718024984</v>
      </c>
      <c r="W29" s="216">
        <f t="shared" ca="1" si="26"/>
        <v>53400838.422735535</v>
      </c>
      <c r="X29" s="216">
        <f t="shared" ca="1" si="26"/>
        <v>51989995.928090863</v>
      </c>
      <c r="Y29" s="216">
        <f t="shared" ca="1" si="26"/>
        <v>50832359.865271017</v>
      </c>
      <c r="Z29" s="216">
        <f t="shared" ca="1" si="26"/>
        <v>49664278.850343913</v>
      </c>
      <c r="AA29" s="216">
        <f t="shared" ca="1" si="26"/>
        <v>47849797.255709521</v>
      </c>
      <c r="AB29" s="216">
        <f t="shared" ca="1" si="26"/>
        <v>46733358.967657976</v>
      </c>
      <c r="AC29" s="216">
        <f t="shared" ca="1" si="26"/>
        <v>45850577.119706787</v>
      </c>
      <c r="AD29" s="216">
        <f t="shared" ca="1" si="26"/>
        <v>45088411.278207332</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6320000</v>
      </c>
      <c r="L31" s="168">
        <f>SUMIF('BS(M)'!$K$13:$EP$13,L$8,'BS(M)'!$K36:$EP36)</f>
        <v>6320000</v>
      </c>
      <c r="M31" s="168">
        <f>SUMIF('BS(M)'!$K$13:$EP$13,M$8,'BS(M)'!$K36:$EP36)</f>
        <v>6320000</v>
      </c>
      <c r="N31" s="168">
        <f>SUMIF('BS(M)'!$K$13:$EP$13,N$8,'BS(M)'!$K36:$EP36)</f>
        <v>6320000</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92480000</v>
      </c>
      <c r="L32" s="171">
        <f>SUMIF('BS(M)'!$K$13:$EP$13,L$8,'BS(M)'!$K37:$EP37)</f>
        <v>92480000</v>
      </c>
      <c r="M32" s="171">
        <f>SUMIF('BS(M)'!$K$13:$EP$13,M$8,'BS(M)'!$K37:$EP37)</f>
        <v>92480000</v>
      </c>
      <c r="N32" s="171">
        <f>SUMIF('BS(M)'!$K$13:$EP$13,N$8,'BS(M)'!$K37:$EP37)</f>
        <v>92480000</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565</v>
      </c>
      <c r="D33" s="159"/>
      <c r="E33" s="159"/>
      <c r="F33" s="159"/>
      <c r="G33" s="159"/>
      <c r="H33" s="160"/>
      <c r="I33" s="973"/>
      <c r="J33" s="98"/>
      <c r="K33" s="162">
        <f t="shared" ref="K33:AP33" ca="1" si="30">SUM(K34:K34)</f>
        <v>0</v>
      </c>
      <c r="L33" s="162">
        <f t="shared" ca="1" si="30"/>
        <v>-3946671.2762699807</v>
      </c>
      <c r="M33" s="162">
        <f t="shared" ca="1" si="30"/>
        <v>-7357639.0316274613</v>
      </c>
      <c r="N33" s="162">
        <f t="shared" ca="1" si="30"/>
        <v>-10492049.427744329</v>
      </c>
      <c r="O33" s="162">
        <f t="shared" ca="1" si="30"/>
        <v>-13223902.679929886</v>
      </c>
      <c r="P33" s="162">
        <f t="shared" ca="1" si="30"/>
        <v>-15949569.966609169</v>
      </c>
      <c r="Q33" s="162">
        <f t="shared" ca="1" si="30"/>
        <v>-23709653.338262208</v>
      </c>
      <c r="R33" s="162">
        <f t="shared" ca="1" si="30"/>
        <v>-26122099.826028068</v>
      </c>
      <c r="S33" s="162">
        <f t="shared" ca="1" si="30"/>
        <v>-28263152.209842488</v>
      </c>
      <c r="T33" s="162">
        <f t="shared" ca="1" si="30"/>
        <v>-30410742.635210212</v>
      </c>
      <c r="U33" s="162">
        <f t="shared" ca="1" si="30"/>
        <v>-32235218.787569769</v>
      </c>
      <c r="V33" s="162">
        <f t="shared" ca="1" si="30"/>
        <v>-33836198.281975016</v>
      </c>
      <c r="W33" s="162">
        <f t="shared" ca="1" si="30"/>
        <v>-35399161.577264465</v>
      </c>
      <c r="X33" s="162">
        <f t="shared" ca="1" si="30"/>
        <v>-36810004.071909137</v>
      </c>
      <c r="Y33" s="162">
        <f t="shared" ca="1" si="30"/>
        <v>-37967640.134728983</v>
      </c>
      <c r="Z33" s="162">
        <f t="shared" ca="1" si="30"/>
        <v>-39135721.149656087</v>
      </c>
      <c r="AA33" s="162">
        <f t="shared" ca="1" si="30"/>
        <v>-40950202.744290479</v>
      </c>
      <c r="AB33" s="162">
        <f t="shared" ca="1" si="30"/>
        <v>-42066641.032342024</v>
      </c>
      <c r="AC33" s="162">
        <f t="shared" ca="1" si="30"/>
        <v>-42949422.880293213</v>
      </c>
      <c r="AD33" s="162">
        <f t="shared" ca="1" si="30"/>
        <v>-43711588.721792668</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-3946671.2762699807</v>
      </c>
      <c r="M34" s="168">
        <f ca="1">SUMIF('BS(M)'!$K$13:$EP$13,M$8,'BS(M)'!$K39:$EP39)</f>
        <v>-7357639.0316274613</v>
      </c>
      <c r="N34" s="168">
        <f ca="1">SUMIF('BS(M)'!$K$13:$EP$13,N$8,'BS(M)'!$K39:$EP39)</f>
        <v>-10492049.427744329</v>
      </c>
      <c r="O34" s="168">
        <f ca="1">SUMIF('BS(M)'!$K$13:$EP$13,O$8,'BS(M)'!$K39:$EP39)</f>
        <v>-13223902.679929886</v>
      </c>
      <c r="P34" s="168">
        <f ca="1">SUMIF('BS(M)'!$K$13:$EP$13,P$8,'BS(M)'!$K39:$EP39)</f>
        <v>-15949569.966609169</v>
      </c>
      <c r="Q34" s="168">
        <f ca="1">SUMIF('BS(M)'!$K$13:$EP$13,Q$8,'BS(M)'!$K39:$EP39)</f>
        <v>-23709653.338262208</v>
      </c>
      <c r="R34" s="168">
        <f ca="1">SUMIF('BS(M)'!$K$13:$EP$13,R$8,'BS(M)'!$K39:$EP39)</f>
        <v>-26122099.826028068</v>
      </c>
      <c r="S34" s="168">
        <f ca="1">SUMIF('BS(M)'!$K$13:$EP$13,S$8,'BS(M)'!$K39:$EP39)</f>
        <v>-28263152.209842488</v>
      </c>
      <c r="T34" s="168">
        <f ca="1">SUMIF('BS(M)'!$K$13:$EP$13,T$8,'BS(M)'!$K39:$EP39)</f>
        <v>-30410742.635210212</v>
      </c>
      <c r="U34" s="168">
        <f ca="1">SUMIF('BS(M)'!$K$13:$EP$13,U$8,'BS(M)'!$K39:$EP39)</f>
        <v>-32235218.787569769</v>
      </c>
      <c r="V34" s="168">
        <f ca="1">SUMIF('BS(M)'!$K$13:$EP$13,V$8,'BS(M)'!$K39:$EP39)</f>
        <v>-33836198.281975016</v>
      </c>
      <c r="W34" s="168">
        <f ca="1">SUMIF('BS(M)'!$K$13:$EP$13,W$8,'BS(M)'!$K39:$EP39)</f>
        <v>-35399161.577264465</v>
      </c>
      <c r="X34" s="168">
        <f ca="1">SUMIF('BS(M)'!$K$13:$EP$13,X$8,'BS(M)'!$K39:$EP39)</f>
        <v>-36810004.071909137</v>
      </c>
      <c r="Y34" s="168">
        <f ca="1">SUMIF('BS(M)'!$K$13:$EP$13,Y$8,'BS(M)'!$K39:$EP39)</f>
        <v>-37967640.134728983</v>
      </c>
      <c r="Z34" s="168">
        <f ca="1">SUMIF('BS(M)'!$K$13:$EP$13,Z$8,'BS(M)'!$K39:$EP39)</f>
        <v>-39135721.149656087</v>
      </c>
      <c r="AA34" s="168">
        <f ca="1">SUMIF('BS(M)'!$K$13:$EP$13,AA$8,'BS(M)'!$K39:$EP39)</f>
        <v>-40950202.744290479</v>
      </c>
      <c r="AB34" s="168">
        <f ca="1">SUMIF('BS(M)'!$K$13:$EP$13,AB$8,'BS(M)'!$K39:$EP39)</f>
        <v>-42066641.032342024</v>
      </c>
      <c r="AC34" s="168">
        <f ca="1">SUMIF('BS(M)'!$K$13:$EP$13,AC$8,'BS(M)'!$K39:$EP39)</f>
        <v>-42949422.880293213</v>
      </c>
      <c r="AD34" s="168">
        <f ca="1">SUMIF('BS(M)'!$K$13:$EP$13,AD$8,'BS(M)'!$K39:$EP39)</f>
        <v>-43711588.721792668</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566</v>
      </c>
      <c r="C35" s="231"/>
      <c r="D35" s="231"/>
      <c r="E35" s="231"/>
      <c r="F35" s="231"/>
      <c r="G35" s="231"/>
      <c r="H35" s="232"/>
      <c r="I35" s="978"/>
      <c r="K35" s="235">
        <f t="shared" ref="K35:AP35" ca="1" si="34">SUM(K19,K29)</f>
        <v>311756669.63053203</v>
      </c>
      <c r="L35" s="235">
        <f t="shared" ca="1" si="34"/>
        <v>295296566.39706337</v>
      </c>
      <c r="M35" s="235">
        <f t="shared" ca="1" si="34"/>
        <v>291734310.17503923</v>
      </c>
      <c r="N35" s="235">
        <f t="shared" ca="1" si="34"/>
        <v>288835567.04853904</v>
      </c>
      <c r="O35" s="235">
        <f t="shared" ca="1" si="34"/>
        <v>290870735.77772844</v>
      </c>
      <c r="P35" s="235">
        <f t="shared" ca="1" si="34"/>
        <v>288378654.18319094</v>
      </c>
      <c r="Q35" s="235">
        <f t="shared" ca="1" si="34"/>
        <v>280387745.40140474</v>
      </c>
      <c r="R35" s="235">
        <f t="shared" ca="1" si="34"/>
        <v>278206863.32059926</v>
      </c>
      <c r="S35" s="235">
        <f t="shared" ca="1" si="34"/>
        <v>275837079.00478041</v>
      </c>
      <c r="T35" s="235">
        <f t="shared" ca="1" si="34"/>
        <v>273919091.67047334</v>
      </c>
      <c r="U35" s="235">
        <f t="shared" ca="1" si="34"/>
        <v>271867918.28400582</v>
      </c>
      <c r="V35" s="235">
        <f t="shared" ca="1" si="34"/>
        <v>270494640.22750413</v>
      </c>
      <c r="W35" s="235">
        <f t="shared" ca="1" si="34"/>
        <v>268706955.94991291</v>
      </c>
      <c r="X35" s="235">
        <f t="shared" ca="1" si="34"/>
        <v>267521972.61267629</v>
      </c>
      <c r="Y35" s="235">
        <f t="shared" ca="1" si="34"/>
        <v>266141533.69144964</v>
      </c>
      <c r="Z35" s="235">
        <f t="shared" ca="1" si="34"/>
        <v>265197528.65246394</v>
      </c>
      <c r="AA35" s="235">
        <f t="shared" ca="1" si="34"/>
        <v>263162104.49764261</v>
      </c>
      <c r="AB35" s="235">
        <f t="shared" ca="1" si="34"/>
        <v>262268017.84590569</v>
      </c>
      <c r="AC35" s="235">
        <f t="shared" ca="1" si="34"/>
        <v>261166096.19662091</v>
      </c>
      <c r="AD35" s="235">
        <f t="shared" ca="1" si="34"/>
        <v>260624616.25290397</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567</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A19" zoomScaleNormal="100" workbookViewId="0">
      <selection activeCell="M19" sqref="M19"/>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1114</v>
      </c>
      <c r="D12" s="148"/>
      <c r="E12" s="148"/>
      <c r="F12" s="713"/>
      <c r="G12" s="713"/>
      <c r="H12" s="713"/>
      <c r="I12" s="209"/>
      <c r="J12" s="190"/>
      <c r="K12" s="148"/>
      <c r="M12" s="1874">
        <f>SUMIF('A&amp;R'!$Y$35:$AH$35,M$11,'A&amp;R'!$Y$34:$AH$34)</f>
        <v>0</v>
      </c>
      <c r="N12" s="1874">
        <f>SUMIF('A&amp;R'!$Y$35:$AH$35,N$11,'A&amp;R'!$Y$34:$AH$34)</f>
        <v>0</v>
      </c>
      <c r="O12" s="1874">
        <f>SUMIF('A&amp;R'!$Y$35:$AH$35,O$11,'A&amp;R'!$Y$34:$AH$34)</f>
        <v>0</v>
      </c>
      <c r="P12" s="1874">
        <f>SUMIF('A&amp;R'!$Y$35:$AH$35,P$11,'A&amp;R'!$Y$34:$AH$34)</f>
        <v>0</v>
      </c>
      <c r="Q12" s="1874">
        <f>SUMIF('A&amp;R'!$Y$35:$AH$35,Q$11,'A&amp;R'!$Y$34:$AH$34)</f>
        <v>0</v>
      </c>
      <c r="R12" s="1874">
        <f>SUMIF('A&amp;R'!$Y$35:$AH$35,R$11,'A&amp;R'!$Y$34:$AH$34)</f>
        <v>0</v>
      </c>
      <c r="S12" s="1874">
        <f>SUMIF('A&amp;R'!$Y$35:$AH$35,S$11,'A&amp;R'!$Y$34:$AH$34)</f>
        <v>0</v>
      </c>
      <c r="T12" s="1874">
        <f>SUMIF('A&amp;R'!$Y$35:$AH$35,T$11,'A&amp;R'!$Y$34:$AH$34)</f>
        <v>0</v>
      </c>
      <c r="U12" s="1874">
        <f>SUMIF('A&amp;R'!$Y$35:$AH$35,U$11,'A&amp;R'!$Y$34:$AH$34)</f>
        <v>0</v>
      </c>
      <c r="V12" s="1874">
        <f>SUMIF('A&amp;R'!$Y$35:$AH$35,V$11,'A&amp;R'!$Y$34:$AH$34)</f>
        <v>0</v>
      </c>
      <c r="W12" s="1874">
        <f>SUMIF('A&amp;R'!$Y$35:$AH$35,W$11,'A&amp;R'!$Y$34:$AH$34)</f>
        <v>0</v>
      </c>
      <c r="X12" s="1874">
        <f>SUMIF('A&amp;R'!$Y$35:$AH$35,X$11,'A&amp;R'!$Y$34:$AH$34)</f>
        <v>0</v>
      </c>
      <c r="Y12" s="1874">
        <f>SUMIF('A&amp;R'!$Y$35:$AH$35,Y$11,'A&amp;R'!$Y$34:$AH$34)</f>
        <v>0</v>
      </c>
      <c r="Z12" s="1874">
        <f>SUMIF('A&amp;R'!$Y$35:$AH$35,Z$11,'A&amp;R'!$Y$34:$AH$34)</f>
        <v>0</v>
      </c>
      <c r="AA12" s="1874">
        <f>SUMIF('A&amp;R'!$Y$35:$AH$35,AA$11,'A&amp;R'!$Y$34:$AH$34)</f>
        <v>0</v>
      </c>
      <c r="AB12" s="1874">
        <f>SUMIF('A&amp;R'!$Y$35:$AH$35,AB$11,'A&amp;R'!$Y$34:$AH$34)</f>
        <v>0</v>
      </c>
      <c r="AC12" s="1874">
        <f>SUMIF('A&amp;R'!$Y$35:$AH$35,AC$11,'A&amp;R'!$Y$34:$AH$34)</f>
        <v>0</v>
      </c>
      <c r="AD12" s="1874">
        <f>SUMIF('A&amp;R'!$Y$35:$AH$35,AD$11,'A&amp;R'!$Y$34:$AH$34)</f>
        <v>0</v>
      </c>
      <c r="AE12" s="1874">
        <f>SUMIF('A&amp;R'!$Y$35:$AH$35,AE$11,'A&amp;R'!$Y$34:$AH$34)</f>
        <v>0</v>
      </c>
      <c r="AF12" s="1874">
        <f>SUMIF('A&amp;R'!$Y$35:$AH$35,AF$11,'A&amp;R'!$Y$34:$AH$34)</f>
        <v>0</v>
      </c>
      <c r="AG12" s="1874">
        <f>SUMIF('A&amp;R'!$Y$35:$AH$35,AG$11,'A&amp;R'!$Y$34:$AH$34)</f>
        <v>0</v>
      </c>
      <c r="AH12" s="1874">
        <f>SUMIF('A&amp;R'!$Y$35:$AH$35,AH$11,'A&amp;R'!$Y$34:$AH$34)</f>
        <v>0</v>
      </c>
      <c r="AI12" s="1874">
        <f>SUMIF('A&amp;R'!$Y$35:$AH$35,AI$11,'A&amp;R'!$Y$34:$AH$34)</f>
        <v>0</v>
      </c>
      <c r="AJ12" s="1874">
        <f>SUMIF('A&amp;R'!$Y$35:$AH$35,AJ$11,'A&amp;R'!$Y$34:$AH$34)</f>
        <v>0</v>
      </c>
      <c r="AK12" s="1874">
        <f>SUMIF('A&amp;R'!$Y$35:$AH$35,AK$11,'A&amp;R'!$Y$34:$AH$34)</f>
        <v>0</v>
      </c>
      <c r="AL12" s="1874">
        <f>SUMIF('A&amp;R'!$Y$35:$AH$35,AL$11,'A&amp;R'!$Y$34:$AH$34)</f>
        <v>0</v>
      </c>
      <c r="AM12" s="1874">
        <f>SUMIF('A&amp;R'!$Y$35:$AH$35,AM$11,'A&amp;R'!$Y$34:$AH$34)</f>
        <v>0</v>
      </c>
      <c r="AN12" s="1874">
        <f>SUMIF('A&amp;R'!$Y$35:$AH$35,AN$11,'A&amp;R'!$Y$34:$AH$34)</f>
        <v>0</v>
      </c>
      <c r="AO12" s="1874">
        <f>SUMIF('A&amp;R'!$Y$35:$AH$35,AO$11,'A&amp;R'!$Y$34:$AH$34)</f>
        <v>0</v>
      </c>
      <c r="AP12" s="1874">
        <f>SUMIF('A&amp;R'!$Y$35:$AH$35,AP$11,'A&amp;R'!$Y$34:$AH$34)</f>
        <v>0</v>
      </c>
      <c r="AQ12" s="1874">
        <f>SUMIF('A&amp;R'!$Y$35:$AH$35,AQ$11,'A&amp;R'!$Y$34:$AH$34)</f>
        <v>0</v>
      </c>
      <c r="AR12" s="1874">
        <f>SUMIF('A&amp;R'!$Y$35:$AH$35,AR$11,'A&amp;R'!$Y$34:$AH$34)</f>
        <v>0</v>
      </c>
      <c r="AS12" s="1874">
        <f>SUMIF('A&amp;R'!$Y$35:$AH$35,AS$11,'A&amp;R'!$Y$34:$AH$34)</f>
        <v>0</v>
      </c>
      <c r="AT12" s="1874">
        <f>SUMIF('A&amp;R'!$Y$35:$AH$35,AT$11,'A&amp;R'!$Y$34:$AH$34)</f>
        <v>0</v>
      </c>
      <c r="AU12" s="1874">
        <f>SUMIF('A&amp;R'!$Y$35:$AH$35,AU$11,'A&amp;R'!$Y$34:$AH$34)</f>
        <v>0</v>
      </c>
      <c r="AV12" s="1874">
        <f>SUMIF('A&amp;R'!$Y$35:$AH$35,AV$11,'A&amp;R'!$Y$34:$AH$34)</f>
        <v>0</v>
      </c>
      <c r="AW12" s="1874">
        <f>SUMIF('A&amp;R'!$Y$35:$AH$35,AW$11,'A&amp;R'!$Y$34:$AH$34)</f>
        <v>0</v>
      </c>
      <c r="AX12" s="1874">
        <f>SUMIF('A&amp;R'!$Y$35:$AH$35,AX$11,'A&amp;R'!$Y$34:$AH$34)</f>
        <v>0</v>
      </c>
      <c r="AY12" s="1874">
        <f>SUMIF('A&amp;R'!$Y$35:$AH$35,AY$11,'A&amp;R'!$Y$34:$AH$34)</f>
        <v>0</v>
      </c>
      <c r="AZ12" s="1874">
        <f>SUMIF('A&amp;R'!$Y$35:$AH$35,AZ$11,'A&amp;R'!$Y$34:$AH$34)</f>
        <v>0</v>
      </c>
      <c r="BA12" s="1874">
        <f>SUMIF('A&amp;R'!$Y$35:$AH$35,BA$11,'A&amp;R'!$Y$34:$AH$34)</f>
        <v>0</v>
      </c>
      <c r="BB12" s="1874">
        <f>SUMIF('A&amp;R'!$Y$35:$AH$35,BB$11,'A&amp;R'!$Y$34:$AH$34)</f>
        <v>0</v>
      </c>
      <c r="BC12" s="1874">
        <f>SUMIF('A&amp;R'!$Y$35:$AH$35,BC$11,'A&amp;R'!$Y$34:$AH$34)</f>
        <v>0</v>
      </c>
      <c r="BD12" s="1874">
        <f>SUMIF('A&amp;R'!$Y$35:$AH$35,BD$11,'A&amp;R'!$Y$34:$AH$34)</f>
        <v>0</v>
      </c>
      <c r="BE12" s="1874">
        <f>SUMIF('A&amp;R'!$Y$35:$AH$35,BE$11,'A&amp;R'!$Y$34:$AH$34)</f>
        <v>0</v>
      </c>
      <c r="BF12" s="1874">
        <f>SUMIF('A&amp;R'!$Y$35:$AH$35,BF$11,'A&amp;R'!$Y$34:$AH$34)</f>
        <v>0</v>
      </c>
      <c r="BG12" s="1874">
        <f>SUMIF('A&amp;R'!$Y$35:$AH$35,BG$11,'A&amp;R'!$Y$34:$AH$34)</f>
        <v>0</v>
      </c>
      <c r="BH12" s="1874">
        <f>SUMIF('A&amp;R'!$Y$35:$AH$35,BH$11,'A&amp;R'!$Y$34:$AH$34)</f>
        <v>0</v>
      </c>
      <c r="BI12" s="1874">
        <f>SUMIF('A&amp;R'!$Y$35:$AH$35,BI$11,'A&amp;R'!$Y$34:$AH$34)</f>
        <v>0</v>
      </c>
      <c r="BJ12" s="1874">
        <f>SUMIF('A&amp;R'!$Y$35:$AH$35,BJ$11,'A&amp;R'!$Y$34:$AH$34)</f>
        <v>0</v>
      </c>
      <c r="BK12" s="1874">
        <f>SUMIF('A&amp;R'!$Y$35:$AH$35,BK$11,'A&amp;R'!$Y$34:$AH$34)</f>
        <v>0</v>
      </c>
      <c r="BL12" s="1874">
        <f>SUMIF('A&amp;R'!$Y$35:$AH$35,BL$11,'A&amp;R'!$Y$34:$AH$34)</f>
        <v>0</v>
      </c>
      <c r="BM12" s="1874">
        <f>SUMIF('A&amp;R'!$Y$35:$AH$35,BM$11,'A&amp;R'!$Y$34:$AH$34)</f>
        <v>0</v>
      </c>
      <c r="BN12" s="1874">
        <f>SUMIF('A&amp;R'!$Y$35:$AH$35,BN$11,'A&amp;R'!$Y$34:$AH$34)</f>
        <v>0</v>
      </c>
      <c r="BO12" s="1874">
        <f>SUMIF('A&amp;R'!$Y$35:$AH$35,BO$11,'A&amp;R'!$Y$34:$AH$34)</f>
        <v>0</v>
      </c>
      <c r="BP12" s="1874">
        <f>SUMIF('A&amp;R'!$Y$35:$AH$35,BP$11,'A&amp;R'!$Y$34:$AH$34)</f>
        <v>0</v>
      </c>
      <c r="BQ12" s="1874">
        <f>SUMIF('A&amp;R'!$Y$35:$AH$35,BQ$11,'A&amp;R'!$Y$34:$AH$34)</f>
        <v>0</v>
      </c>
      <c r="BR12" s="1874">
        <f>SUMIF('A&amp;R'!$Y$35:$AH$35,BR$11,'A&amp;R'!$Y$34:$AH$34)</f>
        <v>0</v>
      </c>
      <c r="BS12" s="1874">
        <f>SUMIF('A&amp;R'!$Y$35:$AH$35,BS$11,'A&amp;R'!$Y$34:$AH$34)</f>
        <v>0</v>
      </c>
      <c r="BT12" s="1874">
        <f>SUMIF('A&amp;R'!$Y$35:$AH$35,BT$11,'A&amp;R'!$Y$34:$AH$34)</f>
        <v>0</v>
      </c>
      <c r="BU12" s="1874">
        <f>SUMIF('A&amp;R'!$Y$35:$AH$35,BU$11,'A&amp;R'!$Y$34:$AH$34)</f>
        <v>0</v>
      </c>
      <c r="BV12" s="1874">
        <f>SUMIF('A&amp;R'!$Y$35:$AH$35,BV$11,'A&amp;R'!$Y$34:$AH$34)</f>
        <v>0</v>
      </c>
      <c r="BW12" s="1874">
        <f>SUMIF('A&amp;R'!$Y$35:$AH$35,BW$11,'A&amp;R'!$Y$34:$AH$34)</f>
        <v>0</v>
      </c>
      <c r="BX12" s="1874">
        <f>SUMIF('A&amp;R'!$Y$35:$AH$35,BX$11,'A&amp;R'!$Y$34:$AH$34)</f>
        <v>0</v>
      </c>
      <c r="BY12" s="1874">
        <f>SUMIF('A&amp;R'!$Y$35:$AH$35,BY$11,'A&amp;R'!$Y$34:$AH$34)</f>
        <v>0</v>
      </c>
      <c r="BZ12" s="1874">
        <f>SUMIF('A&amp;R'!$Y$35:$AH$35,BZ$11,'A&amp;R'!$Y$34:$AH$34)</f>
        <v>0</v>
      </c>
      <c r="CA12" s="1874">
        <f>SUMIF('A&amp;R'!$Y$35:$AH$35,CA$11,'A&amp;R'!$Y$34:$AH$34)</f>
        <v>0</v>
      </c>
      <c r="CB12" s="1874">
        <f>SUMIF('A&amp;R'!$Y$35:$AH$35,CB$11,'A&amp;R'!$Y$34:$AH$34)</f>
        <v>0</v>
      </c>
      <c r="CC12" s="1874">
        <f>SUMIF('A&amp;R'!$Y$35:$AH$35,CC$11,'A&amp;R'!$Y$34:$AH$34)</f>
        <v>0</v>
      </c>
      <c r="CD12" s="1874">
        <f>SUMIF('A&amp;R'!$Y$35:$AH$35,CD$11,'A&amp;R'!$Y$34:$AH$34)</f>
        <v>0</v>
      </c>
      <c r="CE12" s="1874">
        <f>SUMIF('A&amp;R'!$Y$35:$AH$35,CE$11,'A&amp;R'!$Y$34:$AH$34)</f>
        <v>0</v>
      </c>
      <c r="CF12" s="1874">
        <f>SUMIF('A&amp;R'!$Y$35:$AH$35,CF$11,'A&amp;R'!$Y$34:$AH$34)</f>
        <v>0</v>
      </c>
      <c r="CG12" s="1874">
        <f>SUMIF('A&amp;R'!$Y$35:$AH$35,CG$11,'A&amp;R'!$Y$34:$AH$34)</f>
        <v>0</v>
      </c>
      <c r="CH12" s="1874">
        <f>SUMIF('A&amp;R'!$Y$35:$AH$35,CH$11,'A&amp;R'!$Y$34:$AH$34)</f>
        <v>0</v>
      </c>
      <c r="CI12" s="1874">
        <f>SUMIF('A&amp;R'!$Y$35:$AH$35,CI$11,'A&amp;R'!$Y$34:$AH$34)</f>
        <v>0</v>
      </c>
      <c r="CJ12" s="1874">
        <f>SUMIF('A&amp;R'!$Y$35:$AH$35,CJ$11,'A&amp;R'!$Y$34:$AH$34)</f>
        <v>0</v>
      </c>
      <c r="CK12" s="1874">
        <f>SUMIF('A&amp;R'!$Y$35:$AH$35,CK$11,'A&amp;R'!$Y$34:$AH$34)</f>
        <v>0</v>
      </c>
      <c r="CL12" s="1874">
        <f>SUMIF('A&amp;R'!$Y$35:$AH$35,CL$11,'A&amp;R'!$Y$34:$AH$34)</f>
        <v>0</v>
      </c>
      <c r="CM12" s="1874">
        <f>SUMIF('A&amp;R'!$Y$35:$AH$35,CM$11,'A&amp;R'!$Y$34:$AH$34)</f>
        <v>0</v>
      </c>
      <c r="CN12" s="1874">
        <f>SUMIF('A&amp;R'!$Y$35:$AH$35,CN$11,'A&amp;R'!$Y$34:$AH$34)</f>
        <v>0</v>
      </c>
      <c r="CO12" s="1874">
        <f>SUMIF('A&amp;R'!$Y$35:$AH$35,CO$11,'A&amp;R'!$Y$34:$AH$34)</f>
        <v>0</v>
      </c>
      <c r="CP12" s="1874">
        <f>SUMIF('A&amp;R'!$Y$35:$AH$35,CP$11,'A&amp;R'!$Y$34:$AH$34)</f>
        <v>0</v>
      </c>
      <c r="CQ12" s="1874">
        <f>SUMIF('A&amp;R'!$Y$35:$AH$35,CQ$11,'A&amp;R'!$Y$34:$AH$34)</f>
        <v>0</v>
      </c>
      <c r="CR12" s="1874">
        <f>SUMIF('A&amp;R'!$Y$35:$AH$35,CR$11,'A&amp;R'!$Y$34:$AH$34)</f>
        <v>0</v>
      </c>
      <c r="CS12" s="1874">
        <f>SUMIF('A&amp;R'!$Y$35:$AH$35,CS$11,'A&amp;R'!$Y$34:$AH$34)</f>
        <v>0</v>
      </c>
      <c r="CT12" s="1874">
        <f>SUMIF('A&amp;R'!$Y$35:$AH$35,CT$11,'A&amp;R'!$Y$34:$AH$34)</f>
        <v>0</v>
      </c>
      <c r="CU12" s="1874">
        <f>SUMIF('A&amp;R'!$Y$35:$AH$35,CU$11,'A&amp;R'!$Y$34:$AH$34)</f>
        <v>0</v>
      </c>
      <c r="CV12" s="1874">
        <f>SUMIF('A&amp;R'!$Y$35:$AH$35,CV$11,'A&amp;R'!$Y$34:$AH$34)</f>
        <v>0</v>
      </c>
      <c r="CW12" s="1874">
        <f>SUMIF('A&amp;R'!$Y$35:$AH$35,CW$11,'A&amp;R'!$Y$34:$AH$34)</f>
        <v>0</v>
      </c>
      <c r="CX12" s="1874">
        <f>SUMIF('A&amp;R'!$Y$35:$AH$35,CX$11,'A&amp;R'!$Y$34:$AH$34)</f>
        <v>0</v>
      </c>
      <c r="CY12" s="1874">
        <f>SUMIF('A&amp;R'!$Y$35:$AH$35,CY$11,'A&amp;R'!$Y$34:$AH$34)</f>
        <v>0</v>
      </c>
      <c r="CZ12" s="1874">
        <f>SUMIF('A&amp;R'!$Y$35:$AH$35,CZ$11,'A&amp;R'!$Y$34:$AH$34)</f>
        <v>0</v>
      </c>
      <c r="DA12" s="1874">
        <f>SUMIF('A&amp;R'!$Y$35:$AH$35,DA$11,'A&amp;R'!$Y$34:$AH$34)</f>
        <v>0</v>
      </c>
      <c r="DB12" s="1874">
        <f>SUMIF('A&amp;R'!$Y$35:$AH$35,DB$11,'A&amp;R'!$Y$34:$AH$34)</f>
        <v>0</v>
      </c>
      <c r="DC12" s="1874">
        <f>SUMIF('A&amp;R'!$Y$35:$AH$35,DC$11,'A&amp;R'!$Y$34:$AH$34)</f>
        <v>0</v>
      </c>
      <c r="DD12" s="1874">
        <f>SUMIF('A&amp;R'!$Y$35:$AH$35,DD$11,'A&amp;R'!$Y$34:$AH$34)</f>
        <v>0</v>
      </c>
      <c r="DE12" s="1874">
        <f>SUMIF('A&amp;R'!$Y$35:$AH$35,DE$11,'A&amp;R'!$Y$34:$AH$34)</f>
        <v>0</v>
      </c>
      <c r="DF12" s="1874">
        <f>SUMIF('A&amp;R'!$Y$35:$AH$35,DF$11,'A&amp;R'!$Y$34:$AH$34)</f>
        <v>0</v>
      </c>
      <c r="DG12" s="1874">
        <f>SUMIF('A&amp;R'!$Y$35:$AH$35,DG$11,'A&amp;R'!$Y$34:$AH$34)</f>
        <v>0</v>
      </c>
      <c r="DH12" s="1874">
        <f>SUMIF('A&amp;R'!$Y$35:$AH$35,DH$11,'A&amp;R'!$Y$34:$AH$34)</f>
        <v>0</v>
      </c>
      <c r="DI12" s="1874">
        <f>SUMIF('A&amp;R'!$Y$35:$AH$35,DI$11,'A&amp;R'!$Y$34:$AH$34)</f>
        <v>0</v>
      </c>
      <c r="DJ12" s="1874">
        <f>SUMIF('A&amp;R'!$Y$35:$AH$35,DJ$11,'A&amp;R'!$Y$34:$AH$34)</f>
        <v>0</v>
      </c>
      <c r="DK12" s="1874">
        <f>SUMIF('A&amp;R'!$Y$35:$AH$35,DK$11,'A&amp;R'!$Y$34:$AH$34)</f>
        <v>0</v>
      </c>
      <c r="DL12" s="1874">
        <f>SUMIF('A&amp;R'!$Y$35:$AH$35,DL$11,'A&amp;R'!$Y$34:$AH$34)</f>
        <v>0</v>
      </c>
      <c r="DM12" s="1874">
        <f>SUMIF('A&amp;R'!$Y$35:$AH$35,DM$11,'A&amp;R'!$Y$34:$AH$34)</f>
        <v>0</v>
      </c>
      <c r="DN12" s="1874">
        <f>SUMIF('A&amp;R'!$Y$35:$AH$35,DN$11,'A&amp;R'!$Y$34:$AH$34)</f>
        <v>0</v>
      </c>
      <c r="DO12" s="1874">
        <f>SUMIF('A&amp;R'!$Y$35:$AH$35,DO$11,'A&amp;R'!$Y$34:$AH$34)</f>
        <v>0</v>
      </c>
      <c r="DP12" s="1874">
        <f>SUMIF('A&amp;R'!$Y$35:$AH$35,DP$11,'A&amp;R'!$Y$34:$AH$34)</f>
        <v>0</v>
      </c>
      <c r="DQ12" s="1874">
        <f>SUMIF('A&amp;R'!$Y$35:$AH$35,DQ$11,'A&amp;R'!$Y$34:$AH$34)</f>
        <v>0</v>
      </c>
      <c r="DR12" s="1874">
        <f>SUMIF('A&amp;R'!$Y$35:$AH$35,DR$11,'A&amp;R'!$Y$34:$AH$34)</f>
        <v>0</v>
      </c>
      <c r="DS12" s="1874">
        <f>SUMIF('A&amp;R'!$Y$35:$AH$35,DS$11,'A&amp;R'!$Y$34:$AH$34)</f>
        <v>0</v>
      </c>
      <c r="DT12" s="1874">
        <f>SUMIF('A&amp;R'!$Y$35:$AH$35,DT$11,'A&amp;R'!$Y$34:$AH$34)</f>
        <v>0</v>
      </c>
      <c r="DU12" s="1874">
        <f>SUMIF('A&amp;R'!$Y$35:$AH$35,DU$11,'A&amp;R'!$Y$34:$AH$34)</f>
        <v>0</v>
      </c>
      <c r="DV12" s="1874">
        <f>SUMIF('A&amp;R'!$Y$35:$AH$35,DV$11,'A&amp;R'!$Y$34:$AH$34)</f>
        <v>0</v>
      </c>
      <c r="DW12" s="1874">
        <f>SUMIF('A&amp;R'!$Y$35:$AH$35,DW$11,'A&amp;R'!$Y$34:$AH$34)</f>
        <v>0</v>
      </c>
      <c r="DX12" s="1874">
        <f>SUMIF('A&amp;R'!$Y$35:$AH$35,DX$11,'A&amp;R'!$Y$34:$AH$34)</f>
        <v>0</v>
      </c>
      <c r="DY12" s="1874">
        <f>SUMIF('A&amp;R'!$Y$35:$AH$35,DY$11,'A&amp;R'!$Y$34:$AH$34)</f>
        <v>0</v>
      </c>
      <c r="DZ12" s="1874">
        <f>SUMIF('A&amp;R'!$Y$35:$AH$35,DZ$11,'A&amp;R'!$Y$34:$AH$34)</f>
        <v>0</v>
      </c>
      <c r="EA12" s="1874">
        <f>SUMIF('A&amp;R'!$Y$35:$AH$35,EA$11,'A&amp;R'!$Y$34:$AH$34)</f>
        <v>0</v>
      </c>
      <c r="EB12" s="1874">
        <f>SUMIF('A&amp;R'!$Y$35:$AH$35,EB$11,'A&amp;R'!$Y$34:$AH$34)</f>
        <v>0</v>
      </c>
      <c r="EC12" s="1874">
        <f>SUMIF('A&amp;R'!$Y$35:$AH$35,EC$11,'A&amp;R'!$Y$34:$AH$34)</f>
        <v>0</v>
      </c>
      <c r="ED12" s="1874">
        <f>$EC$12</f>
        <v>0</v>
      </c>
      <c r="EE12" s="1874">
        <f t="shared" ref="EE12:ER12" si="0">$EC$12</f>
        <v>0</v>
      </c>
      <c r="EF12" s="1874">
        <f t="shared" si="0"/>
        <v>0</v>
      </c>
      <c r="EG12" s="1874">
        <f t="shared" si="0"/>
        <v>0</v>
      </c>
      <c r="EH12" s="1874">
        <f t="shared" si="0"/>
        <v>0</v>
      </c>
      <c r="EI12" s="1874">
        <f t="shared" si="0"/>
        <v>0</v>
      </c>
      <c r="EJ12" s="1874">
        <f t="shared" si="0"/>
        <v>0</v>
      </c>
      <c r="EK12" s="1874">
        <f t="shared" si="0"/>
        <v>0</v>
      </c>
      <c r="EL12" s="1874">
        <f t="shared" si="0"/>
        <v>0</v>
      </c>
      <c r="EM12" s="1874">
        <f t="shared" si="0"/>
        <v>0</v>
      </c>
      <c r="EN12" s="1874">
        <f t="shared" si="0"/>
        <v>0</v>
      </c>
      <c r="EO12" s="1874">
        <f t="shared" si="0"/>
        <v>0</v>
      </c>
      <c r="EP12" s="1874">
        <f t="shared" si="0"/>
        <v>0</v>
      </c>
      <c r="EQ12" s="1874">
        <f t="shared" si="0"/>
        <v>0</v>
      </c>
      <c r="ER12" s="1874">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62">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4">
        <f>'Rent-roll'!AO106</f>
        <v>0</v>
      </c>
      <c r="AM17" s="1334">
        <f>'Rent-roll'!AP106</f>
        <v>-28347.570750585932</v>
      </c>
      <c r="AN17" s="1334">
        <f>'Rent-roll'!AQ106</f>
        <v>-56695.141501171864</v>
      </c>
      <c r="AO17" s="1334">
        <f>'Rent-roll'!AR106</f>
        <v>0</v>
      </c>
      <c r="AP17" s="1334">
        <f>'Rent-roll'!AS106</f>
        <v>-72384.075640781244</v>
      </c>
      <c r="AQ17" s="1334">
        <f>'Rent-roll'!AT106</f>
        <v>-36192.037820390622</v>
      </c>
      <c r="AR17" s="1334">
        <f>'Rent-roll'!AU106</f>
        <v>0</v>
      </c>
      <c r="AS17" s="1334">
        <f>'Rent-roll'!AV106</f>
        <v>-1063058.3140363542</v>
      </c>
      <c r="AT17" s="1334">
        <f>'Rent-roll'!AW106</f>
        <v>-1062485.7662899871</v>
      </c>
      <c r="AU17" s="1334">
        <f>'Rent-roll'!AX106</f>
        <v>-1061913.2185436198</v>
      </c>
      <c r="AV17" s="1334">
        <f>'Rent-roll'!AY106</f>
        <v>-1061913.2185436198</v>
      </c>
      <c r="AW17" s="1334">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3"/>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1671</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M13" activePane="bottomRight" state="frozen"/>
      <selection activeCell="M268" sqref="M268"/>
      <selection pane="topRight" activeCell="M268" sqref="M268"/>
      <selection pane="bottomLeft" activeCell="M268" sqref="M268"/>
      <selection pane="bottomRight" activeCell="I38" sqref="I38"/>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2" customWidth="1"/>
    <col min="135" max="147" width="11" style="5" customWidth="1"/>
    <col min="148" max="16384" width="9" style="5"/>
  </cols>
  <sheetData>
    <row r="1" spans="1:151" s="3" customFormat="1" ht="11.25" customHeight="1">
      <c r="A1" s="2" t="s">
        <v>250</v>
      </c>
      <c r="ED1" s="1312"/>
    </row>
    <row r="2" spans="1:151" s="4" customFormat="1" ht="11.25" customHeight="1">
      <c r="A2" s="4" t="s">
        <v>255</v>
      </c>
      <c r="ED2" s="1313"/>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4">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4">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5">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5">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6">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7">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8">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9">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20">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21"/>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2">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8">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3">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3">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3">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21"/>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2">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3">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3">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3">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21"/>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2">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3">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3">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3">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21"/>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2">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3">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3">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3">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645</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21"/>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2">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3">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3">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3">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21"/>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2">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3">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3">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3">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21"/>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2">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3">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3">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3">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21"/>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2">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3">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3">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3">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606</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21"/>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2">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3">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3">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3">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1082</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21"/>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2">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3">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3">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3">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1083</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21"/>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2">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3">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3">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3">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1087</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21"/>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2">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3">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3">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3">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21"/>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2">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3">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3">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4">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611</v>
      </c>
      <c r="H80" s="146" t="s">
        <v>609</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2">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5">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610</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21"/>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2">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3">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3">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6">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608</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7">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613</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7">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611</v>
      </c>
      <c r="H89" s="146" t="s">
        <v>609</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3">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8">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21"/>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2">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3">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3">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4">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20">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21"/>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2">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3">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8">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3">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3">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21"/>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2">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3">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8">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3">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3">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21"/>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2">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3">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8">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3">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3">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21"/>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2">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3">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8">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3">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3">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21"/>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2">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3">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8">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3">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3">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21"/>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2">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3">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8">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3">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3">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21"/>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2">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3">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3">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4">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612</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21"/>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2">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3">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3">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6">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614</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21"/>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2">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3">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3">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6">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9"/>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20">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21"/>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2">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3">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3">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3">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21"/>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2">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3">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3">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4">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20">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21"/>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2">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3">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3">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3">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21"/>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2">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3">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3">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3">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21"/>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2">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3">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3">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3">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21"/>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2">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3">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3">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3">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21"/>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2">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3">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3">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3">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21"/>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2">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3">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3">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3">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21"/>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2">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3">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3">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6">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21"/>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2">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3">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3">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6">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21"/>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2">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3">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3">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6">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21"/>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2">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3">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3">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6">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21"/>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2">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3">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3">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6">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20">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21"/>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2">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3">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3">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3">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21"/>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2">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3">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3">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3">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21"/>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2">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3">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3">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4">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30">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31"/>
      <c r="EE232" s="217"/>
      <c r="EF232" s="217"/>
      <c r="EG232" s="217"/>
      <c r="EH232" s="217"/>
      <c r="EI232" s="217"/>
      <c r="EJ232" s="217"/>
      <c r="EK232" s="217"/>
      <c r="EL232" s="217"/>
      <c r="EM232" s="217"/>
      <c r="EN232" s="217"/>
      <c r="EO232" s="217"/>
      <c r="EP232" s="217"/>
      <c r="EQ232" s="217"/>
    </row>
    <row r="233" spans="3:147" ht="11.25" customHeight="1">
      <c r="C233" s="218"/>
      <c r="D233" s="158" t="s">
        <v>1089</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21"/>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2">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3">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3">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6">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1090</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21"/>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2">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3">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3">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6">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1088</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21"/>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2">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3">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3">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6">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1091</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21"/>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2">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3">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3">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6">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1092</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21"/>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400000</v>
      </c>
      <c r="N254" s="168">
        <f t="shared" si="557"/>
        <v>400000</v>
      </c>
      <c r="O254" s="168">
        <f t="shared" si="557"/>
        <v>400000</v>
      </c>
      <c r="P254" s="168">
        <f t="shared" si="557"/>
        <v>400000</v>
      </c>
      <c r="Q254" s="168">
        <f t="shared" si="557"/>
        <v>400000</v>
      </c>
      <c r="R254" s="168">
        <f t="shared" si="557"/>
        <v>400000</v>
      </c>
      <c r="S254" s="168">
        <f t="shared" si="557"/>
        <v>400000</v>
      </c>
      <c r="T254" s="168">
        <f t="shared" si="557"/>
        <v>400000</v>
      </c>
      <c r="U254" s="168">
        <f t="shared" si="557"/>
        <v>400000</v>
      </c>
      <c r="V254" s="168">
        <f t="shared" si="557"/>
        <v>400000</v>
      </c>
      <c r="W254" s="168">
        <f t="shared" si="557"/>
        <v>400000</v>
      </c>
      <c r="X254" s="168">
        <f t="shared" si="557"/>
        <v>400000</v>
      </c>
      <c r="Y254" s="168">
        <f t="shared" si="557"/>
        <v>400000</v>
      </c>
      <c r="Z254" s="168">
        <f t="shared" si="557"/>
        <v>400000</v>
      </c>
      <c r="AA254" s="168">
        <f t="shared" si="557"/>
        <v>400000</v>
      </c>
      <c r="AB254" s="168">
        <f t="shared" si="557"/>
        <v>400000</v>
      </c>
      <c r="AC254" s="168">
        <f t="shared" si="557"/>
        <v>400000</v>
      </c>
      <c r="AD254" s="168">
        <f t="shared" si="557"/>
        <v>400000</v>
      </c>
      <c r="AE254" s="168">
        <f t="shared" si="557"/>
        <v>400000</v>
      </c>
      <c r="AF254" s="168">
        <f t="shared" si="557"/>
        <v>400000</v>
      </c>
      <c r="AG254" s="168">
        <f t="shared" si="557"/>
        <v>400000</v>
      </c>
      <c r="AH254" s="168">
        <f t="shared" si="557"/>
        <v>400000</v>
      </c>
      <c r="AI254" s="168">
        <f t="shared" si="557"/>
        <v>400000</v>
      </c>
      <c r="AJ254" s="168">
        <f t="shared" si="557"/>
        <v>400000</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2">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'A&amp;R'!S93</f>
        <v>400000</v>
      </c>
      <c r="J255" s="171">
        <f>SUM(L255:EQ255)</f>
        <v>400000</v>
      </c>
      <c r="K255" s="98"/>
      <c r="L255" s="171">
        <f>$I255*(L$231=$H255)</f>
        <v>400000</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3">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400000</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400000</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3">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400000</v>
      </c>
      <c r="M257" s="184">
        <f t="shared" si="568"/>
        <v>400000</v>
      </c>
      <c r="N257" s="184">
        <f t="shared" si="568"/>
        <v>400000</v>
      </c>
      <c r="O257" s="184">
        <f t="shared" si="568"/>
        <v>400000</v>
      </c>
      <c r="P257" s="184">
        <f t="shared" si="568"/>
        <v>400000</v>
      </c>
      <c r="Q257" s="184">
        <f t="shared" si="568"/>
        <v>400000</v>
      </c>
      <c r="R257" s="184">
        <f t="shared" si="568"/>
        <v>400000</v>
      </c>
      <c r="S257" s="184">
        <f t="shared" si="568"/>
        <v>400000</v>
      </c>
      <c r="T257" s="184">
        <f t="shared" si="568"/>
        <v>400000</v>
      </c>
      <c r="U257" s="184">
        <f t="shared" si="568"/>
        <v>400000</v>
      </c>
      <c r="V257" s="184">
        <f t="shared" si="568"/>
        <v>400000</v>
      </c>
      <c r="W257" s="184">
        <f t="shared" si="568"/>
        <v>400000</v>
      </c>
      <c r="X257" s="184">
        <f t="shared" si="568"/>
        <v>400000</v>
      </c>
      <c r="Y257" s="184">
        <f t="shared" si="568"/>
        <v>400000</v>
      </c>
      <c r="Z257" s="184">
        <f t="shared" si="568"/>
        <v>400000</v>
      </c>
      <c r="AA257" s="184">
        <f t="shared" si="568"/>
        <v>400000</v>
      </c>
      <c r="AB257" s="184">
        <f t="shared" si="568"/>
        <v>400000</v>
      </c>
      <c r="AC257" s="184">
        <f t="shared" si="568"/>
        <v>400000</v>
      </c>
      <c r="AD257" s="184">
        <f t="shared" si="568"/>
        <v>400000</v>
      </c>
      <c r="AE257" s="184">
        <f t="shared" si="568"/>
        <v>400000</v>
      </c>
      <c r="AF257" s="184">
        <f t="shared" si="568"/>
        <v>400000</v>
      </c>
      <c r="AG257" s="184">
        <f t="shared" si="568"/>
        <v>400000</v>
      </c>
      <c r="AH257" s="184">
        <f t="shared" si="568"/>
        <v>400000</v>
      </c>
      <c r="AI257" s="184">
        <f t="shared" si="568"/>
        <v>400000</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6">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1093</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21"/>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9600000</v>
      </c>
      <c r="N259" s="168">
        <f t="shared" si="571"/>
        <v>9600000</v>
      </c>
      <c r="O259" s="168">
        <f t="shared" si="571"/>
        <v>9600000</v>
      </c>
      <c r="P259" s="168">
        <f t="shared" si="571"/>
        <v>9600000</v>
      </c>
      <c r="Q259" s="168">
        <f t="shared" si="571"/>
        <v>9600000</v>
      </c>
      <c r="R259" s="168">
        <f t="shared" si="571"/>
        <v>9600000</v>
      </c>
      <c r="S259" s="168">
        <f t="shared" si="571"/>
        <v>9600000</v>
      </c>
      <c r="T259" s="168">
        <f t="shared" si="571"/>
        <v>9600000</v>
      </c>
      <c r="U259" s="168">
        <f t="shared" si="571"/>
        <v>9600000</v>
      </c>
      <c r="V259" s="168">
        <f t="shared" si="571"/>
        <v>9600000</v>
      </c>
      <c r="W259" s="168">
        <f t="shared" si="571"/>
        <v>9600000</v>
      </c>
      <c r="X259" s="168">
        <f t="shared" si="571"/>
        <v>9600000</v>
      </c>
      <c r="Y259" s="168">
        <f t="shared" si="571"/>
        <v>9600000</v>
      </c>
      <c r="Z259" s="168">
        <f t="shared" si="571"/>
        <v>9600000</v>
      </c>
      <c r="AA259" s="168">
        <f t="shared" si="571"/>
        <v>9600000</v>
      </c>
      <c r="AB259" s="168">
        <f t="shared" si="571"/>
        <v>9600000</v>
      </c>
      <c r="AC259" s="168">
        <f t="shared" si="571"/>
        <v>9600000</v>
      </c>
      <c r="AD259" s="168">
        <f t="shared" si="571"/>
        <v>9600000</v>
      </c>
      <c r="AE259" s="168">
        <f t="shared" si="571"/>
        <v>9600000</v>
      </c>
      <c r="AF259" s="168">
        <f t="shared" si="571"/>
        <v>9600000</v>
      </c>
      <c r="AG259" s="168">
        <f t="shared" si="571"/>
        <v>9600000</v>
      </c>
      <c r="AH259" s="168">
        <f t="shared" si="571"/>
        <v>9600000</v>
      </c>
      <c r="AI259" s="168">
        <f t="shared" si="571"/>
        <v>9600000</v>
      </c>
      <c r="AJ259" s="168">
        <f t="shared" si="571"/>
        <v>9600000</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2">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9600000</v>
      </c>
      <c r="K260" s="98"/>
      <c r="L260" s="171">
        <f>L72-L255</f>
        <v>9600000</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3">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9600000</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9600000</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3">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9600000</v>
      </c>
      <c r="M262" s="184">
        <f t="shared" si="582"/>
        <v>9600000</v>
      </c>
      <c r="N262" s="184">
        <f t="shared" si="582"/>
        <v>9600000</v>
      </c>
      <c r="O262" s="184">
        <f t="shared" si="582"/>
        <v>9600000</v>
      </c>
      <c r="P262" s="184">
        <f t="shared" si="582"/>
        <v>9600000</v>
      </c>
      <c r="Q262" s="184">
        <f t="shared" si="582"/>
        <v>9600000</v>
      </c>
      <c r="R262" s="184">
        <f t="shared" si="582"/>
        <v>9600000</v>
      </c>
      <c r="S262" s="184">
        <f t="shared" si="582"/>
        <v>9600000</v>
      </c>
      <c r="T262" s="184">
        <f t="shared" si="582"/>
        <v>9600000</v>
      </c>
      <c r="U262" s="184">
        <f t="shared" si="582"/>
        <v>9600000</v>
      </c>
      <c r="V262" s="184">
        <f t="shared" si="582"/>
        <v>9600000</v>
      </c>
      <c r="W262" s="184">
        <f t="shared" si="582"/>
        <v>9600000</v>
      </c>
      <c r="X262" s="184">
        <f t="shared" si="582"/>
        <v>9600000</v>
      </c>
      <c r="Y262" s="184">
        <f t="shared" si="582"/>
        <v>9600000</v>
      </c>
      <c r="Z262" s="184">
        <f t="shared" si="582"/>
        <v>9600000</v>
      </c>
      <c r="AA262" s="184">
        <f t="shared" si="582"/>
        <v>9600000</v>
      </c>
      <c r="AB262" s="184">
        <f t="shared" si="582"/>
        <v>9600000</v>
      </c>
      <c r="AC262" s="184">
        <f t="shared" si="582"/>
        <v>9600000</v>
      </c>
      <c r="AD262" s="184">
        <f t="shared" si="582"/>
        <v>9600000</v>
      </c>
      <c r="AE262" s="184">
        <f t="shared" si="582"/>
        <v>9600000</v>
      </c>
      <c r="AF262" s="184">
        <f t="shared" si="582"/>
        <v>9600000</v>
      </c>
      <c r="AG262" s="184">
        <f t="shared" si="582"/>
        <v>9600000</v>
      </c>
      <c r="AH262" s="184">
        <f t="shared" si="582"/>
        <v>9600000</v>
      </c>
      <c r="AI262" s="184">
        <f t="shared" si="582"/>
        <v>9600000</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6">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1029</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21"/>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2">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'A&amp;R'!S94</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3">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3">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6">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1030</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21"/>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2">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3">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3">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6">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1031</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21"/>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2">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3">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3">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6">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1032</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21"/>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2">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3">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3">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6">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21"/>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-97823.001845480525</v>
      </c>
      <c r="O284" s="168">
        <f t="shared" ca="1" si="638"/>
        <v>-184620.55361488415</v>
      </c>
      <c r="P284" s="168">
        <f t="shared" ca="1" si="638"/>
        <v>-458190.79099061189</v>
      </c>
      <c r="Q284" s="168">
        <f t="shared" ca="1" si="638"/>
        <v>-593661.96061074373</v>
      </c>
      <c r="R284" s="168">
        <f t="shared" ca="1" si="638"/>
        <v>-656567.38379946304</v>
      </c>
      <c r="S284" s="168">
        <f t="shared" ca="1" si="638"/>
        <v>-3946671.2762699807</v>
      </c>
      <c r="T284" s="168">
        <f t="shared" ca="1" si="638"/>
        <v>-4115993.0389765417</v>
      </c>
      <c r="U284" s="168">
        <f t="shared" ca="1" si="638"/>
        <v>-4109763.5024008425</v>
      </c>
      <c r="V284" s="168">
        <f t="shared" ca="1" si="638"/>
        <v>-4098843.7164683985</v>
      </c>
      <c r="W284" s="168">
        <f t="shared" ca="1" si="638"/>
        <v>-4092193.0672928402</v>
      </c>
      <c r="X284" s="168">
        <f t="shared" ca="1" si="638"/>
        <v>-4081395.5818100949</v>
      </c>
      <c r="Y284" s="168">
        <f t="shared" ca="1" si="638"/>
        <v>-7357639.0316274613</v>
      </c>
      <c r="Z284" s="168">
        <f t="shared" ca="1" si="638"/>
        <v>-7378404.3702933555</v>
      </c>
      <c r="AA284" s="168">
        <f t="shared" ca="1" si="638"/>
        <v>-7398922.785765483</v>
      </c>
      <c r="AB284" s="168">
        <f t="shared" ca="1" si="638"/>
        <v>-7611238.4149584882</v>
      </c>
      <c r="AC284" s="168">
        <f t="shared" ca="1" si="638"/>
        <v>-7730678.4147851784</v>
      </c>
      <c r="AD284" s="168">
        <f t="shared" ca="1" si="638"/>
        <v>-7775779.2723957878</v>
      </c>
      <c r="AE284" s="168">
        <f t="shared" ca="1" si="638"/>
        <v>-10492049.427744329</v>
      </c>
      <c r="AF284" s="168">
        <f t="shared" ca="1" si="638"/>
        <v>-10644253.935917027</v>
      </c>
      <c r="AG284" s="168">
        <f t="shared" ca="1" si="638"/>
        <v>-10616553.474181954</v>
      </c>
      <c r="AH284" s="168">
        <f t="shared" ca="1" si="638"/>
        <v>-10584080.721122343</v>
      </c>
      <c r="AI284" s="168">
        <f t="shared" ca="1" si="638"/>
        <v>-10555979.502569187</v>
      </c>
      <c r="AJ284" s="168">
        <f t="shared" ca="1" si="638"/>
        <v>-10523663.081144448</v>
      </c>
      <c r="AK284" s="168">
        <f t="shared" ca="1" si="638"/>
        <v>-13223902.679929886</v>
      </c>
      <c r="AL284" s="168">
        <f t="shared" ca="1" si="638"/>
        <v>-13212173.807325697</v>
      </c>
      <c r="AM284" s="168">
        <f t="shared" ca="1" si="638"/>
        <v>-13220666.942400396</v>
      </c>
      <c r="AN284" s="168">
        <f t="shared" ca="1" si="638"/>
        <v>-13249458.036111593</v>
      </c>
      <c r="AO284" s="168">
        <f t="shared" ca="1" si="638"/>
        <v>-13214096.078817664</v>
      </c>
      <c r="AP284" s="168">
        <f t="shared" ca="1" si="638"/>
        <v>-13246804.325018294</v>
      </c>
      <c r="AQ284" s="168">
        <f t="shared" ca="1" si="638"/>
        <v>-15949569.966609169</v>
      </c>
      <c r="AR284" s="168">
        <f t="shared" ref="AR284:BW284" ca="1" si="639">AQ287</f>
        <v>-15910076.104393374</v>
      </c>
      <c r="AS284" s="168">
        <f t="shared" ca="1" si="639"/>
        <v>-16929312.092703406</v>
      </c>
      <c r="AT284" s="168">
        <f t="shared" ca="1" si="639"/>
        <v>-17920677.252403468</v>
      </c>
      <c r="AU284" s="168">
        <f t="shared" ca="1" si="639"/>
        <v>-18984371.031842548</v>
      </c>
      <c r="AV284" s="168">
        <f t="shared" ca="1" si="639"/>
        <v>-19978876.596323017</v>
      </c>
      <c r="AW284" s="168">
        <f t="shared" ca="1" si="639"/>
        <v>-23709653.338262208</v>
      </c>
      <c r="AX284" s="168">
        <f t="shared" ca="1" si="639"/>
        <v>-23657923.205105659</v>
      </c>
      <c r="AY284" s="168">
        <f t="shared" ca="1" si="639"/>
        <v>-23597745.167320509</v>
      </c>
      <c r="AZ284" s="168">
        <f t="shared" ca="1" si="639"/>
        <v>-23535347.986341719</v>
      </c>
      <c r="BA284" s="168">
        <f t="shared" ca="1" si="639"/>
        <v>-23479865.205125567</v>
      </c>
      <c r="BB284" s="168">
        <f t="shared" ca="1" si="639"/>
        <v>-23466539.796118207</v>
      </c>
      <c r="BC284" s="168">
        <f t="shared" ca="1" si="639"/>
        <v>-26122099.826028068</v>
      </c>
      <c r="BD284" s="168">
        <f t="shared" ca="1" si="639"/>
        <v>-26034915.959454898</v>
      </c>
      <c r="BE284" s="168">
        <f t="shared" ca="1" si="639"/>
        <v>-25942689.083930913</v>
      </c>
      <c r="BF284" s="168">
        <f t="shared" ca="1" si="639"/>
        <v>-25845962.88340519</v>
      </c>
      <c r="BG284" s="168">
        <f t="shared" ca="1" si="639"/>
        <v>-25750839.093652368</v>
      </c>
      <c r="BH284" s="168">
        <f t="shared" ca="1" si="639"/>
        <v>-25651206.532088079</v>
      </c>
      <c r="BI284" s="168">
        <f t="shared" ca="1" si="639"/>
        <v>-28263152.209842488</v>
      </c>
      <c r="BJ284" s="168">
        <f t="shared" ca="1" si="639"/>
        <v>-28173122.183900803</v>
      </c>
      <c r="BK284" s="168">
        <f t="shared" ca="1" si="639"/>
        <v>-28074399.466921516</v>
      </c>
      <c r="BL284" s="168">
        <f t="shared" ca="1" si="639"/>
        <v>-27966846.725993801</v>
      </c>
      <c r="BM284" s="168">
        <f t="shared" ca="1" si="639"/>
        <v>-27850896.542772509</v>
      </c>
      <c r="BN284" s="168">
        <f t="shared" ca="1" si="639"/>
        <v>-27806421.145375546</v>
      </c>
      <c r="BO284" s="168">
        <f t="shared" ca="1" si="639"/>
        <v>-30410742.635210212</v>
      </c>
      <c r="BP284" s="168">
        <f t="shared" ca="1" si="639"/>
        <v>-30289494.963480946</v>
      </c>
      <c r="BQ284" s="168">
        <f t="shared" ca="1" si="639"/>
        <v>-30163655.438949369</v>
      </c>
      <c r="BR284" s="168">
        <f t="shared" ca="1" si="639"/>
        <v>-30033210.66871148</v>
      </c>
      <c r="BS284" s="168">
        <f t="shared" ca="1" si="639"/>
        <v>-29904228.977300879</v>
      </c>
      <c r="BT284" s="168">
        <f t="shared" ca="1" si="639"/>
        <v>-29770631.853117097</v>
      </c>
      <c r="BU284" s="168">
        <f t="shared" ca="1" si="639"/>
        <v>-32235218.787569769</v>
      </c>
      <c r="BV284" s="168">
        <f t="shared" ca="1" si="639"/>
        <v>-32057513.687895317</v>
      </c>
      <c r="BW284" s="168">
        <f t="shared" ca="1" si="639"/>
        <v>-31870812.566859446</v>
      </c>
      <c r="BX284" s="168">
        <f t="shared" ref="BX284:DC284" ca="1" si="640">BW287</f>
        <v>-31675062.265215244</v>
      </c>
      <c r="BY284" s="168">
        <f t="shared" ca="1" si="640"/>
        <v>-31470050.978511017</v>
      </c>
      <c r="BZ284" s="168">
        <f t="shared" ca="1" si="640"/>
        <v>-31338303.043248747</v>
      </c>
      <c r="CA284" s="168">
        <f t="shared" ca="1" si="640"/>
        <v>-33836198.281975016</v>
      </c>
      <c r="CB284" s="168">
        <f t="shared" ca="1" si="640"/>
        <v>-33624846.218539774</v>
      </c>
      <c r="CC284" s="168">
        <f t="shared" ca="1" si="640"/>
        <v>-33408786.545305412</v>
      </c>
      <c r="CD284" s="168">
        <f t="shared" ca="1" si="640"/>
        <v>-33188005.531743344</v>
      </c>
      <c r="CE284" s="168">
        <f t="shared" ca="1" si="640"/>
        <v>-32968062.719401971</v>
      </c>
      <c r="CF284" s="168">
        <f t="shared" ca="1" si="640"/>
        <v>-32743386.192936689</v>
      </c>
      <c r="CG284" s="168">
        <f t="shared" ca="1" si="640"/>
        <v>-35399161.577264465</v>
      </c>
      <c r="CH284" s="168">
        <f t="shared" ca="1" si="640"/>
        <v>-35183832.548782118</v>
      </c>
      <c r="CI284" s="168">
        <f t="shared" ca="1" si="640"/>
        <v>-34959191.382385358</v>
      </c>
      <c r="CJ284" s="168">
        <f t="shared" ca="1" si="640"/>
        <v>-34725269.344350807</v>
      </c>
      <c r="CK284" s="168">
        <f t="shared" ca="1" si="640"/>
        <v>-34481671.662075318</v>
      </c>
      <c r="CL284" s="168">
        <f t="shared" ca="1" si="640"/>
        <v>-34313164.947253577</v>
      </c>
      <c r="CM284" s="168">
        <f t="shared" ca="1" si="640"/>
        <v>-36810004.071909137</v>
      </c>
      <c r="CN284" s="168">
        <f t="shared" ca="1" si="640"/>
        <v>-36559618.187164873</v>
      </c>
      <c r="CO284" s="168">
        <f t="shared" ca="1" si="640"/>
        <v>-36304402.191958822</v>
      </c>
      <c r="CP284" s="168">
        <f t="shared" ca="1" si="640"/>
        <v>-36044341.998468801</v>
      </c>
      <c r="CQ284" s="168">
        <f t="shared" ca="1" si="640"/>
        <v>-35784953.078779042</v>
      </c>
      <c r="CR284" s="168">
        <f t="shared" ca="1" si="640"/>
        <v>-35520706.715602413</v>
      </c>
      <c r="CS284" s="168">
        <f t="shared" ca="1" si="640"/>
        <v>-37967640.134728983</v>
      </c>
      <c r="CT284" s="168">
        <f t="shared" ca="1" si="640"/>
        <v>-37712086.018898919</v>
      </c>
      <c r="CU284" s="168">
        <f t="shared" ca="1" si="640"/>
        <v>-37446892.486982755</v>
      </c>
      <c r="CV284" s="168">
        <f t="shared" ca="1" si="640"/>
        <v>-37172175.529750668</v>
      </c>
      <c r="CW284" s="168">
        <f t="shared" ca="1" si="640"/>
        <v>-36887352.782573566</v>
      </c>
      <c r="CX284" s="168">
        <f t="shared" ca="1" si="640"/>
        <v>-36679489.250043571</v>
      </c>
      <c r="CY284" s="168">
        <f t="shared" ca="1" si="640"/>
        <v>-39135721.149656087</v>
      </c>
      <c r="CZ284" s="168">
        <f t="shared" ca="1" si="640"/>
        <v>-39480502.749344312</v>
      </c>
      <c r="DA284" s="168">
        <f t="shared" ca="1" si="640"/>
        <v>-39222215.113229915</v>
      </c>
      <c r="DB284" s="168">
        <f t="shared" ca="1" si="640"/>
        <v>-38959076.015492819</v>
      </c>
      <c r="DC284" s="168">
        <f t="shared" ca="1" si="640"/>
        <v>-38773735.199214585</v>
      </c>
      <c r="DD284" s="168">
        <f t="shared" ref="DD284:DT284" ca="1" si="641">DC287</f>
        <v>-38506390.649859317</v>
      </c>
      <c r="DE284" s="168">
        <f t="shared" ca="1" si="641"/>
        <v>-40950202.744290479</v>
      </c>
      <c r="DF284" s="168">
        <f t="shared" ca="1" si="641"/>
        <v>-40691507.884877302</v>
      </c>
      <c r="DG284" s="168">
        <f t="shared" ca="1" si="641"/>
        <v>-40423153.641116671</v>
      </c>
      <c r="DH284" s="168">
        <f t="shared" ca="1" si="641"/>
        <v>-40162892.190716565</v>
      </c>
      <c r="DI284" s="168">
        <f t="shared" ca="1" si="641"/>
        <v>-39916783.989989035</v>
      </c>
      <c r="DJ284" s="168">
        <f t="shared" ca="1" si="641"/>
        <v>-39623648.727474883</v>
      </c>
      <c r="DK284" s="168">
        <f t="shared" ca="1" si="641"/>
        <v>-42066641.032342024</v>
      </c>
      <c r="DL284" s="168">
        <f t="shared" ca="1" si="641"/>
        <v>-41771401.277737409</v>
      </c>
      <c r="DM284" s="168">
        <f t="shared" ca="1" si="641"/>
        <v>-41470561.195579283</v>
      </c>
      <c r="DN284" s="168">
        <f t="shared" ca="1" si="641"/>
        <v>-41164736.221694246</v>
      </c>
      <c r="DO284" s="168">
        <f t="shared" ca="1" si="641"/>
        <v>-40859296.042987205</v>
      </c>
      <c r="DP284" s="168">
        <f t="shared" ca="1" si="641"/>
        <v>-40548856.427051812</v>
      </c>
      <c r="DQ284" s="168">
        <f t="shared" ca="1" si="641"/>
        <v>-42949422.880293213</v>
      </c>
      <c r="DR284" s="168">
        <f t="shared" ca="1" si="641"/>
        <v>-42647449.254105046</v>
      </c>
      <c r="DS284" s="168">
        <f t="shared" ca="1" si="641"/>
        <v>-42335477.471661873</v>
      </c>
      <c r="DT284" s="168">
        <f t="shared" ca="1" si="641"/>
        <v>-42013759.832628384</v>
      </c>
      <c r="DU284" s="168">
        <f t="shared" ref="DU284:EQ284" ca="1" si="642">DT287</f>
        <v>-41681567.96634005</v>
      </c>
      <c r="DV284" s="168">
        <f t="shared" ca="1" si="642"/>
        <v>-41344293.141653068</v>
      </c>
      <c r="DW284" s="168">
        <f t="shared" ca="1" si="642"/>
        <v>-43711588.721792668</v>
      </c>
      <c r="DX284" s="168">
        <f t="shared" ca="1" si="642"/>
        <v>-43370990.214855954</v>
      </c>
      <c r="DY284" s="168">
        <f t="shared" ca="1" si="642"/>
        <v>-43025281.27593822</v>
      </c>
      <c r="DZ284" s="168">
        <f t="shared" ca="1" si="642"/>
        <v>-42674446.99961286</v>
      </c>
      <c r="EA284" s="168">
        <f t="shared" ca="1" si="642"/>
        <v>-42323829.968561374</v>
      </c>
      <c r="EB284" s="168">
        <f t="shared" ca="1" si="642"/>
        <v>-41968072.128066532</v>
      </c>
      <c r="EC284" s="168">
        <f t="shared" ca="1" si="642"/>
        <v>0</v>
      </c>
      <c r="ED284" s="1322">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115985534.77444094</v>
      </c>
      <c r="K285" s="98"/>
      <c r="L285" s="171">
        <f>'IS(M)'!M57</f>
        <v>0</v>
      </c>
      <c r="M285" s="171">
        <f ca="1">'IS(M)'!N57</f>
        <v>-97823.001845480525</v>
      </c>
      <c r="N285" s="171">
        <f ca="1">'IS(M)'!O57</f>
        <v>-86797.551769403624</v>
      </c>
      <c r="O285" s="171">
        <f ca="1">'IS(M)'!P57</f>
        <v>-273570.23737572774</v>
      </c>
      <c r="P285" s="171">
        <f ca="1">'IS(M)'!Q57</f>
        <v>-135471.16962013184</v>
      </c>
      <c r="Q285" s="171">
        <f ca="1">'IS(M)'!R57</f>
        <v>-62905.423188719316</v>
      </c>
      <c r="R285" s="171">
        <f ca="1">'IS(M)'!S57</f>
        <v>-20103.892470517545</v>
      </c>
      <c r="S285" s="171">
        <f ca="1">'IS(M)'!T57</f>
        <v>-169321.76270656078</v>
      </c>
      <c r="T285" s="171">
        <f ca="1">'IS(M)'!U57</f>
        <v>6229.5365756994579</v>
      </c>
      <c r="U285" s="171">
        <f ca="1">'IS(M)'!V57</f>
        <v>10919.785932444269</v>
      </c>
      <c r="V285" s="171">
        <f ca="1">'IS(M)'!W57</f>
        <v>6650.6491755581228</v>
      </c>
      <c r="W285" s="171">
        <f ca="1">'IS(M)'!X57</f>
        <v>10797.485482745222</v>
      </c>
      <c r="X285" s="171">
        <f ca="1">'IS(M)'!Y57</f>
        <v>-6243.4498173660832</v>
      </c>
      <c r="Y285" s="171">
        <f ca="1">'IS(M)'!Z57</f>
        <v>-20765.338665894</v>
      </c>
      <c r="Z285" s="171">
        <f ca="1">'IS(M)'!AA57</f>
        <v>-20518.41547212773</v>
      </c>
      <c r="AA285" s="171">
        <f ca="1">'IS(M)'!AB57</f>
        <v>-212315.62919300527</v>
      </c>
      <c r="AB285" s="171">
        <f ca="1">'IS(M)'!AC57</f>
        <v>-119439.99982668983</v>
      </c>
      <c r="AC285" s="171">
        <f ca="1">'IS(M)'!AD57</f>
        <v>-45100.857610608917</v>
      </c>
      <c r="AD285" s="171">
        <f ca="1">'IS(M)'!AE57</f>
        <v>-1270.1553485407494</v>
      </c>
      <c r="AE285" s="171">
        <f ca="1">'IS(M)'!AF57</f>
        <v>-152204.50817269878</v>
      </c>
      <c r="AF285" s="171">
        <f ca="1">'IS(M)'!AG57</f>
        <v>27700.461735073128</v>
      </c>
      <c r="AG285" s="171">
        <f ca="1">'IS(M)'!AH57</f>
        <v>32472.753059610608</v>
      </c>
      <c r="AH285" s="171">
        <f ca="1">'IS(M)'!AI57</f>
        <v>28101.218553154962</v>
      </c>
      <c r="AI285" s="171">
        <f ca="1">'IS(M)'!AJ57</f>
        <v>32316.421424738364</v>
      </c>
      <c r="AJ285" s="171">
        <f ca="1">'IS(M)'!AK57</f>
        <v>14760.401214561891</v>
      </c>
      <c r="AK285" s="171">
        <f ca="1">'IS(M)'!AL57</f>
        <v>11728.872604188975</v>
      </c>
      <c r="AL285" s="171">
        <f ca="1">'IS(M)'!AM57</f>
        <v>-8493.1350746985991</v>
      </c>
      <c r="AM285" s="171">
        <f ca="1">'IS(M)'!AN57</f>
        <v>-28791.093711196561</v>
      </c>
      <c r="AN285" s="171">
        <f ca="1">'IS(M)'!AO57</f>
        <v>35361.957293929881</v>
      </c>
      <c r="AO285" s="171">
        <f ca="1">'IS(M)'!AP57</f>
        <v>-32708.24620063114</v>
      </c>
      <c r="AP285" s="171">
        <f ca="1">'IS(M)'!AQ57</f>
        <v>12234.358409126289</v>
      </c>
      <c r="AQ285" s="171">
        <f ca="1">'IS(M)'!AR57</f>
        <v>39493.862215795321</v>
      </c>
      <c r="AR285" s="171">
        <f ca="1">'IS(M)'!AS57</f>
        <v>-1019235.9883100316</v>
      </c>
      <c r="AS285" s="171">
        <f ca="1">'IS(M)'!AT57</f>
        <v>-991365.15970006085</v>
      </c>
      <c r="AT285" s="171">
        <f ca="1">'IS(M)'!AU57</f>
        <v>-1063693.779439081</v>
      </c>
      <c r="AU285" s="171">
        <f ca="1">'IS(M)'!AV57</f>
        <v>-994505.56448046758</v>
      </c>
      <c r="AV285" s="171">
        <f ca="1">'IS(M)'!AW57</f>
        <v>-1015776.7419391919</v>
      </c>
      <c r="AW285" s="171">
        <f ca="1">'IS(M)'!AX57</f>
        <v>51730.133156550233</v>
      </c>
      <c r="AX285" s="171">
        <f ca="1">'IS(M)'!AY57</f>
        <v>60178.037785149529</v>
      </c>
      <c r="AY285" s="171">
        <f ca="1">'IS(M)'!AZ57</f>
        <v>62397.180978790973</v>
      </c>
      <c r="AZ285" s="171">
        <f ca="1">'IS(M)'!BA57</f>
        <v>55482.781216153526</v>
      </c>
      <c r="BA285" s="171">
        <f ca="1">'IS(M)'!BB57</f>
        <v>13325.409007358598</v>
      </c>
      <c r="BB285" s="171">
        <f ca="1">'IS(M)'!BC57</f>
        <v>59439.970090140007</v>
      </c>
      <c r="BC285" s="171">
        <f ca="1">'IS(M)'!BD57</f>
        <v>87183.866573169129</v>
      </c>
      <c r="BD285" s="171">
        <f ca="1">'IS(M)'!BE57</f>
        <v>92226.875523985713</v>
      </c>
      <c r="BE285" s="171">
        <f ca="1">'IS(M)'!BF57</f>
        <v>96726.200525724562</v>
      </c>
      <c r="BF285" s="171">
        <f ca="1">'IS(M)'!BG57</f>
        <v>95123.78975282365</v>
      </c>
      <c r="BG285" s="171">
        <f ca="1">'IS(M)'!BH57</f>
        <v>99632.561564287636</v>
      </c>
      <c r="BH285" s="171">
        <f ca="1">'IS(M)'!BI57</f>
        <v>103054.3222455919</v>
      </c>
      <c r="BI285" s="171">
        <f ca="1">'IS(M)'!BJ57</f>
        <v>90030.025941683562</v>
      </c>
      <c r="BJ285" s="171">
        <f ca="1">'IS(M)'!BK57</f>
        <v>98722.716979287914</v>
      </c>
      <c r="BK285" s="171">
        <f ca="1">'IS(M)'!BL57</f>
        <v>107552.74092771485</v>
      </c>
      <c r="BL285" s="171">
        <f ca="1">'IS(M)'!BM57</f>
        <v>115950.18322129082</v>
      </c>
      <c r="BM285" s="171">
        <f ca="1">'IS(M)'!BN57</f>
        <v>44475.397396963672</v>
      </c>
      <c r="BN285" s="171">
        <f ca="1">'IS(M)'!BO57</f>
        <v>91734.814046425861</v>
      </c>
      <c r="BO285" s="171">
        <f ca="1">'IS(M)'!BP57</f>
        <v>121247.67172926839</v>
      </c>
      <c r="BP285" s="171">
        <f ca="1">'IS(M)'!BQ57</f>
        <v>125839.52453157585</v>
      </c>
      <c r="BQ285" s="171">
        <f ca="1">'IS(M)'!BR57</f>
        <v>130444.77023788996</v>
      </c>
      <c r="BR285" s="171">
        <f ca="1">'IS(M)'!BS57</f>
        <v>128981.69141060009</v>
      </c>
      <c r="BS285" s="171">
        <f ca="1">'IS(M)'!BT57</f>
        <v>133597.12418378296</v>
      </c>
      <c r="BT285" s="171">
        <f ca="1">'IS(M)'!BU57</f>
        <v>137142.35934699711</v>
      </c>
      <c r="BU285" s="171">
        <f ca="1">'IS(M)'!BV57</f>
        <v>177705.09967445058</v>
      </c>
      <c r="BV285" s="171">
        <f ca="1">'IS(M)'!BW57</f>
        <v>186701.121035869</v>
      </c>
      <c r="BW285" s="171">
        <f ca="1">'IS(M)'!BX57</f>
        <v>195750.30164420069</v>
      </c>
      <c r="BX285" s="171">
        <f ca="1">'IS(M)'!BY57</f>
        <v>205011.28670422814</v>
      </c>
      <c r="BY285" s="171">
        <f ca="1">'IS(M)'!BZ57</f>
        <v>131747.9352622719</v>
      </c>
      <c r="BZ285" s="171">
        <f ca="1">'IS(M)'!CA57</f>
        <v>180187.13640936487</v>
      </c>
      <c r="CA285" s="171">
        <f ca="1">'IS(M)'!CB57</f>
        <v>211352.0634352382</v>
      </c>
      <c r="CB285" s="171">
        <f ca="1">'IS(M)'!CC57</f>
        <v>216059.6732343625</v>
      </c>
      <c r="CC285" s="171">
        <f ca="1">'IS(M)'!CD57</f>
        <v>220781.01356206764</v>
      </c>
      <c r="CD285" s="171">
        <f ca="1">'IS(M)'!CE57</f>
        <v>219942.81234137225</v>
      </c>
      <c r="CE285" s="171">
        <f ca="1">'IS(M)'!CF57</f>
        <v>224676.52646528115</v>
      </c>
      <c r="CF285" s="171">
        <f ca="1">'IS(M)'!CG57</f>
        <v>228356.64285582758</v>
      </c>
      <c r="CG285" s="171">
        <f ca="1">'IS(M)'!CH57</f>
        <v>215329.02848234447</v>
      </c>
      <c r="CH285" s="171">
        <f ca="1">'IS(M)'!CI57</f>
        <v>224641.16639675584</v>
      </c>
      <c r="CI285" s="171">
        <f ca="1">'IS(M)'!CJ57</f>
        <v>233922.03803455248</v>
      </c>
      <c r="CJ285" s="171">
        <f ca="1">'IS(M)'!CK57</f>
        <v>243597.68227549153</v>
      </c>
      <c r="CK285" s="171">
        <f ca="1">'IS(M)'!CL57</f>
        <v>168506.71482173936</v>
      </c>
      <c r="CL285" s="171">
        <f ca="1">'IS(M)'!CM57</f>
        <v>218160.8753444372</v>
      </c>
      <c r="CM285" s="171">
        <f ca="1">'IS(M)'!CN57</f>
        <v>250385.88474426302</v>
      </c>
      <c r="CN285" s="171">
        <f ca="1">'IS(M)'!CO57</f>
        <v>255215.99520605011</v>
      </c>
      <c r="CO285" s="171">
        <f ca="1">'IS(M)'!CP57</f>
        <v>260060.19349001744</v>
      </c>
      <c r="CP285" s="171">
        <f ca="1">'IS(M)'!CQ57</f>
        <v>259388.91968976031</v>
      </c>
      <c r="CQ285" s="171">
        <f ca="1">'IS(M)'!CR57</f>
        <v>264246.36317662534</v>
      </c>
      <c r="CR285" s="171">
        <f ca="1">'IS(M)'!CS57</f>
        <v>268066.58087342989</v>
      </c>
      <c r="CS285" s="171">
        <f ca="1">'IS(M)'!CT57</f>
        <v>255554.11583006405</v>
      </c>
      <c r="CT285" s="171">
        <f ca="1">'IS(M)'!CU57</f>
        <v>265193.53191616153</v>
      </c>
      <c r="CU285" s="171">
        <f ca="1">'IS(M)'!CV57</f>
        <v>274716.95723208622</v>
      </c>
      <c r="CV285" s="171">
        <f ca="1">'IS(M)'!CW57</f>
        <v>284822.74717710307</v>
      </c>
      <c r="CW285" s="171">
        <f ca="1">'IS(M)'!CX57</f>
        <v>207863.53252999741</v>
      </c>
      <c r="CX285" s="171">
        <f ca="1">'IS(M)'!CY57</f>
        <v>258768.10038748267</v>
      </c>
      <c r="CY285" s="171">
        <f ca="1">'IS(M)'!CZ57</f>
        <v>-344781.59968822647</v>
      </c>
      <c r="CZ285" s="171">
        <f ca="1">'IS(M)'!DA57</f>
        <v>258287.63611439813</v>
      </c>
      <c r="DA285" s="171">
        <f ca="1">'IS(M)'!DB57</f>
        <v>263139.09773709648</v>
      </c>
      <c r="DB285" s="171">
        <f ca="1">'IS(M)'!DC57</f>
        <v>185340.81627823121</v>
      </c>
      <c r="DC285" s="171">
        <f ca="1">'IS(M)'!DD57</f>
        <v>267344.54935526638</v>
      </c>
      <c r="DD285" s="171">
        <f ca="1">'IS(M)'!DE57</f>
        <v>271187.90556883928</v>
      </c>
      <c r="DE285" s="171">
        <f ca="1">'IS(M)'!DF57</f>
        <v>258694.85941317712</v>
      </c>
      <c r="DF285" s="171">
        <f ca="1">'IS(M)'!DG57</f>
        <v>268354.24376063177</v>
      </c>
      <c r="DG285" s="171">
        <f ca="1">'IS(M)'!DH57</f>
        <v>260261.45040010335</v>
      </c>
      <c r="DH285" s="171">
        <f ca="1">'IS(M)'!DI57</f>
        <v>246108.2007275325</v>
      </c>
      <c r="DI285" s="171">
        <f ca="1">'IS(M)'!DJ57</f>
        <v>293135.26251414791</v>
      </c>
      <c r="DJ285" s="171">
        <f ca="1">'IS(M)'!DK57</f>
        <v>272007.69513285963</v>
      </c>
      <c r="DK285" s="171">
        <f ca="1">'IS(M)'!DL57</f>
        <v>295239.75460461585</v>
      </c>
      <c r="DL285" s="171">
        <f ca="1">'IS(M)'!DM57</f>
        <v>300840.08215812442</v>
      </c>
      <c r="DM285" s="171">
        <f ca="1">'IS(M)'!DN57</f>
        <v>305824.97388503887</v>
      </c>
      <c r="DN285" s="171">
        <f ca="1">'IS(M)'!DO57</f>
        <v>305440.17870704003</v>
      </c>
      <c r="DO285" s="171">
        <f ca="1">'IS(M)'!DP57</f>
        <v>310439.61593539175</v>
      </c>
      <c r="DP285" s="171">
        <f ca="1">'IS(M)'!DQ57</f>
        <v>314433.54675860237</v>
      </c>
      <c r="DQ285" s="171">
        <f ca="1">'IS(M)'!DR57</f>
        <v>301973.62618816784</v>
      </c>
      <c r="DR285" s="171">
        <f ca="1">'IS(M)'!DS57</f>
        <v>311971.78244317137</v>
      </c>
      <c r="DS285" s="171">
        <f ca="1">'IS(M)'!DT57</f>
        <v>321717.63903348858</v>
      </c>
      <c r="DT285" s="171">
        <f ca="1">'IS(M)'!DU57</f>
        <v>332191.86628833658</v>
      </c>
      <c r="DU285" s="171">
        <f ca="1">'IS(M)'!DV57</f>
        <v>337274.82468697929</v>
      </c>
      <c r="DV285" s="171">
        <f ca="1">'IS(M)'!DW57</f>
        <v>347704.41986039735</v>
      </c>
      <c r="DW285" s="171">
        <f ca="1">'IS(M)'!DX57</f>
        <v>340598.50693671266</v>
      </c>
      <c r="DX285" s="171">
        <f ca="1">'IS(M)'!DY57</f>
        <v>345708.9389177314</v>
      </c>
      <c r="DY285" s="171">
        <f ca="1">'IS(M)'!DZ57</f>
        <v>350834.27632536134</v>
      </c>
      <c r="DZ285" s="171">
        <f ca="1">'IS(M)'!EA57</f>
        <v>350617.03105148801</v>
      </c>
      <c r="EA285" s="171">
        <f ca="1">'IS(M)'!EB57</f>
        <v>355757.84049484017</v>
      </c>
      <c r="EB285" s="171">
        <f ca="1">'IS(M)'!EC57</f>
        <v>105258606.9025075</v>
      </c>
      <c r="EC285" s="171">
        <f ca="1">'IS(M)'!ED57</f>
        <v>0</v>
      </c>
      <c r="ED285" s="1323">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115985534.77444097</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2715000</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2715000</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2696056.3038810929</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2601729.2937996686</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2678082.375135636</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2884132.0271836026</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2715000</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2715000</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2715000</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63290534.774440967</v>
      </c>
      <c r="EC286" s="171">
        <f ca="1">-SUM('CF(M)'!EC98:EC99,'CF(M)'!EC103:EC104,'CF(M)'!EC108:EC109,'CF(M)'!EC113:EC114)+$I286*(EC$231=$H$286)</f>
        <v>0</v>
      </c>
      <c r="ED286" s="1323">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-97823.001845480525</v>
      </c>
      <c r="N287" s="184">
        <f t="shared" ca="1" si="643"/>
        <v>-184620.55361488415</v>
      </c>
      <c r="O287" s="184">
        <f t="shared" ca="1" si="643"/>
        <v>-458190.79099061189</v>
      </c>
      <c r="P287" s="184">
        <f t="shared" ca="1" si="643"/>
        <v>-593661.96061074373</v>
      </c>
      <c r="Q287" s="184">
        <f t="shared" ca="1" si="643"/>
        <v>-656567.38379946304</v>
      </c>
      <c r="R287" s="184">
        <f t="shared" ca="1" si="643"/>
        <v>-3946671.2762699807</v>
      </c>
      <c r="S287" s="184">
        <f t="shared" ca="1" si="643"/>
        <v>-4115993.0389765417</v>
      </c>
      <c r="T287" s="184">
        <f t="shared" ca="1" si="643"/>
        <v>-4109763.5024008425</v>
      </c>
      <c r="U287" s="184">
        <f t="shared" ca="1" si="643"/>
        <v>-4098843.7164683985</v>
      </c>
      <c r="V287" s="184">
        <f t="shared" ca="1" si="643"/>
        <v>-4092193.0672928402</v>
      </c>
      <c r="W287" s="184">
        <f t="shared" ca="1" si="643"/>
        <v>-4081395.5818100949</v>
      </c>
      <c r="X287" s="184">
        <f t="shared" ca="1" si="643"/>
        <v>-7357639.0316274613</v>
      </c>
      <c r="Y287" s="184">
        <f t="shared" ca="1" si="643"/>
        <v>-7378404.3702933555</v>
      </c>
      <c r="Z287" s="184">
        <f t="shared" ca="1" si="643"/>
        <v>-7398922.785765483</v>
      </c>
      <c r="AA287" s="184">
        <f t="shared" ca="1" si="643"/>
        <v>-7611238.4149584882</v>
      </c>
      <c r="AB287" s="184">
        <f t="shared" ca="1" si="643"/>
        <v>-7730678.4147851784</v>
      </c>
      <c r="AC287" s="184">
        <f t="shared" ca="1" si="643"/>
        <v>-7775779.2723957878</v>
      </c>
      <c r="AD287" s="184">
        <f t="shared" ca="1" si="643"/>
        <v>-10492049.427744329</v>
      </c>
      <c r="AE287" s="184">
        <f t="shared" ca="1" si="643"/>
        <v>-10644253.935917027</v>
      </c>
      <c r="AF287" s="184">
        <f t="shared" ca="1" si="643"/>
        <v>-10616553.474181954</v>
      </c>
      <c r="AG287" s="184">
        <f t="shared" ca="1" si="643"/>
        <v>-10584080.721122343</v>
      </c>
      <c r="AH287" s="184">
        <f t="shared" ca="1" si="643"/>
        <v>-10555979.502569187</v>
      </c>
      <c r="AI287" s="184">
        <f t="shared" ca="1" si="643"/>
        <v>-10523663.081144448</v>
      </c>
      <c r="AJ287" s="184">
        <f t="shared" ca="1" si="643"/>
        <v>-13223902.679929886</v>
      </c>
      <c r="AK287" s="184">
        <f t="shared" ca="1" si="643"/>
        <v>-13212173.807325697</v>
      </c>
      <c r="AL287" s="184">
        <f t="shared" ca="1" si="643"/>
        <v>-13220666.942400396</v>
      </c>
      <c r="AM287" s="184">
        <f t="shared" ca="1" si="643"/>
        <v>-13249458.036111593</v>
      </c>
      <c r="AN287" s="184">
        <f t="shared" ca="1" si="643"/>
        <v>-13214096.078817664</v>
      </c>
      <c r="AO287" s="184">
        <f t="shared" ca="1" si="643"/>
        <v>-13246804.325018294</v>
      </c>
      <c r="AP287" s="184">
        <f t="shared" ca="1" si="643"/>
        <v>-15949569.966609169</v>
      </c>
      <c r="AQ287" s="184">
        <f t="shared" ca="1" si="643"/>
        <v>-15910076.104393374</v>
      </c>
      <c r="AR287" s="184">
        <f t="shared" ref="AR287:BW287" ca="1" si="644">AR284+AR285-AR286</f>
        <v>-16929312.092703406</v>
      </c>
      <c r="AS287" s="184">
        <f t="shared" ca="1" si="644"/>
        <v>-17920677.252403468</v>
      </c>
      <c r="AT287" s="184">
        <f t="shared" ca="1" si="644"/>
        <v>-18984371.031842548</v>
      </c>
      <c r="AU287" s="184">
        <f t="shared" ca="1" si="644"/>
        <v>-19978876.596323017</v>
      </c>
      <c r="AV287" s="184">
        <f t="shared" ca="1" si="644"/>
        <v>-23709653.338262208</v>
      </c>
      <c r="AW287" s="184">
        <f t="shared" ca="1" si="644"/>
        <v>-23657923.205105659</v>
      </c>
      <c r="AX287" s="184">
        <f t="shared" ca="1" si="644"/>
        <v>-23597745.167320509</v>
      </c>
      <c r="AY287" s="184">
        <f t="shared" ca="1" si="644"/>
        <v>-23535347.986341719</v>
      </c>
      <c r="AZ287" s="184">
        <f t="shared" ca="1" si="644"/>
        <v>-23479865.205125567</v>
      </c>
      <c r="BA287" s="184">
        <f t="shared" ca="1" si="644"/>
        <v>-23466539.796118207</v>
      </c>
      <c r="BB287" s="184">
        <f t="shared" ca="1" si="644"/>
        <v>-26122099.826028068</v>
      </c>
      <c r="BC287" s="184">
        <f t="shared" ca="1" si="644"/>
        <v>-26034915.959454898</v>
      </c>
      <c r="BD287" s="184">
        <f t="shared" ca="1" si="644"/>
        <v>-25942689.083930913</v>
      </c>
      <c r="BE287" s="184">
        <f t="shared" ca="1" si="644"/>
        <v>-25845962.88340519</v>
      </c>
      <c r="BF287" s="184">
        <f t="shared" ca="1" si="644"/>
        <v>-25750839.093652368</v>
      </c>
      <c r="BG287" s="184">
        <f t="shared" ca="1" si="644"/>
        <v>-25651206.532088079</v>
      </c>
      <c r="BH287" s="184">
        <f t="shared" ca="1" si="644"/>
        <v>-28263152.209842488</v>
      </c>
      <c r="BI287" s="184">
        <f t="shared" ca="1" si="644"/>
        <v>-28173122.183900803</v>
      </c>
      <c r="BJ287" s="184">
        <f t="shared" ca="1" si="644"/>
        <v>-28074399.466921516</v>
      </c>
      <c r="BK287" s="184">
        <f t="shared" ca="1" si="644"/>
        <v>-27966846.725993801</v>
      </c>
      <c r="BL287" s="184">
        <f t="shared" ca="1" si="644"/>
        <v>-27850896.542772509</v>
      </c>
      <c r="BM287" s="184">
        <f t="shared" ca="1" si="644"/>
        <v>-27806421.145375546</v>
      </c>
      <c r="BN287" s="184">
        <f t="shared" ca="1" si="644"/>
        <v>-30410742.635210212</v>
      </c>
      <c r="BO287" s="184">
        <f t="shared" ca="1" si="644"/>
        <v>-30289494.963480946</v>
      </c>
      <c r="BP287" s="184">
        <f t="shared" ca="1" si="644"/>
        <v>-30163655.438949369</v>
      </c>
      <c r="BQ287" s="184">
        <f t="shared" ca="1" si="644"/>
        <v>-30033210.66871148</v>
      </c>
      <c r="BR287" s="184">
        <f t="shared" ca="1" si="644"/>
        <v>-29904228.977300879</v>
      </c>
      <c r="BS287" s="184">
        <f t="shared" ca="1" si="644"/>
        <v>-29770631.853117097</v>
      </c>
      <c r="BT287" s="184">
        <f t="shared" ca="1" si="644"/>
        <v>-32235218.787569769</v>
      </c>
      <c r="BU287" s="184">
        <f t="shared" ca="1" si="644"/>
        <v>-32057513.687895317</v>
      </c>
      <c r="BV287" s="184">
        <f t="shared" ca="1" si="644"/>
        <v>-31870812.566859446</v>
      </c>
      <c r="BW287" s="184">
        <f t="shared" ca="1" si="644"/>
        <v>-31675062.265215244</v>
      </c>
      <c r="BX287" s="184">
        <f t="shared" ref="BX287:DC287" ca="1" si="645">BX284+BX285-BX286</f>
        <v>-31470050.978511017</v>
      </c>
      <c r="BY287" s="184">
        <f t="shared" ca="1" si="645"/>
        <v>-31338303.043248747</v>
      </c>
      <c r="BZ287" s="184">
        <f t="shared" ca="1" si="645"/>
        <v>-33836198.281975016</v>
      </c>
      <c r="CA287" s="184">
        <f t="shared" ca="1" si="645"/>
        <v>-33624846.218539774</v>
      </c>
      <c r="CB287" s="184">
        <f t="shared" ca="1" si="645"/>
        <v>-33408786.545305412</v>
      </c>
      <c r="CC287" s="184">
        <f t="shared" ca="1" si="645"/>
        <v>-33188005.531743344</v>
      </c>
      <c r="CD287" s="184">
        <f t="shared" ca="1" si="645"/>
        <v>-32968062.719401971</v>
      </c>
      <c r="CE287" s="184">
        <f t="shared" ca="1" si="645"/>
        <v>-32743386.192936689</v>
      </c>
      <c r="CF287" s="184">
        <f t="shared" ca="1" si="645"/>
        <v>-35399161.577264465</v>
      </c>
      <c r="CG287" s="184">
        <f t="shared" ca="1" si="645"/>
        <v>-35183832.548782118</v>
      </c>
      <c r="CH287" s="184">
        <f t="shared" ca="1" si="645"/>
        <v>-34959191.382385358</v>
      </c>
      <c r="CI287" s="184">
        <f t="shared" ca="1" si="645"/>
        <v>-34725269.344350807</v>
      </c>
      <c r="CJ287" s="184">
        <f t="shared" ca="1" si="645"/>
        <v>-34481671.662075318</v>
      </c>
      <c r="CK287" s="184">
        <f t="shared" ca="1" si="645"/>
        <v>-34313164.947253577</v>
      </c>
      <c r="CL287" s="184">
        <f t="shared" ca="1" si="645"/>
        <v>-36810004.071909137</v>
      </c>
      <c r="CM287" s="184">
        <f t="shared" ca="1" si="645"/>
        <v>-36559618.187164873</v>
      </c>
      <c r="CN287" s="184">
        <f t="shared" ca="1" si="645"/>
        <v>-36304402.191958822</v>
      </c>
      <c r="CO287" s="184">
        <f t="shared" ca="1" si="645"/>
        <v>-36044341.998468801</v>
      </c>
      <c r="CP287" s="184">
        <f t="shared" ca="1" si="645"/>
        <v>-35784953.078779042</v>
      </c>
      <c r="CQ287" s="184">
        <f t="shared" ca="1" si="645"/>
        <v>-35520706.715602413</v>
      </c>
      <c r="CR287" s="184">
        <f t="shared" ca="1" si="645"/>
        <v>-37967640.134728983</v>
      </c>
      <c r="CS287" s="184">
        <f t="shared" ca="1" si="645"/>
        <v>-37712086.018898919</v>
      </c>
      <c r="CT287" s="184">
        <f t="shared" ca="1" si="645"/>
        <v>-37446892.486982755</v>
      </c>
      <c r="CU287" s="184">
        <f t="shared" ca="1" si="645"/>
        <v>-37172175.529750668</v>
      </c>
      <c r="CV287" s="184">
        <f t="shared" ca="1" si="645"/>
        <v>-36887352.782573566</v>
      </c>
      <c r="CW287" s="184">
        <f t="shared" ca="1" si="645"/>
        <v>-36679489.250043571</v>
      </c>
      <c r="CX287" s="184">
        <f t="shared" ca="1" si="645"/>
        <v>-39135721.149656087</v>
      </c>
      <c r="CY287" s="184">
        <f t="shared" ca="1" si="645"/>
        <v>-39480502.749344312</v>
      </c>
      <c r="CZ287" s="184">
        <f t="shared" ca="1" si="645"/>
        <v>-39222215.113229915</v>
      </c>
      <c r="DA287" s="184">
        <f t="shared" ca="1" si="645"/>
        <v>-38959076.015492819</v>
      </c>
      <c r="DB287" s="184">
        <f t="shared" ca="1" si="645"/>
        <v>-38773735.199214585</v>
      </c>
      <c r="DC287" s="184">
        <f t="shared" ca="1" si="645"/>
        <v>-38506390.649859317</v>
      </c>
      <c r="DD287" s="184">
        <f t="shared" ref="DD287:DT287" ca="1" si="646">DD284+DD285-DD286</f>
        <v>-40950202.744290479</v>
      </c>
      <c r="DE287" s="184">
        <f t="shared" ca="1" si="646"/>
        <v>-40691507.884877302</v>
      </c>
      <c r="DF287" s="184">
        <f t="shared" ca="1" si="646"/>
        <v>-40423153.641116671</v>
      </c>
      <c r="DG287" s="184">
        <f t="shared" ca="1" si="646"/>
        <v>-40162892.190716565</v>
      </c>
      <c r="DH287" s="184">
        <f t="shared" ca="1" si="646"/>
        <v>-39916783.989989035</v>
      </c>
      <c r="DI287" s="184">
        <f t="shared" ca="1" si="646"/>
        <v>-39623648.727474883</v>
      </c>
      <c r="DJ287" s="184">
        <f t="shared" ca="1" si="646"/>
        <v>-42066641.032342024</v>
      </c>
      <c r="DK287" s="184">
        <f t="shared" ca="1" si="646"/>
        <v>-41771401.277737409</v>
      </c>
      <c r="DL287" s="184">
        <f t="shared" ca="1" si="646"/>
        <v>-41470561.195579283</v>
      </c>
      <c r="DM287" s="184">
        <f t="shared" ca="1" si="646"/>
        <v>-41164736.221694246</v>
      </c>
      <c r="DN287" s="184">
        <f t="shared" ca="1" si="646"/>
        <v>-40859296.042987205</v>
      </c>
      <c r="DO287" s="184">
        <f t="shared" ca="1" si="646"/>
        <v>-40548856.427051812</v>
      </c>
      <c r="DP287" s="184">
        <f t="shared" ca="1" si="646"/>
        <v>-42949422.880293213</v>
      </c>
      <c r="DQ287" s="184">
        <f t="shared" ca="1" si="646"/>
        <v>-42647449.254105046</v>
      </c>
      <c r="DR287" s="184">
        <f t="shared" ca="1" si="646"/>
        <v>-42335477.471661873</v>
      </c>
      <c r="DS287" s="184">
        <f t="shared" ca="1" si="646"/>
        <v>-42013759.832628384</v>
      </c>
      <c r="DT287" s="184">
        <f t="shared" ca="1" si="646"/>
        <v>-41681567.96634005</v>
      </c>
      <c r="DU287" s="184">
        <f t="shared" ref="DU287:EA287" ca="1" si="647">DU284+DU285-DU286</f>
        <v>-41344293.141653068</v>
      </c>
      <c r="DV287" s="184">
        <f t="shared" ca="1" si="647"/>
        <v>-43711588.721792668</v>
      </c>
      <c r="DW287" s="184">
        <f t="shared" ca="1" si="647"/>
        <v>-43370990.214855954</v>
      </c>
      <c r="DX287" s="184">
        <f t="shared" ca="1" si="647"/>
        <v>-43025281.27593822</v>
      </c>
      <c r="DY287" s="184">
        <f t="shared" ca="1" si="647"/>
        <v>-42674446.99961286</v>
      </c>
      <c r="DZ287" s="184">
        <f t="shared" ca="1" si="647"/>
        <v>-42323829.968561374</v>
      </c>
      <c r="EA287" s="184">
        <f t="shared" ca="1" si="647"/>
        <v>-41968072.128066532</v>
      </c>
      <c r="EB287" s="184">
        <f t="shared" ref="EB287:EQ287" ca="1" si="648">EB284+EB285-EB286</f>
        <v>0</v>
      </c>
      <c r="EC287" s="184">
        <f t="shared" ca="1" si="648"/>
        <v>0</v>
      </c>
      <c r="ED287" s="1326">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574</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21"/>
      <c r="EE288" s="162"/>
      <c r="EF288" s="162"/>
      <c r="EG288" s="162"/>
      <c r="EH288" s="162"/>
      <c r="EI288" s="162"/>
      <c r="EJ288" s="162"/>
      <c r="EK288" s="162"/>
      <c r="EL288" s="162"/>
      <c r="EM288" s="162"/>
      <c r="EN288" s="162"/>
      <c r="EO288" s="162"/>
      <c r="EP288" s="162"/>
      <c r="EQ288" s="162"/>
    </row>
    <row r="289" spans="3:147" ht="11.25" customHeight="1">
      <c r="C289" s="218"/>
      <c r="D289" s="163"/>
      <c r="E289" s="164" t="s">
        <v>575</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2"/>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3"/>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3"/>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6"/>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1114</v>
      </c>
      <c r="D12" s="713"/>
      <c r="E12" s="713"/>
      <c r="F12" s="713"/>
      <c r="G12" s="713"/>
      <c r="H12" s="713"/>
      <c r="I12" s="713"/>
      <c r="J12" s="713"/>
      <c r="K12" s="713"/>
      <c r="L12" s="714"/>
      <c r="M12" s="715"/>
      <c r="N12" s="713"/>
      <c r="P12" s="1875">
        <f>'NOI(M)'!M12</f>
        <v>0</v>
      </c>
      <c r="Q12" s="1875">
        <f>'NOI(M)'!N12</f>
        <v>0</v>
      </c>
      <c r="R12" s="1875">
        <f>'NOI(M)'!O12</f>
        <v>0</v>
      </c>
      <c r="S12" s="1875">
        <f>'NOI(M)'!P12</f>
        <v>0</v>
      </c>
      <c r="T12" s="1875">
        <f>'NOI(M)'!Q12</f>
        <v>0</v>
      </c>
      <c r="U12" s="1875">
        <f>'NOI(M)'!R12</f>
        <v>0</v>
      </c>
      <c r="V12" s="1875">
        <f>'NOI(M)'!S12</f>
        <v>0</v>
      </c>
      <c r="W12" s="1875">
        <f>'NOI(M)'!T12</f>
        <v>0</v>
      </c>
      <c r="X12" s="1875">
        <f>'NOI(M)'!U12</f>
        <v>0</v>
      </c>
      <c r="Y12" s="1875">
        <f>'NOI(M)'!V12</f>
        <v>0</v>
      </c>
      <c r="Z12" s="1875">
        <f>'NOI(M)'!W12</f>
        <v>0</v>
      </c>
      <c r="AA12" s="1875">
        <f>'NOI(M)'!X12</f>
        <v>0</v>
      </c>
      <c r="AB12" s="1875">
        <f>'NOI(M)'!Y12</f>
        <v>0</v>
      </c>
      <c r="AC12" s="1875">
        <f>'NOI(M)'!Z12</f>
        <v>0</v>
      </c>
      <c r="AD12" s="1875">
        <f>'NOI(M)'!AA12</f>
        <v>0</v>
      </c>
      <c r="AE12" s="1875">
        <f>'NOI(M)'!AB12</f>
        <v>0</v>
      </c>
      <c r="AF12" s="1875">
        <f>'NOI(M)'!AC12</f>
        <v>0</v>
      </c>
      <c r="AG12" s="1875">
        <f>'NOI(M)'!AD12</f>
        <v>0</v>
      </c>
      <c r="AH12" s="1875">
        <f>'NOI(M)'!AE12</f>
        <v>0</v>
      </c>
      <c r="AI12" s="1875">
        <f>'NOI(M)'!AF12</f>
        <v>0</v>
      </c>
      <c r="AJ12" s="1875">
        <f>'NOI(M)'!AG12</f>
        <v>0</v>
      </c>
      <c r="AK12" s="1875">
        <f>'NOI(M)'!AH12</f>
        <v>0</v>
      </c>
      <c r="AL12" s="1875">
        <f>'NOI(M)'!AI12</f>
        <v>0</v>
      </c>
      <c r="AM12" s="1875">
        <f>'NOI(M)'!AJ12</f>
        <v>0</v>
      </c>
      <c r="AN12" s="1875">
        <f>'NOI(M)'!AK12</f>
        <v>0</v>
      </c>
      <c r="AO12" s="1875">
        <f>'NOI(M)'!AL12</f>
        <v>0</v>
      </c>
      <c r="AP12" s="1875">
        <f>'NOI(M)'!AM12</f>
        <v>0</v>
      </c>
      <c r="AQ12" s="1875">
        <f>'NOI(M)'!AN12</f>
        <v>0</v>
      </c>
      <c r="AR12" s="1875">
        <f>'NOI(M)'!AO12</f>
        <v>0</v>
      </c>
      <c r="AS12" s="1875">
        <f>'NOI(M)'!AP12</f>
        <v>0</v>
      </c>
      <c r="AT12" s="1875">
        <f>'NOI(M)'!AQ12</f>
        <v>0</v>
      </c>
      <c r="AU12" s="1875">
        <f>'NOI(M)'!AR12</f>
        <v>0</v>
      </c>
      <c r="AV12" s="1875">
        <f>'NOI(M)'!AS12</f>
        <v>0</v>
      </c>
      <c r="AW12" s="1875">
        <f>'NOI(M)'!AT12</f>
        <v>0</v>
      </c>
      <c r="AX12" s="1875">
        <f>'NOI(M)'!AU12</f>
        <v>0</v>
      </c>
      <c r="AY12" s="1875">
        <f>'NOI(M)'!AV12</f>
        <v>0</v>
      </c>
      <c r="AZ12" s="1875">
        <f>'NOI(M)'!AW12</f>
        <v>0</v>
      </c>
      <c r="BA12" s="1875">
        <f>'NOI(M)'!AX12</f>
        <v>0</v>
      </c>
      <c r="BB12" s="1875">
        <f>'NOI(M)'!AY12</f>
        <v>0</v>
      </c>
      <c r="BC12" s="1875">
        <f>'NOI(M)'!AZ12</f>
        <v>0</v>
      </c>
      <c r="BD12" s="1875">
        <f>'NOI(M)'!BA12</f>
        <v>0</v>
      </c>
      <c r="BE12" s="1875">
        <f>'NOI(M)'!BB12</f>
        <v>0</v>
      </c>
      <c r="BF12" s="1875">
        <f>'NOI(M)'!BC12</f>
        <v>0</v>
      </c>
      <c r="BG12" s="1875">
        <f>'NOI(M)'!BD12</f>
        <v>0</v>
      </c>
      <c r="BH12" s="1875">
        <f>'NOI(M)'!BE12</f>
        <v>0</v>
      </c>
      <c r="BI12" s="1875">
        <f>'NOI(M)'!BF12</f>
        <v>0</v>
      </c>
      <c r="BJ12" s="1875">
        <f>'NOI(M)'!BG12</f>
        <v>0</v>
      </c>
      <c r="BK12" s="1875">
        <f>'NOI(M)'!BH12</f>
        <v>0</v>
      </c>
      <c r="BL12" s="1875">
        <f>'NOI(M)'!BI12</f>
        <v>0</v>
      </c>
      <c r="BM12" s="1875">
        <f>'NOI(M)'!BJ12</f>
        <v>0</v>
      </c>
      <c r="BN12" s="1875">
        <f>'NOI(M)'!BK12</f>
        <v>0</v>
      </c>
      <c r="BO12" s="1875">
        <f>'NOI(M)'!BL12</f>
        <v>0</v>
      </c>
      <c r="BP12" s="1875">
        <f>'NOI(M)'!BM12</f>
        <v>0</v>
      </c>
      <c r="BQ12" s="1875">
        <f>'NOI(M)'!BN12</f>
        <v>0</v>
      </c>
      <c r="BR12" s="1875">
        <f>'NOI(M)'!BO12</f>
        <v>0</v>
      </c>
      <c r="BS12" s="1875">
        <f>'NOI(M)'!BP12</f>
        <v>0</v>
      </c>
      <c r="BT12" s="1875">
        <f>'NOI(M)'!BQ12</f>
        <v>0</v>
      </c>
      <c r="BU12" s="1875">
        <f>'NOI(M)'!BR12</f>
        <v>0</v>
      </c>
      <c r="BV12" s="1875">
        <f>'NOI(M)'!BS12</f>
        <v>0</v>
      </c>
      <c r="BW12" s="1875">
        <f>'NOI(M)'!BT12</f>
        <v>0</v>
      </c>
      <c r="BX12" s="1875">
        <f>'NOI(M)'!BU12</f>
        <v>0</v>
      </c>
      <c r="BY12" s="1875">
        <f>'NOI(M)'!BV12</f>
        <v>0</v>
      </c>
      <c r="BZ12" s="1875">
        <f>'NOI(M)'!BW12</f>
        <v>0</v>
      </c>
      <c r="CA12" s="1875">
        <f>'NOI(M)'!BX12</f>
        <v>0</v>
      </c>
      <c r="CB12" s="1875">
        <f>'NOI(M)'!BY12</f>
        <v>0</v>
      </c>
      <c r="CC12" s="1875">
        <f>'NOI(M)'!BZ12</f>
        <v>0</v>
      </c>
      <c r="CD12" s="1875">
        <f>'NOI(M)'!CA12</f>
        <v>0</v>
      </c>
      <c r="CE12" s="1875">
        <f>'NOI(M)'!CB12</f>
        <v>0</v>
      </c>
      <c r="CF12" s="1875">
        <f>'NOI(M)'!CC12</f>
        <v>0</v>
      </c>
      <c r="CG12" s="1875">
        <f>'NOI(M)'!CD12</f>
        <v>0</v>
      </c>
      <c r="CH12" s="1875">
        <f>'NOI(M)'!CE12</f>
        <v>0</v>
      </c>
      <c r="CI12" s="1875">
        <f>'NOI(M)'!CF12</f>
        <v>0</v>
      </c>
      <c r="CJ12" s="1875">
        <f>'NOI(M)'!CG12</f>
        <v>0</v>
      </c>
      <c r="CK12" s="1875">
        <f>'NOI(M)'!CH12</f>
        <v>0</v>
      </c>
      <c r="CL12" s="1875">
        <f>'NOI(M)'!CI12</f>
        <v>0</v>
      </c>
      <c r="CM12" s="1875">
        <f>'NOI(M)'!CJ12</f>
        <v>0</v>
      </c>
      <c r="CN12" s="1875">
        <f>'NOI(M)'!CK12</f>
        <v>0</v>
      </c>
      <c r="CO12" s="1875">
        <f>'NOI(M)'!CL12</f>
        <v>0</v>
      </c>
      <c r="CP12" s="1875">
        <f>'NOI(M)'!CM12</f>
        <v>0</v>
      </c>
      <c r="CQ12" s="1875">
        <f>'NOI(M)'!CN12</f>
        <v>0</v>
      </c>
      <c r="CR12" s="1875">
        <f>'NOI(M)'!CO12</f>
        <v>0</v>
      </c>
      <c r="CS12" s="1875">
        <f>'NOI(M)'!CP12</f>
        <v>0</v>
      </c>
      <c r="CT12" s="1875">
        <f>'NOI(M)'!CQ12</f>
        <v>0</v>
      </c>
      <c r="CU12" s="1875">
        <f>'NOI(M)'!CR12</f>
        <v>0</v>
      </c>
      <c r="CV12" s="1875">
        <f>'NOI(M)'!CS12</f>
        <v>0</v>
      </c>
      <c r="CW12" s="1875">
        <f>'NOI(M)'!CT12</f>
        <v>0</v>
      </c>
      <c r="CX12" s="1875">
        <f>'NOI(M)'!CU12</f>
        <v>0</v>
      </c>
      <c r="CY12" s="1875">
        <f>'NOI(M)'!CV12</f>
        <v>0</v>
      </c>
      <c r="CZ12" s="1875">
        <f>'NOI(M)'!CW12</f>
        <v>0</v>
      </c>
      <c r="DA12" s="1875">
        <f>'NOI(M)'!CX12</f>
        <v>0</v>
      </c>
      <c r="DB12" s="1875">
        <f>'NOI(M)'!CY12</f>
        <v>0</v>
      </c>
      <c r="DC12" s="1875">
        <f>'NOI(M)'!CZ12</f>
        <v>0</v>
      </c>
      <c r="DD12" s="1875">
        <f>'NOI(M)'!DA12</f>
        <v>0</v>
      </c>
      <c r="DE12" s="1875">
        <f>'NOI(M)'!DB12</f>
        <v>0</v>
      </c>
      <c r="DF12" s="1875">
        <f>'NOI(M)'!DC12</f>
        <v>0</v>
      </c>
      <c r="DG12" s="1875">
        <f>'NOI(M)'!DD12</f>
        <v>0</v>
      </c>
      <c r="DH12" s="1875">
        <f>'NOI(M)'!DE12</f>
        <v>0</v>
      </c>
      <c r="DI12" s="1875">
        <f>'NOI(M)'!DF12</f>
        <v>0</v>
      </c>
      <c r="DJ12" s="1875">
        <f>'NOI(M)'!DG12</f>
        <v>0</v>
      </c>
      <c r="DK12" s="1875">
        <f>'NOI(M)'!DH12</f>
        <v>0</v>
      </c>
      <c r="DL12" s="1875">
        <f>'NOI(M)'!DI12</f>
        <v>0</v>
      </c>
      <c r="DM12" s="1875">
        <f>'NOI(M)'!DJ12</f>
        <v>0</v>
      </c>
      <c r="DN12" s="1875">
        <f>'NOI(M)'!DK12</f>
        <v>0</v>
      </c>
      <c r="DO12" s="1875">
        <f>'NOI(M)'!DL12</f>
        <v>0</v>
      </c>
      <c r="DP12" s="1875">
        <f>'NOI(M)'!DM12</f>
        <v>0</v>
      </c>
      <c r="DQ12" s="1875">
        <f>'NOI(M)'!DN12</f>
        <v>0</v>
      </c>
      <c r="DR12" s="1875">
        <f>'NOI(M)'!DO12</f>
        <v>0</v>
      </c>
      <c r="DS12" s="1875">
        <f>'NOI(M)'!DP12</f>
        <v>0</v>
      </c>
      <c r="DT12" s="1875">
        <f>'NOI(M)'!DQ12</f>
        <v>0</v>
      </c>
      <c r="DU12" s="1875">
        <f>'NOI(M)'!DR12</f>
        <v>0</v>
      </c>
      <c r="DV12" s="1875">
        <f>'NOI(M)'!DS12</f>
        <v>0</v>
      </c>
      <c r="DW12" s="1875">
        <f>'NOI(M)'!DT12</f>
        <v>0</v>
      </c>
      <c r="DX12" s="1875">
        <f>'NOI(M)'!DU12</f>
        <v>0</v>
      </c>
      <c r="DY12" s="1875">
        <f>'NOI(M)'!DV12</f>
        <v>0</v>
      </c>
      <c r="DZ12" s="1875">
        <f>'NOI(M)'!DW12</f>
        <v>0</v>
      </c>
      <c r="EA12" s="1875">
        <f>'NOI(M)'!DX12</f>
        <v>0</v>
      </c>
      <c r="EB12" s="1875">
        <f>'NOI(M)'!DY12</f>
        <v>0</v>
      </c>
      <c r="EC12" s="1875">
        <f>'NOI(M)'!DZ12</f>
        <v>0</v>
      </c>
      <c r="ED12" s="1875">
        <f>'NOI(M)'!EA12</f>
        <v>0</v>
      </c>
      <c r="EE12" s="1875">
        <f>'NOI(M)'!EB12</f>
        <v>0</v>
      </c>
      <c r="EF12" s="1875">
        <f>'NOI(M)'!EC12</f>
        <v>0</v>
      </c>
      <c r="EG12" s="1875">
        <f>'NOI(M)'!ED12</f>
        <v>0</v>
      </c>
      <c r="EH12" s="1875">
        <f>'NOI(M)'!EE12</f>
        <v>0</v>
      </c>
      <c r="EI12" s="1875">
        <f>'NOI(M)'!EF12</f>
        <v>0</v>
      </c>
      <c r="EJ12" s="1875">
        <f>'NOI(M)'!EG12</f>
        <v>0</v>
      </c>
      <c r="EK12" s="1875">
        <f>'NOI(M)'!EH12</f>
        <v>0</v>
      </c>
      <c r="EL12" s="1875">
        <f>'NOI(M)'!EI12</f>
        <v>0</v>
      </c>
      <c r="EM12" s="1875">
        <f>'NOI(M)'!EJ12</f>
        <v>0</v>
      </c>
      <c r="EN12" s="1875">
        <f>'NOI(M)'!EK12</f>
        <v>0</v>
      </c>
      <c r="EO12" s="1875">
        <f>'NOI(M)'!EL12</f>
        <v>0</v>
      </c>
      <c r="EP12" s="1875">
        <f>'NOI(M)'!EM12</f>
        <v>0</v>
      </c>
      <c r="EQ12" s="1875">
        <f>'NOI(M)'!EN12</f>
        <v>0</v>
      </c>
      <c r="ER12" s="1875">
        <f>'NOI(M)'!EO12</f>
        <v>0</v>
      </c>
      <c r="ES12" s="1875">
        <f>'NOI(M)'!EP12</f>
        <v>0</v>
      </c>
      <c r="ET12" s="1875">
        <f>'NOI(M)'!EQ12</f>
        <v>0</v>
      </c>
      <c r="EU12" s="1875">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851</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851</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90">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851</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851</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851</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5"/>
      <c r="Q90" s="1405"/>
      <c r="R90" s="1405"/>
      <c r="S90" s="1405"/>
      <c r="T90" s="1405"/>
      <c r="U90" s="1405"/>
      <c r="V90" s="1405"/>
      <c r="W90" s="1405"/>
      <c r="X90" s="1405"/>
      <c r="Y90" s="1405"/>
      <c r="Z90" s="1405"/>
      <c r="AA90" s="1405"/>
      <c r="AB90" s="1405"/>
      <c r="AC90" s="1405"/>
      <c r="AD90" s="1405"/>
      <c r="AE90" s="1405"/>
      <c r="AF90" s="1405"/>
      <c r="AG90" s="1405"/>
      <c r="AH90" s="1405"/>
      <c r="AI90" s="1405"/>
      <c r="AJ90" s="1405"/>
      <c r="AK90" s="1405"/>
      <c r="AL90" s="1405"/>
      <c r="AM90" s="1405"/>
      <c r="AN90" s="1405"/>
      <c r="AO90" s="1405"/>
      <c r="AP90" s="1405"/>
      <c r="AQ90" s="1405"/>
      <c r="AR90" s="1405"/>
      <c r="AS90" s="1405"/>
      <c r="AT90" s="1405"/>
      <c r="AU90" s="1405"/>
      <c r="AV90" s="1405"/>
      <c r="AW90" s="1405"/>
      <c r="AX90" s="1405"/>
      <c r="AY90" s="1405"/>
      <c r="AZ90" s="1405"/>
      <c r="BA90" s="1405"/>
      <c r="BB90" s="1405"/>
      <c r="BC90" s="1405"/>
      <c r="BD90" s="1405"/>
      <c r="BE90" s="1405"/>
      <c r="BF90" s="1405"/>
      <c r="BG90" s="1405"/>
      <c r="BH90" s="1405"/>
      <c r="BI90" s="1405"/>
      <c r="BJ90" s="1405"/>
      <c r="BK90" s="1405"/>
      <c r="BL90" s="1405"/>
      <c r="BM90" s="1405"/>
      <c r="BN90" s="1405"/>
      <c r="BO90" s="1405"/>
      <c r="BP90" s="1405"/>
      <c r="BQ90" s="1405"/>
      <c r="BR90" s="1405"/>
      <c r="BS90" s="1405"/>
      <c r="BT90" s="1405"/>
      <c r="BU90" s="1405"/>
      <c r="BV90" s="1405"/>
      <c r="BW90" s="1405"/>
      <c r="BX90" s="1405"/>
      <c r="BY90" s="1405"/>
      <c r="BZ90" s="1405"/>
      <c r="CA90" s="1405"/>
      <c r="CB90" s="1405"/>
      <c r="CC90" s="1405"/>
      <c r="CD90" s="1405"/>
      <c r="CE90" s="1405"/>
      <c r="CF90" s="1405"/>
      <c r="CG90" s="1405"/>
      <c r="CH90" s="1405"/>
      <c r="CI90" s="1405"/>
      <c r="CJ90" s="1405"/>
      <c r="CK90" s="1405"/>
      <c r="CL90" s="1405"/>
      <c r="CM90" s="1405"/>
      <c r="CN90" s="1405"/>
      <c r="CO90" s="1405"/>
      <c r="CP90" s="1405"/>
      <c r="CQ90" s="1405"/>
      <c r="CR90" s="1405"/>
      <c r="CS90" s="1405"/>
      <c r="CT90" s="1405"/>
      <c r="CU90" s="1405"/>
      <c r="CV90" s="1405"/>
      <c r="CW90" s="1405"/>
      <c r="CX90" s="1405"/>
      <c r="CY90" s="1405"/>
      <c r="CZ90" s="1405"/>
      <c r="DA90" s="1405"/>
      <c r="DB90" s="1405"/>
      <c r="DC90" s="1405"/>
      <c r="DD90" s="1405"/>
      <c r="DE90" s="1405"/>
      <c r="DF90" s="1405"/>
      <c r="DG90" s="1405"/>
      <c r="DH90" s="1405"/>
      <c r="DI90" s="1405"/>
      <c r="DJ90" s="1405"/>
      <c r="DK90" s="1405"/>
      <c r="DL90" s="1405"/>
      <c r="DM90" s="1405"/>
      <c r="DN90" s="1405"/>
      <c r="DO90" s="1405"/>
      <c r="DP90" s="1405"/>
      <c r="DQ90" s="1405"/>
      <c r="DR90" s="1405"/>
      <c r="DS90" s="1405"/>
      <c r="DT90" s="1405"/>
      <c r="DU90" s="1405"/>
      <c r="DV90" s="1405"/>
      <c r="DW90" s="1405"/>
      <c r="DX90" s="1405"/>
      <c r="DY90" s="1405"/>
      <c r="DZ90" s="1405"/>
      <c r="EA90" s="1405"/>
      <c r="EB90" s="1405"/>
      <c r="EC90" s="1405"/>
      <c r="ED90" s="1405"/>
      <c r="EE90" s="1405"/>
      <c r="EF90" s="1405"/>
      <c r="EG90" s="1405"/>
      <c r="EH90" s="1405"/>
      <c r="EI90" s="1405"/>
      <c r="EJ90" s="1405"/>
      <c r="EK90" s="1405"/>
      <c r="EL90" s="1405"/>
      <c r="EM90" s="1405"/>
      <c r="EN90" s="1405"/>
      <c r="EO90" s="1405"/>
      <c r="EP90" s="1405"/>
      <c r="EQ90" s="1405"/>
      <c r="ER90" s="1405"/>
      <c r="ES90" s="1405"/>
      <c r="ET90" s="1405"/>
      <c r="EU90" s="1405"/>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3" customFormat="1" ht="11.25" customHeight="1">
      <c r="A92" s="1912"/>
      <c r="B92" s="1912"/>
      <c r="C92" s="1913"/>
      <c r="D92" s="1914">
        <f t="shared" si="49"/>
        <v>8</v>
      </c>
      <c r="E92" s="1912" t="str">
        <f t="shared" si="49"/>
        <v>키즈밀</v>
      </c>
      <c r="F92" s="1912" t="str">
        <f t="shared" si="49"/>
        <v>근린생활시설</v>
      </c>
      <c r="G92" s="1915"/>
      <c r="H92" s="1916"/>
      <c r="I92" s="1917"/>
      <c r="J92" s="1917"/>
      <c r="K92" s="1916">
        <f>SUMPRODUCT($P92:$EU92,Index!$L$22:$EQ$22)/('A&amp;R'!$F$37/10)</f>
        <v>0.41666666666666669</v>
      </c>
      <c r="L92" s="1926"/>
      <c r="M92" s="1919"/>
      <c r="N92" s="1920">
        <f t="shared" si="50"/>
        <v>6</v>
      </c>
      <c r="O92" s="1921"/>
      <c r="P92" s="1922">
        <v>1</v>
      </c>
      <c r="Q92" s="1922">
        <v>1</v>
      </c>
      <c r="R92" s="1922"/>
      <c r="S92" s="1922"/>
      <c r="T92" s="1922"/>
      <c r="U92" s="1922"/>
      <c r="V92" s="1922"/>
      <c r="W92" s="1922"/>
      <c r="X92" s="1922"/>
      <c r="Y92" s="1922"/>
      <c r="Z92" s="1922"/>
      <c r="AA92" s="1922"/>
      <c r="AB92" s="1922">
        <v>1</v>
      </c>
      <c r="AC92" s="1922">
        <v>1</v>
      </c>
      <c r="AD92" s="1922"/>
      <c r="AE92" s="1922"/>
      <c r="AF92" s="1922"/>
      <c r="AG92" s="1922"/>
      <c r="AH92" s="1922"/>
      <c r="AI92" s="1922"/>
      <c r="AJ92" s="1922"/>
      <c r="AK92" s="1922"/>
      <c r="AL92" s="1922"/>
      <c r="AM92" s="1922"/>
      <c r="AN92" s="1922">
        <v>1</v>
      </c>
      <c r="AO92" s="1922"/>
      <c r="AP92" s="1922"/>
      <c r="AQ92" s="1922"/>
      <c r="AR92" s="1922"/>
      <c r="AS92" s="1922"/>
      <c r="AT92" s="1922"/>
      <c r="AU92" s="1922"/>
      <c r="AV92" s="1922"/>
      <c r="AW92" s="1922"/>
      <c r="AX92" s="1922"/>
      <c r="AY92" s="1922"/>
      <c r="AZ92" s="1922">
        <v>1</v>
      </c>
      <c r="BA92" s="1922"/>
      <c r="BB92" s="1922"/>
      <c r="BC92" s="1922"/>
      <c r="BD92" s="1922"/>
      <c r="BE92" s="1922"/>
      <c r="BF92" s="1922"/>
      <c r="BG92" s="1922"/>
      <c r="BH92" s="1922"/>
      <c r="BI92" s="1922"/>
      <c r="BJ92" s="1922"/>
      <c r="BK92" s="1922"/>
      <c r="BL92" s="1922"/>
      <c r="BM92" s="1922"/>
      <c r="BN92" s="1922"/>
      <c r="BO92" s="1922"/>
      <c r="BP92" s="1922"/>
      <c r="BQ92" s="1922"/>
      <c r="BR92" s="1922"/>
      <c r="BS92" s="1922"/>
      <c r="BT92" s="1922"/>
      <c r="BU92" s="1922"/>
      <c r="BV92" s="1922"/>
      <c r="BW92" s="1922"/>
      <c r="BX92" s="1922"/>
      <c r="BY92" s="1922"/>
      <c r="BZ92" s="1922"/>
      <c r="CA92" s="1922"/>
      <c r="CB92" s="1922"/>
      <c r="CC92" s="1922"/>
      <c r="CD92" s="1922"/>
      <c r="CE92" s="1922"/>
      <c r="CF92" s="1922"/>
      <c r="CG92" s="1922"/>
      <c r="CH92" s="1922"/>
      <c r="CI92" s="1922"/>
      <c r="CJ92" s="1922"/>
      <c r="CK92" s="1922"/>
      <c r="CL92" s="1922"/>
      <c r="CM92" s="1922"/>
      <c r="CN92" s="1922"/>
      <c r="CO92" s="1922"/>
      <c r="CP92" s="1922"/>
      <c r="CQ92" s="1922"/>
      <c r="CR92" s="1922"/>
      <c r="CS92" s="1922"/>
      <c r="CT92" s="1922"/>
      <c r="CU92" s="1922"/>
      <c r="CV92" s="1922"/>
      <c r="CW92" s="1922"/>
      <c r="CX92" s="1922"/>
      <c r="CY92" s="1922"/>
      <c r="CZ92" s="1922"/>
      <c r="DA92" s="1922"/>
      <c r="DB92" s="1922"/>
      <c r="DC92" s="1922"/>
      <c r="DD92" s="1922"/>
      <c r="DE92" s="1922"/>
      <c r="DF92" s="1922"/>
      <c r="DG92" s="1922"/>
      <c r="DH92" s="1922"/>
      <c r="DI92" s="1922"/>
      <c r="DJ92" s="1922"/>
      <c r="DK92" s="1922"/>
      <c r="DL92" s="1922"/>
      <c r="DM92" s="1922"/>
      <c r="DN92" s="1922"/>
      <c r="DO92" s="1922"/>
      <c r="DP92" s="1922"/>
      <c r="DQ92" s="1922"/>
      <c r="DR92" s="1922"/>
      <c r="DS92" s="1922"/>
      <c r="DT92" s="1922"/>
      <c r="DU92" s="1922"/>
      <c r="DV92" s="1922"/>
      <c r="DW92" s="1922"/>
      <c r="DX92" s="1922"/>
      <c r="DY92" s="1922"/>
      <c r="DZ92" s="1922"/>
      <c r="EA92" s="1922"/>
      <c r="EB92" s="1922"/>
      <c r="EC92" s="1922"/>
      <c r="ED92" s="1922"/>
      <c r="EE92" s="1922"/>
      <c r="EF92" s="1922"/>
      <c r="EG92" s="1922"/>
      <c r="EH92" s="1922"/>
      <c r="EI92" s="1922"/>
      <c r="EJ92" s="1922"/>
      <c r="EK92" s="1922"/>
      <c r="EL92" s="1922"/>
      <c r="EM92" s="1922"/>
      <c r="EN92" s="1922"/>
      <c r="EO92" s="1922"/>
      <c r="EP92" s="1922"/>
      <c r="EQ92" s="1922"/>
      <c r="ER92" s="1922"/>
      <c r="ES92" s="1922"/>
      <c r="ET92" s="1922"/>
      <c r="EU92" s="1922"/>
    </row>
    <row r="93" spans="1:151" s="1923" customFormat="1" ht="11.25" customHeight="1">
      <c r="A93" s="1912"/>
      <c r="B93" s="1912"/>
      <c r="C93" s="1913"/>
      <c r="D93" s="1914">
        <f t="shared" si="49"/>
        <v>8</v>
      </c>
      <c r="E93" s="1912" t="str">
        <f t="shared" si="49"/>
        <v>쿠팡</v>
      </c>
      <c r="F93" s="1912" t="str">
        <f t="shared" si="49"/>
        <v>상온창고</v>
      </c>
      <c r="G93" s="1915"/>
      <c r="H93" s="1916"/>
      <c r="I93" s="1917"/>
      <c r="J93" s="1917"/>
      <c r="K93" s="1916">
        <f>SUMPRODUCT($P93:$EU93,Index!$L$22:$EQ$22)/('A&amp;R'!$F$37/10)</f>
        <v>0.41666666666666669</v>
      </c>
      <c r="L93" s="1926"/>
      <c r="M93" s="1919"/>
      <c r="N93" s="1920">
        <f t="shared" si="50"/>
        <v>5</v>
      </c>
      <c r="O93" s="1921"/>
      <c r="P93" s="1922">
        <v>0</v>
      </c>
      <c r="Q93" s="1922">
        <v>0</v>
      </c>
      <c r="R93" s="1922">
        <v>0</v>
      </c>
      <c r="S93" s="1922">
        <v>0</v>
      </c>
      <c r="T93" s="1922">
        <v>0</v>
      </c>
      <c r="U93" s="1922">
        <v>0</v>
      </c>
      <c r="V93" s="1922">
        <v>0</v>
      </c>
      <c r="W93" s="1922">
        <v>0</v>
      </c>
      <c r="X93" s="1922">
        <v>0</v>
      </c>
      <c r="Y93" s="1922">
        <v>0</v>
      </c>
      <c r="Z93" s="1922">
        <v>0</v>
      </c>
      <c r="AA93" s="1922">
        <v>0</v>
      </c>
      <c r="AB93" s="1922">
        <v>0</v>
      </c>
      <c r="AC93" s="1922">
        <v>0</v>
      </c>
      <c r="AD93" s="1922">
        <v>0</v>
      </c>
      <c r="AE93" s="1922">
        <v>0</v>
      </c>
      <c r="AF93" s="1922">
        <v>0</v>
      </c>
      <c r="AG93" s="1922">
        <v>0</v>
      </c>
      <c r="AH93" s="1922">
        <v>0</v>
      </c>
      <c r="AI93" s="1922">
        <v>0</v>
      </c>
      <c r="AJ93" s="1922">
        <v>0</v>
      </c>
      <c r="AK93" s="1922">
        <v>0</v>
      </c>
      <c r="AL93" s="1922">
        <v>0</v>
      </c>
      <c r="AM93" s="1922">
        <v>0</v>
      </c>
      <c r="AN93" s="1922">
        <v>0</v>
      </c>
      <c r="AO93" s="1922">
        <v>0</v>
      </c>
      <c r="AP93" s="1922">
        <v>0</v>
      </c>
      <c r="AQ93" s="1922">
        <v>0</v>
      </c>
      <c r="AR93" s="1922">
        <v>0</v>
      </c>
      <c r="AS93" s="1922">
        <v>0</v>
      </c>
      <c r="AT93" s="1922">
        <v>0</v>
      </c>
      <c r="AU93" s="1922">
        <v>0</v>
      </c>
      <c r="AV93" s="1922">
        <v>1</v>
      </c>
      <c r="AW93" s="1922">
        <v>1</v>
      </c>
      <c r="AX93" s="1922">
        <v>1</v>
      </c>
      <c r="AY93" s="1922">
        <v>1</v>
      </c>
      <c r="AZ93" s="1922">
        <v>1</v>
      </c>
      <c r="BA93" s="1922">
        <v>0</v>
      </c>
      <c r="BB93" s="1922">
        <v>0</v>
      </c>
      <c r="BC93" s="1922">
        <v>0</v>
      </c>
      <c r="BD93" s="1922">
        <v>0</v>
      </c>
      <c r="BE93" s="1922">
        <v>0</v>
      </c>
      <c r="BF93" s="1922">
        <v>0</v>
      </c>
      <c r="BG93" s="1922">
        <v>0</v>
      </c>
      <c r="BH93" s="1922">
        <v>0</v>
      </c>
      <c r="BI93" s="1922">
        <v>0</v>
      </c>
      <c r="BJ93" s="1922">
        <v>0</v>
      </c>
      <c r="BK93" s="1922">
        <v>0</v>
      </c>
      <c r="BL93" s="1922">
        <v>0</v>
      </c>
      <c r="BM93" s="1922">
        <v>0</v>
      </c>
      <c r="BN93" s="1922">
        <v>0</v>
      </c>
      <c r="BO93" s="1922">
        <v>0</v>
      </c>
      <c r="BP93" s="1922">
        <v>0</v>
      </c>
      <c r="BQ93" s="1922">
        <v>0</v>
      </c>
      <c r="BR93" s="1922">
        <v>0</v>
      </c>
      <c r="BS93" s="1922">
        <v>0</v>
      </c>
      <c r="BT93" s="1922">
        <v>0</v>
      </c>
      <c r="BU93" s="1922">
        <v>0</v>
      </c>
      <c r="BV93" s="1922">
        <v>0</v>
      </c>
      <c r="BW93" s="1922">
        <v>0</v>
      </c>
      <c r="BX93" s="1922">
        <v>0</v>
      </c>
      <c r="BY93" s="1922">
        <v>0</v>
      </c>
      <c r="BZ93" s="1922">
        <v>0</v>
      </c>
      <c r="CA93" s="1922">
        <v>0</v>
      </c>
      <c r="CB93" s="1922">
        <v>0</v>
      </c>
      <c r="CC93" s="1922">
        <v>0</v>
      </c>
      <c r="CD93" s="1922">
        <v>0</v>
      </c>
      <c r="CE93" s="1922">
        <v>0</v>
      </c>
      <c r="CF93" s="1922">
        <v>0</v>
      </c>
      <c r="CG93" s="1922">
        <v>0</v>
      </c>
      <c r="CH93" s="1922">
        <v>0</v>
      </c>
      <c r="CI93" s="1922">
        <v>0</v>
      </c>
      <c r="CJ93" s="1922">
        <v>0</v>
      </c>
      <c r="CK93" s="1922">
        <v>0</v>
      </c>
      <c r="CL93" s="1922">
        <v>0</v>
      </c>
      <c r="CM93" s="1922">
        <v>0</v>
      </c>
      <c r="CN93" s="1922">
        <v>0</v>
      </c>
      <c r="CO93" s="1922">
        <v>0</v>
      </c>
      <c r="CP93" s="1922">
        <v>0</v>
      </c>
      <c r="CQ93" s="1922">
        <v>0</v>
      </c>
      <c r="CR93" s="1922">
        <v>0</v>
      </c>
      <c r="CS93" s="1922">
        <v>0</v>
      </c>
      <c r="CT93" s="1922">
        <v>0</v>
      </c>
      <c r="CU93" s="1922">
        <v>0</v>
      </c>
      <c r="CV93" s="1922">
        <v>0</v>
      </c>
      <c r="CW93" s="1922">
        <v>0</v>
      </c>
      <c r="CX93" s="1922">
        <v>0</v>
      </c>
      <c r="CY93" s="1922">
        <v>0</v>
      </c>
      <c r="CZ93" s="1922">
        <v>0</v>
      </c>
      <c r="DA93" s="1922">
        <v>0</v>
      </c>
      <c r="DB93" s="1922">
        <v>0</v>
      </c>
      <c r="DC93" s="1922">
        <v>0</v>
      </c>
      <c r="DD93" s="1922">
        <v>0</v>
      </c>
      <c r="DE93" s="1922">
        <v>0</v>
      </c>
      <c r="DF93" s="1922">
        <v>0</v>
      </c>
      <c r="DG93" s="1922">
        <v>0</v>
      </c>
      <c r="DH93" s="1922">
        <v>0</v>
      </c>
      <c r="DI93" s="1922">
        <v>0</v>
      </c>
      <c r="DJ93" s="1922">
        <v>0</v>
      </c>
      <c r="DK93" s="1922">
        <v>0</v>
      </c>
      <c r="DL93" s="1922">
        <v>0</v>
      </c>
      <c r="DM93" s="1922">
        <v>0</v>
      </c>
      <c r="DN93" s="1922">
        <v>0</v>
      </c>
      <c r="DO93" s="1922">
        <v>0</v>
      </c>
      <c r="DP93" s="1922">
        <v>0</v>
      </c>
      <c r="DQ93" s="1922">
        <v>0</v>
      </c>
      <c r="DR93" s="1922">
        <v>0</v>
      </c>
      <c r="DS93" s="1922">
        <v>0</v>
      </c>
      <c r="DT93" s="1922">
        <v>0</v>
      </c>
      <c r="DU93" s="1922">
        <v>0</v>
      </c>
      <c r="DV93" s="1922">
        <v>0</v>
      </c>
      <c r="DW93" s="1922">
        <v>0</v>
      </c>
      <c r="DX93" s="1922">
        <v>0</v>
      </c>
      <c r="DY93" s="1922">
        <v>0</v>
      </c>
      <c r="DZ93" s="1922">
        <v>0</v>
      </c>
      <c r="EA93" s="1922">
        <v>0</v>
      </c>
      <c r="EB93" s="1922">
        <v>0</v>
      </c>
      <c r="EC93" s="1922">
        <v>0</v>
      </c>
      <c r="ED93" s="1922">
        <v>0</v>
      </c>
      <c r="EE93" s="1922">
        <v>0</v>
      </c>
      <c r="EF93" s="1922">
        <v>0</v>
      </c>
      <c r="EG93" s="1922">
        <v>0</v>
      </c>
      <c r="EH93" s="1922">
        <v>0</v>
      </c>
      <c r="EI93" s="1922">
        <v>0</v>
      </c>
      <c r="EJ93" s="1922">
        <v>0</v>
      </c>
      <c r="EK93" s="1922">
        <v>0</v>
      </c>
      <c r="EL93" s="1922">
        <v>0</v>
      </c>
      <c r="EM93" s="1922">
        <v>0</v>
      </c>
      <c r="EN93" s="1922">
        <v>0</v>
      </c>
      <c r="EO93" s="1922">
        <v>0</v>
      </c>
      <c r="EP93" s="1922">
        <v>0</v>
      </c>
      <c r="EQ93" s="1922">
        <v>0</v>
      </c>
      <c r="ER93" s="1922">
        <v>0</v>
      </c>
      <c r="ES93" s="1922">
        <v>0</v>
      </c>
      <c r="ET93" s="1922">
        <v>0</v>
      </c>
      <c r="EU93" s="1922">
        <v>0</v>
      </c>
    </row>
    <row r="94" spans="1:151" s="1923" customFormat="1" ht="11.25" customHeight="1">
      <c r="A94" s="1912"/>
      <c r="B94" s="1912"/>
      <c r="C94" s="1913"/>
      <c r="D94" s="1914">
        <f t="shared" si="49"/>
        <v>7</v>
      </c>
      <c r="E94" s="1912" t="str">
        <f t="shared" si="49"/>
        <v>쿠팡</v>
      </c>
      <c r="F94" s="1912" t="str">
        <f t="shared" si="49"/>
        <v>상온창고</v>
      </c>
      <c r="G94" s="1915"/>
      <c r="H94" s="1916"/>
      <c r="I94" s="1917"/>
      <c r="J94" s="1917"/>
      <c r="K94" s="1916">
        <f>SUMPRODUCT($P94:$EU94,Index!$L$22:$EQ$22)/('A&amp;R'!$F$37/10)</f>
        <v>0.41666666666666669</v>
      </c>
      <c r="L94" s="1926"/>
      <c r="M94" s="1919"/>
      <c r="N94" s="1920">
        <f t="shared" si="50"/>
        <v>5</v>
      </c>
      <c r="O94" s="1921"/>
      <c r="P94" s="1922">
        <v>0</v>
      </c>
      <c r="Q94" s="1922">
        <v>0</v>
      </c>
      <c r="R94" s="1922">
        <v>0</v>
      </c>
      <c r="S94" s="1922">
        <v>0</v>
      </c>
      <c r="T94" s="1922">
        <v>0</v>
      </c>
      <c r="U94" s="1922">
        <v>0</v>
      </c>
      <c r="V94" s="1922">
        <v>0</v>
      </c>
      <c r="W94" s="1922">
        <v>0</v>
      </c>
      <c r="X94" s="1922">
        <v>0</v>
      </c>
      <c r="Y94" s="1922">
        <v>0</v>
      </c>
      <c r="Z94" s="1922">
        <v>0</v>
      </c>
      <c r="AA94" s="1922">
        <v>0</v>
      </c>
      <c r="AB94" s="1922">
        <v>0</v>
      </c>
      <c r="AC94" s="1922">
        <v>0</v>
      </c>
      <c r="AD94" s="1922">
        <v>0</v>
      </c>
      <c r="AE94" s="1922">
        <v>0</v>
      </c>
      <c r="AF94" s="1922">
        <v>0</v>
      </c>
      <c r="AG94" s="1922">
        <v>0</v>
      </c>
      <c r="AH94" s="1922">
        <v>0</v>
      </c>
      <c r="AI94" s="1922">
        <v>0</v>
      </c>
      <c r="AJ94" s="1922">
        <v>0</v>
      </c>
      <c r="AK94" s="1922">
        <v>0</v>
      </c>
      <c r="AL94" s="1922">
        <v>0</v>
      </c>
      <c r="AM94" s="1922">
        <v>0</v>
      </c>
      <c r="AN94" s="1922">
        <v>0</v>
      </c>
      <c r="AO94" s="1922">
        <v>0</v>
      </c>
      <c r="AP94" s="1922">
        <v>0</v>
      </c>
      <c r="AQ94" s="1922">
        <v>0</v>
      </c>
      <c r="AR94" s="1922">
        <v>0</v>
      </c>
      <c r="AS94" s="1922">
        <v>0</v>
      </c>
      <c r="AT94" s="1922">
        <v>0</v>
      </c>
      <c r="AU94" s="1922">
        <v>0</v>
      </c>
      <c r="AV94" s="1922">
        <v>1</v>
      </c>
      <c r="AW94" s="1922">
        <v>1</v>
      </c>
      <c r="AX94" s="1922">
        <v>1</v>
      </c>
      <c r="AY94" s="1922">
        <v>1</v>
      </c>
      <c r="AZ94" s="1922">
        <v>1</v>
      </c>
      <c r="BA94" s="1922">
        <v>0</v>
      </c>
      <c r="BB94" s="1922">
        <v>0</v>
      </c>
      <c r="BC94" s="1922">
        <v>0</v>
      </c>
      <c r="BD94" s="1922">
        <v>0</v>
      </c>
      <c r="BE94" s="1922">
        <v>0</v>
      </c>
      <c r="BF94" s="1922">
        <v>0</v>
      </c>
      <c r="BG94" s="1922">
        <v>0</v>
      </c>
      <c r="BH94" s="1922">
        <v>0</v>
      </c>
      <c r="BI94" s="1922">
        <v>0</v>
      </c>
      <c r="BJ94" s="1922">
        <v>0</v>
      </c>
      <c r="BK94" s="1922">
        <v>0</v>
      </c>
      <c r="BL94" s="1922">
        <v>0</v>
      </c>
      <c r="BM94" s="1922">
        <v>0</v>
      </c>
      <c r="BN94" s="1922">
        <v>0</v>
      </c>
      <c r="BO94" s="1922">
        <v>0</v>
      </c>
      <c r="BP94" s="1922">
        <v>0</v>
      </c>
      <c r="BQ94" s="1922">
        <v>0</v>
      </c>
      <c r="BR94" s="1922">
        <v>0</v>
      </c>
      <c r="BS94" s="1922">
        <v>0</v>
      </c>
      <c r="BT94" s="1922">
        <v>0</v>
      </c>
      <c r="BU94" s="1922">
        <v>0</v>
      </c>
      <c r="BV94" s="1922">
        <v>0</v>
      </c>
      <c r="BW94" s="1922">
        <v>0</v>
      </c>
      <c r="BX94" s="1922">
        <v>0</v>
      </c>
      <c r="BY94" s="1922">
        <v>0</v>
      </c>
      <c r="BZ94" s="1922">
        <v>0</v>
      </c>
      <c r="CA94" s="1922">
        <v>0</v>
      </c>
      <c r="CB94" s="1922">
        <v>0</v>
      </c>
      <c r="CC94" s="1922">
        <v>0</v>
      </c>
      <c r="CD94" s="1922">
        <v>0</v>
      </c>
      <c r="CE94" s="1922">
        <v>0</v>
      </c>
      <c r="CF94" s="1922">
        <v>0</v>
      </c>
      <c r="CG94" s="1922">
        <v>0</v>
      </c>
      <c r="CH94" s="1922">
        <v>0</v>
      </c>
      <c r="CI94" s="1922">
        <v>0</v>
      </c>
      <c r="CJ94" s="1922">
        <v>0</v>
      </c>
      <c r="CK94" s="1922">
        <v>0</v>
      </c>
      <c r="CL94" s="1922">
        <v>0</v>
      </c>
      <c r="CM94" s="1922">
        <v>0</v>
      </c>
      <c r="CN94" s="1922">
        <v>0</v>
      </c>
      <c r="CO94" s="1922">
        <v>0</v>
      </c>
      <c r="CP94" s="1922">
        <v>0</v>
      </c>
      <c r="CQ94" s="1922">
        <v>0</v>
      </c>
      <c r="CR94" s="1922">
        <v>0</v>
      </c>
      <c r="CS94" s="1922">
        <v>0</v>
      </c>
      <c r="CT94" s="1922">
        <v>0</v>
      </c>
      <c r="CU94" s="1922">
        <v>0</v>
      </c>
      <c r="CV94" s="1922">
        <v>0</v>
      </c>
      <c r="CW94" s="1922">
        <v>0</v>
      </c>
      <c r="CX94" s="1922">
        <v>0</v>
      </c>
      <c r="CY94" s="1922">
        <v>0</v>
      </c>
      <c r="CZ94" s="1922">
        <v>0</v>
      </c>
      <c r="DA94" s="1922">
        <v>0</v>
      </c>
      <c r="DB94" s="1922">
        <v>0</v>
      </c>
      <c r="DC94" s="1922">
        <v>0</v>
      </c>
      <c r="DD94" s="1922">
        <v>0</v>
      </c>
      <c r="DE94" s="1922">
        <v>0</v>
      </c>
      <c r="DF94" s="1922">
        <v>0</v>
      </c>
      <c r="DG94" s="1922">
        <v>0</v>
      </c>
      <c r="DH94" s="1922">
        <v>0</v>
      </c>
      <c r="DI94" s="1922">
        <v>0</v>
      </c>
      <c r="DJ94" s="1922">
        <v>0</v>
      </c>
      <c r="DK94" s="1922">
        <v>0</v>
      </c>
      <c r="DL94" s="1922">
        <v>0</v>
      </c>
      <c r="DM94" s="1922">
        <v>0</v>
      </c>
      <c r="DN94" s="1922">
        <v>0</v>
      </c>
      <c r="DO94" s="1922">
        <v>0</v>
      </c>
      <c r="DP94" s="1922">
        <v>0</v>
      </c>
      <c r="DQ94" s="1922">
        <v>0</v>
      </c>
      <c r="DR94" s="1922">
        <v>0</v>
      </c>
      <c r="DS94" s="1922">
        <v>0</v>
      </c>
      <c r="DT94" s="1922">
        <v>0</v>
      </c>
      <c r="DU94" s="1922">
        <v>0</v>
      </c>
      <c r="DV94" s="1922">
        <v>0</v>
      </c>
      <c r="DW94" s="1922">
        <v>0</v>
      </c>
      <c r="DX94" s="1922">
        <v>0</v>
      </c>
      <c r="DY94" s="1922">
        <v>0</v>
      </c>
      <c r="DZ94" s="1922">
        <v>0</v>
      </c>
      <c r="EA94" s="1922">
        <v>0</v>
      </c>
      <c r="EB94" s="1922">
        <v>0</v>
      </c>
      <c r="EC94" s="1922">
        <v>0</v>
      </c>
      <c r="ED94" s="1922">
        <v>0</v>
      </c>
      <c r="EE94" s="1922">
        <v>0</v>
      </c>
      <c r="EF94" s="1922">
        <v>0</v>
      </c>
      <c r="EG94" s="1922">
        <v>0</v>
      </c>
      <c r="EH94" s="1922">
        <v>0</v>
      </c>
      <c r="EI94" s="1922">
        <v>0</v>
      </c>
      <c r="EJ94" s="1922">
        <v>0</v>
      </c>
      <c r="EK94" s="1922">
        <v>0</v>
      </c>
      <c r="EL94" s="1922">
        <v>0</v>
      </c>
      <c r="EM94" s="1922">
        <v>0</v>
      </c>
      <c r="EN94" s="1922">
        <v>0</v>
      </c>
      <c r="EO94" s="1922">
        <v>0</v>
      </c>
      <c r="EP94" s="1922">
        <v>0</v>
      </c>
      <c r="EQ94" s="1922">
        <v>0</v>
      </c>
      <c r="ER94" s="1922">
        <v>0</v>
      </c>
      <c r="ES94" s="1922">
        <v>0</v>
      </c>
      <c r="ET94" s="1922">
        <v>0</v>
      </c>
      <c r="EU94" s="1922">
        <v>0</v>
      </c>
    </row>
    <row r="95" spans="1:151" s="1923" customFormat="1" ht="11.25" customHeight="1">
      <c r="A95" s="1912"/>
      <c r="B95" s="1912"/>
      <c r="C95" s="1913"/>
      <c r="D95" s="1914">
        <f t="shared" si="49"/>
        <v>6</v>
      </c>
      <c r="E95" s="1912" t="str">
        <f t="shared" si="49"/>
        <v>쿠팡</v>
      </c>
      <c r="F95" s="1912" t="str">
        <f t="shared" si="49"/>
        <v>상온창고</v>
      </c>
      <c r="G95" s="1915"/>
      <c r="H95" s="1916"/>
      <c r="I95" s="1917"/>
      <c r="J95" s="1917"/>
      <c r="K95" s="1916">
        <f>SUMPRODUCT($P95:$EU95,Index!$L$22:$EQ$22)/('A&amp;R'!$F$37/10)</f>
        <v>0.41666666666666669</v>
      </c>
      <c r="L95" s="1926"/>
      <c r="M95" s="1919"/>
      <c r="N95" s="1920">
        <f t="shared" si="50"/>
        <v>5</v>
      </c>
      <c r="O95" s="1921"/>
      <c r="P95" s="1922">
        <v>0</v>
      </c>
      <c r="Q95" s="1922">
        <v>0</v>
      </c>
      <c r="R95" s="1922">
        <v>0</v>
      </c>
      <c r="S95" s="1922">
        <v>0</v>
      </c>
      <c r="T95" s="1922">
        <v>0</v>
      </c>
      <c r="U95" s="1922">
        <v>0</v>
      </c>
      <c r="V95" s="1922">
        <v>0</v>
      </c>
      <c r="W95" s="1922">
        <v>0</v>
      </c>
      <c r="X95" s="1922">
        <v>0</v>
      </c>
      <c r="Y95" s="1922">
        <v>0</v>
      </c>
      <c r="Z95" s="1922">
        <v>0</v>
      </c>
      <c r="AA95" s="1922">
        <v>0</v>
      </c>
      <c r="AB95" s="1922">
        <v>0</v>
      </c>
      <c r="AC95" s="1922">
        <v>0</v>
      </c>
      <c r="AD95" s="1922">
        <v>0</v>
      </c>
      <c r="AE95" s="1922">
        <v>0</v>
      </c>
      <c r="AF95" s="1922">
        <v>0</v>
      </c>
      <c r="AG95" s="1922">
        <v>0</v>
      </c>
      <c r="AH95" s="1922">
        <v>0</v>
      </c>
      <c r="AI95" s="1922">
        <v>0</v>
      </c>
      <c r="AJ95" s="1922">
        <v>0</v>
      </c>
      <c r="AK95" s="1922">
        <v>0</v>
      </c>
      <c r="AL95" s="1922">
        <v>0</v>
      </c>
      <c r="AM95" s="1922">
        <v>0</v>
      </c>
      <c r="AN95" s="1922">
        <v>0</v>
      </c>
      <c r="AO95" s="1922">
        <v>0</v>
      </c>
      <c r="AP95" s="1922">
        <v>0</v>
      </c>
      <c r="AQ95" s="1922">
        <v>0</v>
      </c>
      <c r="AR95" s="1922">
        <v>0</v>
      </c>
      <c r="AS95" s="1922">
        <v>0</v>
      </c>
      <c r="AT95" s="1922">
        <v>0</v>
      </c>
      <c r="AU95" s="1922">
        <v>0</v>
      </c>
      <c r="AV95" s="1922">
        <v>1</v>
      </c>
      <c r="AW95" s="1922">
        <v>1</v>
      </c>
      <c r="AX95" s="1922">
        <v>1</v>
      </c>
      <c r="AY95" s="1922">
        <v>1</v>
      </c>
      <c r="AZ95" s="1922">
        <v>1</v>
      </c>
      <c r="BA95" s="1922">
        <v>0</v>
      </c>
      <c r="BB95" s="1922">
        <v>0</v>
      </c>
      <c r="BC95" s="1922">
        <v>0</v>
      </c>
      <c r="BD95" s="1922">
        <v>0</v>
      </c>
      <c r="BE95" s="1922">
        <v>0</v>
      </c>
      <c r="BF95" s="1922">
        <v>0</v>
      </c>
      <c r="BG95" s="1922">
        <v>0</v>
      </c>
      <c r="BH95" s="1922">
        <v>0</v>
      </c>
      <c r="BI95" s="1922">
        <v>0</v>
      </c>
      <c r="BJ95" s="1922">
        <v>0</v>
      </c>
      <c r="BK95" s="1922">
        <v>0</v>
      </c>
      <c r="BL95" s="1922">
        <v>0</v>
      </c>
      <c r="BM95" s="1922">
        <v>0</v>
      </c>
      <c r="BN95" s="1922">
        <v>0</v>
      </c>
      <c r="BO95" s="1922">
        <v>0</v>
      </c>
      <c r="BP95" s="1922">
        <v>0</v>
      </c>
      <c r="BQ95" s="1922">
        <v>0</v>
      </c>
      <c r="BR95" s="1922">
        <v>0</v>
      </c>
      <c r="BS95" s="1922">
        <v>0</v>
      </c>
      <c r="BT95" s="1922">
        <v>0</v>
      </c>
      <c r="BU95" s="1922">
        <v>0</v>
      </c>
      <c r="BV95" s="1922">
        <v>0</v>
      </c>
      <c r="BW95" s="1922">
        <v>0</v>
      </c>
      <c r="BX95" s="1922">
        <v>0</v>
      </c>
      <c r="BY95" s="1922">
        <v>0</v>
      </c>
      <c r="BZ95" s="1922">
        <v>0</v>
      </c>
      <c r="CA95" s="1922">
        <v>0</v>
      </c>
      <c r="CB95" s="1922">
        <v>0</v>
      </c>
      <c r="CC95" s="1922">
        <v>0</v>
      </c>
      <c r="CD95" s="1922">
        <v>0</v>
      </c>
      <c r="CE95" s="1922">
        <v>0</v>
      </c>
      <c r="CF95" s="1922">
        <v>0</v>
      </c>
      <c r="CG95" s="1922">
        <v>0</v>
      </c>
      <c r="CH95" s="1922">
        <v>0</v>
      </c>
      <c r="CI95" s="1922">
        <v>0</v>
      </c>
      <c r="CJ95" s="1922">
        <v>0</v>
      </c>
      <c r="CK95" s="1922">
        <v>0</v>
      </c>
      <c r="CL95" s="1922">
        <v>0</v>
      </c>
      <c r="CM95" s="1922">
        <v>0</v>
      </c>
      <c r="CN95" s="1922">
        <v>0</v>
      </c>
      <c r="CO95" s="1922">
        <v>0</v>
      </c>
      <c r="CP95" s="1922">
        <v>0</v>
      </c>
      <c r="CQ95" s="1922">
        <v>0</v>
      </c>
      <c r="CR95" s="1922">
        <v>0</v>
      </c>
      <c r="CS95" s="1922">
        <v>0</v>
      </c>
      <c r="CT95" s="1922">
        <v>0</v>
      </c>
      <c r="CU95" s="1922">
        <v>0</v>
      </c>
      <c r="CV95" s="1922">
        <v>0</v>
      </c>
      <c r="CW95" s="1922">
        <v>0</v>
      </c>
      <c r="CX95" s="1922">
        <v>0</v>
      </c>
      <c r="CY95" s="1922">
        <v>0</v>
      </c>
      <c r="CZ95" s="1922">
        <v>0</v>
      </c>
      <c r="DA95" s="1922">
        <v>0</v>
      </c>
      <c r="DB95" s="1922">
        <v>0</v>
      </c>
      <c r="DC95" s="1922">
        <v>0</v>
      </c>
      <c r="DD95" s="1922">
        <v>0</v>
      </c>
      <c r="DE95" s="1922">
        <v>0</v>
      </c>
      <c r="DF95" s="1922">
        <v>0</v>
      </c>
      <c r="DG95" s="1922">
        <v>0</v>
      </c>
      <c r="DH95" s="1922">
        <v>0</v>
      </c>
      <c r="DI95" s="1922">
        <v>0</v>
      </c>
      <c r="DJ95" s="1922">
        <v>0</v>
      </c>
      <c r="DK95" s="1922">
        <v>0</v>
      </c>
      <c r="DL95" s="1922">
        <v>0</v>
      </c>
      <c r="DM95" s="1922">
        <v>0</v>
      </c>
      <c r="DN95" s="1922">
        <v>0</v>
      </c>
      <c r="DO95" s="1922">
        <v>0</v>
      </c>
      <c r="DP95" s="1922">
        <v>0</v>
      </c>
      <c r="DQ95" s="1922">
        <v>0</v>
      </c>
      <c r="DR95" s="1922">
        <v>0</v>
      </c>
      <c r="DS95" s="1922">
        <v>0</v>
      </c>
      <c r="DT95" s="1922">
        <v>0</v>
      </c>
      <c r="DU95" s="1922">
        <v>0</v>
      </c>
      <c r="DV95" s="1922">
        <v>0</v>
      </c>
      <c r="DW95" s="1922">
        <v>0</v>
      </c>
      <c r="DX95" s="1922">
        <v>0</v>
      </c>
      <c r="DY95" s="1922">
        <v>0</v>
      </c>
      <c r="DZ95" s="1922">
        <v>0</v>
      </c>
      <c r="EA95" s="1922">
        <v>0</v>
      </c>
      <c r="EB95" s="1922">
        <v>0</v>
      </c>
      <c r="EC95" s="1922">
        <v>0</v>
      </c>
      <c r="ED95" s="1922">
        <v>0</v>
      </c>
      <c r="EE95" s="1922">
        <v>0</v>
      </c>
      <c r="EF95" s="1922">
        <v>0</v>
      </c>
      <c r="EG95" s="1922">
        <v>0</v>
      </c>
      <c r="EH95" s="1922">
        <v>0</v>
      </c>
      <c r="EI95" s="1922">
        <v>0</v>
      </c>
      <c r="EJ95" s="1922">
        <v>0</v>
      </c>
      <c r="EK95" s="1922">
        <v>0</v>
      </c>
      <c r="EL95" s="1922">
        <v>0</v>
      </c>
      <c r="EM95" s="1922">
        <v>0</v>
      </c>
      <c r="EN95" s="1922">
        <v>0</v>
      </c>
      <c r="EO95" s="1922">
        <v>0</v>
      </c>
      <c r="EP95" s="1922">
        <v>0</v>
      </c>
      <c r="EQ95" s="1922">
        <v>0</v>
      </c>
      <c r="ER95" s="1922">
        <v>0</v>
      </c>
      <c r="ES95" s="1922">
        <v>0</v>
      </c>
      <c r="ET95" s="1922">
        <v>0</v>
      </c>
      <c r="EU95" s="1922">
        <v>0</v>
      </c>
    </row>
    <row r="96" spans="1:151" s="1923" customFormat="1" ht="11.25" customHeight="1">
      <c r="A96" s="1912"/>
      <c r="B96" s="1912"/>
      <c r="C96" s="1913"/>
      <c r="D96" s="1914">
        <f t="shared" si="49"/>
        <v>5</v>
      </c>
      <c r="E96" s="1912" t="str">
        <f t="shared" si="49"/>
        <v>쿠팡</v>
      </c>
      <c r="F96" s="1912" t="str">
        <f t="shared" si="49"/>
        <v>상온창고</v>
      </c>
      <c r="G96" s="1915"/>
      <c r="H96" s="1916"/>
      <c r="I96" s="1917"/>
      <c r="J96" s="1917"/>
      <c r="K96" s="1916">
        <f>SUMPRODUCT($P96:$EU96,Index!$L$22:$EQ$22)/('A&amp;R'!$F$37/10)</f>
        <v>0.41666666666666669</v>
      </c>
      <c r="L96" s="1926"/>
      <c r="M96" s="1919"/>
      <c r="N96" s="1920">
        <f t="shared" si="50"/>
        <v>5</v>
      </c>
      <c r="O96" s="1921"/>
      <c r="P96" s="1922">
        <v>0</v>
      </c>
      <c r="Q96" s="1922">
        <v>0</v>
      </c>
      <c r="R96" s="1922">
        <v>0</v>
      </c>
      <c r="S96" s="1922">
        <v>0</v>
      </c>
      <c r="T96" s="1922">
        <v>0</v>
      </c>
      <c r="U96" s="1922">
        <v>0</v>
      </c>
      <c r="V96" s="1922">
        <v>0</v>
      </c>
      <c r="W96" s="1922">
        <v>0</v>
      </c>
      <c r="X96" s="1922">
        <v>0</v>
      </c>
      <c r="Y96" s="1922">
        <v>0</v>
      </c>
      <c r="Z96" s="1922">
        <v>0</v>
      </c>
      <c r="AA96" s="1922">
        <v>0</v>
      </c>
      <c r="AB96" s="1922">
        <v>0</v>
      </c>
      <c r="AC96" s="1922">
        <v>0</v>
      </c>
      <c r="AD96" s="1922">
        <v>0</v>
      </c>
      <c r="AE96" s="1922">
        <v>0</v>
      </c>
      <c r="AF96" s="1922">
        <v>0</v>
      </c>
      <c r="AG96" s="1922">
        <v>0</v>
      </c>
      <c r="AH96" s="1922">
        <v>0</v>
      </c>
      <c r="AI96" s="1922">
        <v>0</v>
      </c>
      <c r="AJ96" s="1922">
        <v>0</v>
      </c>
      <c r="AK96" s="1922">
        <v>0</v>
      </c>
      <c r="AL96" s="1922">
        <v>0</v>
      </c>
      <c r="AM96" s="1922">
        <v>0</v>
      </c>
      <c r="AN96" s="1922">
        <v>0</v>
      </c>
      <c r="AO96" s="1922">
        <v>0</v>
      </c>
      <c r="AP96" s="1922">
        <v>0</v>
      </c>
      <c r="AQ96" s="1922">
        <v>0</v>
      </c>
      <c r="AR96" s="1922">
        <v>0</v>
      </c>
      <c r="AS96" s="1922">
        <v>0</v>
      </c>
      <c r="AT96" s="1922">
        <v>0</v>
      </c>
      <c r="AU96" s="1922">
        <v>0</v>
      </c>
      <c r="AV96" s="1922">
        <v>1</v>
      </c>
      <c r="AW96" s="1922">
        <v>1</v>
      </c>
      <c r="AX96" s="1922">
        <v>1</v>
      </c>
      <c r="AY96" s="1922">
        <v>1</v>
      </c>
      <c r="AZ96" s="1922">
        <v>1</v>
      </c>
      <c r="BA96" s="1922">
        <v>0</v>
      </c>
      <c r="BB96" s="1922">
        <v>0</v>
      </c>
      <c r="BC96" s="1922">
        <v>0</v>
      </c>
      <c r="BD96" s="1922">
        <v>0</v>
      </c>
      <c r="BE96" s="1922">
        <v>0</v>
      </c>
      <c r="BF96" s="1922">
        <v>0</v>
      </c>
      <c r="BG96" s="1922">
        <v>0</v>
      </c>
      <c r="BH96" s="1922">
        <v>0</v>
      </c>
      <c r="BI96" s="1922">
        <v>0</v>
      </c>
      <c r="BJ96" s="1922">
        <v>0</v>
      </c>
      <c r="BK96" s="1922">
        <v>0</v>
      </c>
      <c r="BL96" s="1922">
        <v>0</v>
      </c>
      <c r="BM96" s="1922">
        <v>0</v>
      </c>
      <c r="BN96" s="1922">
        <v>0</v>
      </c>
      <c r="BO96" s="1922">
        <v>0</v>
      </c>
      <c r="BP96" s="1922">
        <v>0</v>
      </c>
      <c r="BQ96" s="1922">
        <v>0</v>
      </c>
      <c r="BR96" s="1922">
        <v>0</v>
      </c>
      <c r="BS96" s="1922">
        <v>0</v>
      </c>
      <c r="BT96" s="1922">
        <v>0</v>
      </c>
      <c r="BU96" s="1922">
        <v>0</v>
      </c>
      <c r="BV96" s="1922">
        <v>0</v>
      </c>
      <c r="BW96" s="1922">
        <v>0</v>
      </c>
      <c r="BX96" s="1922">
        <v>0</v>
      </c>
      <c r="BY96" s="1922">
        <v>0</v>
      </c>
      <c r="BZ96" s="1922">
        <v>0</v>
      </c>
      <c r="CA96" s="1922">
        <v>0</v>
      </c>
      <c r="CB96" s="1922">
        <v>0</v>
      </c>
      <c r="CC96" s="1922">
        <v>0</v>
      </c>
      <c r="CD96" s="1922">
        <v>0</v>
      </c>
      <c r="CE96" s="1922">
        <v>0</v>
      </c>
      <c r="CF96" s="1922">
        <v>0</v>
      </c>
      <c r="CG96" s="1922">
        <v>0</v>
      </c>
      <c r="CH96" s="1922">
        <v>0</v>
      </c>
      <c r="CI96" s="1922">
        <v>0</v>
      </c>
      <c r="CJ96" s="1922">
        <v>0</v>
      </c>
      <c r="CK96" s="1922">
        <v>0</v>
      </c>
      <c r="CL96" s="1922">
        <v>0</v>
      </c>
      <c r="CM96" s="1922">
        <v>0</v>
      </c>
      <c r="CN96" s="1922">
        <v>0</v>
      </c>
      <c r="CO96" s="1922">
        <v>0</v>
      </c>
      <c r="CP96" s="1922">
        <v>0</v>
      </c>
      <c r="CQ96" s="1922">
        <v>0</v>
      </c>
      <c r="CR96" s="1922">
        <v>0</v>
      </c>
      <c r="CS96" s="1922">
        <v>0</v>
      </c>
      <c r="CT96" s="1922">
        <v>0</v>
      </c>
      <c r="CU96" s="1922">
        <v>0</v>
      </c>
      <c r="CV96" s="1922">
        <v>0</v>
      </c>
      <c r="CW96" s="1922">
        <v>0</v>
      </c>
      <c r="CX96" s="1922">
        <v>0</v>
      </c>
      <c r="CY96" s="1922">
        <v>0</v>
      </c>
      <c r="CZ96" s="1922">
        <v>0</v>
      </c>
      <c r="DA96" s="1922">
        <v>0</v>
      </c>
      <c r="DB96" s="1922">
        <v>0</v>
      </c>
      <c r="DC96" s="1922">
        <v>0</v>
      </c>
      <c r="DD96" s="1922">
        <v>0</v>
      </c>
      <c r="DE96" s="1922">
        <v>0</v>
      </c>
      <c r="DF96" s="1922">
        <v>0</v>
      </c>
      <c r="DG96" s="1922">
        <v>0</v>
      </c>
      <c r="DH96" s="1922">
        <v>0</v>
      </c>
      <c r="DI96" s="1922">
        <v>0</v>
      </c>
      <c r="DJ96" s="1922">
        <v>0</v>
      </c>
      <c r="DK96" s="1922">
        <v>0</v>
      </c>
      <c r="DL96" s="1922">
        <v>0</v>
      </c>
      <c r="DM96" s="1922">
        <v>0</v>
      </c>
      <c r="DN96" s="1922">
        <v>0</v>
      </c>
      <c r="DO96" s="1922">
        <v>0</v>
      </c>
      <c r="DP96" s="1922">
        <v>0</v>
      </c>
      <c r="DQ96" s="1922">
        <v>0</v>
      </c>
      <c r="DR96" s="1922">
        <v>0</v>
      </c>
      <c r="DS96" s="1922">
        <v>0</v>
      </c>
      <c r="DT96" s="1922">
        <v>0</v>
      </c>
      <c r="DU96" s="1922">
        <v>0</v>
      </c>
      <c r="DV96" s="1922">
        <v>0</v>
      </c>
      <c r="DW96" s="1922">
        <v>0</v>
      </c>
      <c r="DX96" s="1922">
        <v>0</v>
      </c>
      <c r="DY96" s="1922">
        <v>0</v>
      </c>
      <c r="DZ96" s="1922">
        <v>0</v>
      </c>
      <c r="EA96" s="1922">
        <v>0</v>
      </c>
      <c r="EB96" s="1922">
        <v>0</v>
      </c>
      <c r="EC96" s="1922">
        <v>0</v>
      </c>
      <c r="ED96" s="1922">
        <v>0</v>
      </c>
      <c r="EE96" s="1922">
        <v>0</v>
      </c>
      <c r="EF96" s="1922">
        <v>0</v>
      </c>
      <c r="EG96" s="1922">
        <v>0</v>
      </c>
      <c r="EH96" s="1922">
        <v>0</v>
      </c>
      <c r="EI96" s="1922">
        <v>0</v>
      </c>
      <c r="EJ96" s="1922">
        <v>0</v>
      </c>
      <c r="EK96" s="1922">
        <v>0</v>
      </c>
      <c r="EL96" s="1922">
        <v>0</v>
      </c>
      <c r="EM96" s="1922">
        <v>0</v>
      </c>
      <c r="EN96" s="1922">
        <v>0</v>
      </c>
      <c r="EO96" s="1922">
        <v>0</v>
      </c>
      <c r="EP96" s="1922">
        <v>0</v>
      </c>
      <c r="EQ96" s="1922">
        <v>0</v>
      </c>
      <c r="ER96" s="1922">
        <v>0</v>
      </c>
      <c r="ES96" s="1922">
        <v>0</v>
      </c>
      <c r="ET96" s="1922">
        <v>0</v>
      </c>
      <c r="EU96" s="1922">
        <v>0</v>
      </c>
    </row>
    <row r="97" spans="1:151" s="1923" customFormat="1" ht="11.25" customHeight="1">
      <c r="A97" s="1912"/>
      <c r="B97" s="1912"/>
      <c r="C97" s="1913"/>
      <c r="D97" s="1914">
        <f t="shared" si="49"/>
        <v>4</v>
      </c>
      <c r="E97" s="1912" t="str">
        <f t="shared" si="49"/>
        <v>쿠팡</v>
      </c>
      <c r="F97" s="1912" t="str">
        <f t="shared" si="49"/>
        <v>상온창고</v>
      </c>
      <c r="G97" s="1915"/>
      <c r="H97" s="1916"/>
      <c r="I97" s="1917"/>
      <c r="J97" s="1917"/>
      <c r="K97" s="1916">
        <f>SUMPRODUCT($P97:$EU97,Index!$L$22:$EQ$22)/('A&amp;R'!$F$37/10)</f>
        <v>0.41666666666666669</v>
      </c>
      <c r="L97" s="1926"/>
      <c r="M97" s="1919"/>
      <c r="N97" s="1920">
        <f t="shared" si="50"/>
        <v>5</v>
      </c>
      <c r="O97" s="1921"/>
      <c r="P97" s="1922">
        <v>0</v>
      </c>
      <c r="Q97" s="1922">
        <v>0</v>
      </c>
      <c r="R97" s="1922">
        <v>0</v>
      </c>
      <c r="S97" s="1922">
        <v>0</v>
      </c>
      <c r="T97" s="1922">
        <v>0</v>
      </c>
      <c r="U97" s="1922">
        <v>0</v>
      </c>
      <c r="V97" s="1922">
        <v>0</v>
      </c>
      <c r="W97" s="1922">
        <v>0</v>
      </c>
      <c r="X97" s="1922">
        <v>0</v>
      </c>
      <c r="Y97" s="1922">
        <v>0</v>
      </c>
      <c r="Z97" s="1922">
        <v>0</v>
      </c>
      <c r="AA97" s="1922">
        <v>0</v>
      </c>
      <c r="AB97" s="1922">
        <v>0</v>
      </c>
      <c r="AC97" s="1922">
        <v>0</v>
      </c>
      <c r="AD97" s="1922">
        <v>0</v>
      </c>
      <c r="AE97" s="1922">
        <v>0</v>
      </c>
      <c r="AF97" s="1922">
        <v>0</v>
      </c>
      <c r="AG97" s="1922">
        <v>0</v>
      </c>
      <c r="AH97" s="1922">
        <v>0</v>
      </c>
      <c r="AI97" s="1922">
        <v>0</v>
      </c>
      <c r="AJ97" s="1922">
        <v>0</v>
      </c>
      <c r="AK97" s="1922">
        <v>0</v>
      </c>
      <c r="AL97" s="1922">
        <v>0</v>
      </c>
      <c r="AM97" s="1922">
        <v>0</v>
      </c>
      <c r="AN97" s="1922">
        <v>0</v>
      </c>
      <c r="AO97" s="1922">
        <v>0</v>
      </c>
      <c r="AP97" s="1922">
        <v>0</v>
      </c>
      <c r="AQ97" s="1922">
        <v>0</v>
      </c>
      <c r="AR97" s="1922">
        <v>0</v>
      </c>
      <c r="AS97" s="1922">
        <v>0</v>
      </c>
      <c r="AT97" s="1922">
        <v>0</v>
      </c>
      <c r="AU97" s="1922">
        <v>0</v>
      </c>
      <c r="AV97" s="1922">
        <v>1</v>
      </c>
      <c r="AW97" s="1922">
        <v>1</v>
      </c>
      <c r="AX97" s="1922">
        <v>1</v>
      </c>
      <c r="AY97" s="1922">
        <v>1</v>
      </c>
      <c r="AZ97" s="1922">
        <v>1</v>
      </c>
      <c r="BA97" s="1922">
        <v>0</v>
      </c>
      <c r="BB97" s="1922">
        <v>0</v>
      </c>
      <c r="BC97" s="1922">
        <v>0</v>
      </c>
      <c r="BD97" s="1922">
        <v>0</v>
      </c>
      <c r="BE97" s="1922">
        <v>0</v>
      </c>
      <c r="BF97" s="1922">
        <v>0</v>
      </c>
      <c r="BG97" s="1922">
        <v>0</v>
      </c>
      <c r="BH97" s="1922">
        <v>0</v>
      </c>
      <c r="BI97" s="1922">
        <v>0</v>
      </c>
      <c r="BJ97" s="1922">
        <v>0</v>
      </c>
      <c r="BK97" s="1922">
        <v>0</v>
      </c>
      <c r="BL97" s="1922">
        <v>0</v>
      </c>
      <c r="BM97" s="1922">
        <v>0</v>
      </c>
      <c r="BN97" s="1922">
        <v>0</v>
      </c>
      <c r="BO97" s="1922">
        <v>0</v>
      </c>
      <c r="BP97" s="1922">
        <v>0</v>
      </c>
      <c r="BQ97" s="1922">
        <v>0</v>
      </c>
      <c r="BR97" s="1922">
        <v>0</v>
      </c>
      <c r="BS97" s="1922">
        <v>0</v>
      </c>
      <c r="BT97" s="1922">
        <v>0</v>
      </c>
      <c r="BU97" s="1922">
        <v>0</v>
      </c>
      <c r="BV97" s="1922">
        <v>0</v>
      </c>
      <c r="BW97" s="1922">
        <v>0</v>
      </c>
      <c r="BX97" s="1922">
        <v>0</v>
      </c>
      <c r="BY97" s="1922">
        <v>0</v>
      </c>
      <c r="BZ97" s="1922">
        <v>0</v>
      </c>
      <c r="CA97" s="1922">
        <v>0</v>
      </c>
      <c r="CB97" s="1922">
        <v>0</v>
      </c>
      <c r="CC97" s="1922">
        <v>0</v>
      </c>
      <c r="CD97" s="1922">
        <v>0</v>
      </c>
      <c r="CE97" s="1922">
        <v>0</v>
      </c>
      <c r="CF97" s="1922">
        <v>0</v>
      </c>
      <c r="CG97" s="1922">
        <v>0</v>
      </c>
      <c r="CH97" s="1922">
        <v>0</v>
      </c>
      <c r="CI97" s="1922">
        <v>0</v>
      </c>
      <c r="CJ97" s="1922">
        <v>0</v>
      </c>
      <c r="CK97" s="1922">
        <v>0</v>
      </c>
      <c r="CL97" s="1922">
        <v>0</v>
      </c>
      <c r="CM97" s="1922">
        <v>0</v>
      </c>
      <c r="CN97" s="1922">
        <v>0</v>
      </c>
      <c r="CO97" s="1922">
        <v>0</v>
      </c>
      <c r="CP97" s="1922">
        <v>0</v>
      </c>
      <c r="CQ97" s="1922">
        <v>0</v>
      </c>
      <c r="CR97" s="1922">
        <v>0</v>
      </c>
      <c r="CS97" s="1922">
        <v>0</v>
      </c>
      <c r="CT97" s="1922">
        <v>0</v>
      </c>
      <c r="CU97" s="1922">
        <v>0</v>
      </c>
      <c r="CV97" s="1922">
        <v>0</v>
      </c>
      <c r="CW97" s="1922">
        <v>0</v>
      </c>
      <c r="CX97" s="1922">
        <v>0</v>
      </c>
      <c r="CY97" s="1922">
        <v>0</v>
      </c>
      <c r="CZ97" s="1922">
        <v>0</v>
      </c>
      <c r="DA97" s="1922">
        <v>0</v>
      </c>
      <c r="DB97" s="1922">
        <v>0</v>
      </c>
      <c r="DC97" s="1922">
        <v>0</v>
      </c>
      <c r="DD97" s="1922">
        <v>0</v>
      </c>
      <c r="DE97" s="1922">
        <v>0</v>
      </c>
      <c r="DF97" s="1922">
        <v>0</v>
      </c>
      <c r="DG97" s="1922">
        <v>0</v>
      </c>
      <c r="DH97" s="1922">
        <v>0</v>
      </c>
      <c r="DI97" s="1922">
        <v>0</v>
      </c>
      <c r="DJ97" s="1922">
        <v>0</v>
      </c>
      <c r="DK97" s="1922">
        <v>0</v>
      </c>
      <c r="DL97" s="1922">
        <v>0</v>
      </c>
      <c r="DM97" s="1922">
        <v>0</v>
      </c>
      <c r="DN97" s="1922">
        <v>0</v>
      </c>
      <c r="DO97" s="1922">
        <v>0</v>
      </c>
      <c r="DP97" s="1922">
        <v>0</v>
      </c>
      <c r="DQ97" s="1922">
        <v>0</v>
      </c>
      <c r="DR97" s="1922">
        <v>0</v>
      </c>
      <c r="DS97" s="1922">
        <v>0</v>
      </c>
      <c r="DT97" s="1922">
        <v>0</v>
      </c>
      <c r="DU97" s="1922">
        <v>0</v>
      </c>
      <c r="DV97" s="1922">
        <v>0</v>
      </c>
      <c r="DW97" s="1922">
        <v>0</v>
      </c>
      <c r="DX97" s="1922">
        <v>0</v>
      </c>
      <c r="DY97" s="1922">
        <v>0</v>
      </c>
      <c r="DZ97" s="1922">
        <v>0</v>
      </c>
      <c r="EA97" s="1922">
        <v>0</v>
      </c>
      <c r="EB97" s="1922">
        <v>0</v>
      </c>
      <c r="EC97" s="1922">
        <v>0</v>
      </c>
      <c r="ED97" s="1922">
        <v>0</v>
      </c>
      <c r="EE97" s="1922">
        <v>0</v>
      </c>
      <c r="EF97" s="1922">
        <v>0</v>
      </c>
      <c r="EG97" s="1922">
        <v>0</v>
      </c>
      <c r="EH97" s="1922">
        <v>0</v>
      </c>
      <c r="EI97" s="1922">
        <v>0</v>
      </c>
      <c r="EJ97" s="1922">
        <v>0</v>
      </c>
      <c r="EK97" s="1922">
        <v>0</v>
      </c>
      <c r="EL97" s="1922">
        <v>0</v>
      </c>
      <c r="EM97" s="1922">
        <v>0</v>
      </c>
      <c r="EN97" s="1922">
        <v>0</v>
      </c>
      <c r="EO97" s="1922">
        <v>0</v>
      </c>
      <c r="EP97" s="1922">
        <v>0</v>
      </c>
      <c r="EQ97" s="1922">
        <v>0</v>
      </c>
      <c r="ER97" s="1922">
        <v>0</v>
      </c>
      <c r="ES97" s="1922">
        <v>0</v>
      </c>
      <c r="ET97" s="1922">
        <v>0</v>
      </c>
      <c r="EU97" s="1922">
        <v>0</v>
      </c>
    </row>
    <row r="98" spans="1:151" s="1923" customFormat="1" ht="11.25" customHeight="1">
      <c r="A98" s="1912"/>
      <c r="B98" s="1912"/>
      <c r="C98" s="1913"/>
      <c r="D98" s="1914">
        <f t="shared" si="49"/>
        <v>3</v>
      </c>
      <c r="E98" s="1912" t="str">
        <f t="shared" si="49"/>
        <v>농심</v>
      </c>
      <c r="F98" s="1912" t="str">
        <f t="shared" si="49"/>
        <v>상온창고</v>
      </c>
      <c r="G98" s="1915"/>
      <c r="H98" s="1916"/>
      <c r="I98" s="1917"/>
      <c r="J98" s="1917"/>
      <c r="K98" s="1916">
        <f>SUMPRODUCT($P98:$EU98,Index!$L$22:$EQ$22)/('A&amp;R'!$F$37/10)</f>
        <v>0</v>
      </c>
      <c r="L98" s="1926"/>
      <c r="M98" s="1919"/>
      <c r="N98" s="1920">
        <f t="shared" si="50"/>
        <v>0</v>
      </c>
      <c r="O98" s="1921"/>
      <c r="P98" s="1922"/>
      <c r="Q98" s="1922"/>
      <c r="R98" s="1922"/>
      <c r="S98" s="1922"/>
      <c r="T98" s="1922"/>
      <c r="U98" s="1922"/>
      <c r="V98" s="1922"/>
      <c r="W98" s="1922"/>
      <c r="X98" s="1922"/>
      <c r="Y98" s="1922"/>
      <c r="Z98" s="1922"/>
      <c r="AA98" s="1922"/>
      <c r="AB98" s="1922"/>
      <c r="AC98" s="1922"/>
      <c r="AD98" s="1922"/>
      <c r="AE98" s="1922"/>
      <c r="AF98" s="1922"/>
      <c r="AG98" s="1922"/>
      <c r="AH98" s="1922"/>
      <c r="AI98" s="1922"/>
      <c r="AJ98" s="1922"/>
      <c r="AK98" s="1922"/>
      <c r="AL98" s="1922"/>
      <c r="AM98" s="1922"/>
      <c r="AN98" s="1922"/>
      <c r="AO98" s="1922"/>
      <c r="AP98" s="1922"/>
      <c r="AQ98" s="1922"/>
      <c r="AR98" s="1922"/>
      <c r="AS98" s="1922"/>
      <c r="AT98" s="1922"/>
      <c r="AU98" s="1922"/>
      <c r="AV98" s="1922"/>
      <c r="AW98" s="1922"/>
      <c r="AX98" s="1922"/>
      <c r="AY98" s="1922"/>
      <c r="AZ98" s="1922"/>
      <c r="BA98" s="1922"/>
      <c r="BB98" s="1922"/>
      <c r="BC98" s="1922"/>
      <c r="BD98" s="1922"/>
      <c r="BE98" s="1922"/>
      <c r="BF98" s="1922"/>
      <c r="BG98" s="1922"/>
      <c r="BH98" s="1922"/>
      <c r="BI98" s="1922"/>
      <c r="BJ98" s="1922"/>
      <c r="BK98" s="1922"/>
      <c r="BL98" s="1922"/>
      <c r="BM98" s="1922"/>
      <c r="BN98" s="1922"/>
      <c r="BO98" s="1922"/>
      <c r="BP98" s="1922"/>
      <c r="BQ98" s="1922"/>
      <c r="BR98" s="1922"/>
      <c r="BS98" s="1922"/>
      <c r="BT98" s="1922"/>
      <c r="BU98" s="1922"/>
      <c r="BV98" s="1922"/>
      <c r="BW98" s="1922"/>
      <c r="BX98" s="1922"/>
      <c r="BY98" s="1922"/>
      <c r="BZ98" s="1922"/>
      <c r="CA98" s="1922"/>
      <c r="CB98" s="1922"/>
      <c r="CC98" s="1922"/>
      <c r="CD98" s="1922"/>
      <c r="CE98" s="1922"/>
      <c r="CF98" s="1922"/>
      <c r="CG98" s="1922"/>
      <c r="CH98" s="1922"/>
      <c r="CI98" s="1922"/>
      <c r="CJ98" s="1922"/>
      <c r="CK98" s="1922"/>
      <c r="CL98" s="1922"/>
      <c r="CM98" s="1922"/>
      <c r="CN98" s="1922"/>
      <c r="CO98" s="1922"/>
      <c r="CP98" s="1922"/>
      <c r="CQ98" s="1922"/>
      <c r="CR98" s="1922"/>
      <c r="CS98" s="1922"/>
      <c r="CT98" s="1922"/>
      <c r="CU98" s="1922"/>
      <c r="CV98" s="1922"/>
      <c r="CW98" s="1922"/>
      <c r="CX98" s="1922"/>
      <c r="CY98" s="1922"/>
      <c r="CZ98" s="1922"/>
      <c r="DA98" s="1922"/>
      <c r="DB98" s="1922"/>
      <c r="DC98" s="1922"/>
      <c r="DD98" s="1922"/>
      <c r="DE98" s="1922"/>
      <c r="DF98" s="1922"/>
      <c r="DG98" s="1922"/>
      <c r="DH98" s="1922"/>
      <c r="DI98" s="1922"/>
      <c r="DJ98" s="1922"/>
      <c r="DK98" s="1922"/>
      <c r="DL98" s="1922"/>
      <c r="DM98" s="1922"/>
      <c r="DN98" s="1922"/>
      <c r="DO98" s="1922"/>
      <c r="DP98" s="1922"/>
      <c r="DQ98" s="1922"/>
      <c r="DR98" s="1922"/>
      <c r="DS98" s="1922"/>
      <c r="DT98" s="1922"/>
      <c r="DU98" s="1922"/>
      <c r="DV98" s="1922"/>
      <c r="DW98" s="1922"/>
      <c r="DX98" s="1922"/>
      <c r="DY98" s="1922"/>
      <c r="DZ98" s="1922"/>
      <c r="EA98" s="1922"/>
      <c r="EB98" s="1922"/>
      <c r="EC98" s="1922"/>
      <c r="ED98" s="1922"/>
      <c r="EE98" s="1922"/>
      <c r="EF98" s="1922"/>
      <c r="EG98" s="1922"/>
      <c r="EH98" s="1922"/>
      <c r="EI98" s="1922"/>
      <c r="EJ98" s="1922"/>
      <c r="EK98" s="1922"/>
      <c r="EL98" s="1922"/>
      <c r="EM98" s="1922"/>
      <c r="EN98" s="1922"/>
      <c r="EO98" s="1922"/>
      <c r="EP98" s="1922"/>
      <c r="EQ98" s="1922"/>
      <c r="ER98" s="1922"/>
      <c r="ES98" s="1922"/>
      <c r="ET98" s="1922"/>
      <c r="EU98" s="1922"/>
    </row>
    <row r="99" spans="1:151" s="1923" customFormat="1" ht="11.25" customHeight="1">
      <c r="A99" s="1912"/>
      <c r="B99" s="1912"/>
      <c r="C99" s="1913"/>
      <c r="D99" s="1914">
        <f t="shared" si="49"/>
        <v>2</v>
      </c>
      <c r="E99" s="1912" t="str">
        <f t="shared" si="49"/>
        <v>쿠팡</v>
      </c>
      <c r="F99" s="1912" t="str">
        <f t="shared" si="49"/>
        <v>상온창고</v>
      </c>
      <c r="G99" s="1915"/>
      <c r="H99" s="1916"/>
      <c r="I99" s="1917"/>
      <c r="J99" s="1917"/>
      <c r="K99" s="1916">
        <f>SUMPRODUCT($P99:$EU99,Index!$L$22:$EQ$22)/('A&amp;R'!$F$37/10)</f>
        <v>0.58333333333333337</v>
      </c>
      <c r="L99" s="1926"/>
      <c r="M99" s="1919"/>
      <c r="N99" s="1920">
        <f t="shared" si="50"/>
        <v>7</v>
      </c>
      <c r="O99" s="1921"/>
      <c r="P99" s="1922">
        <f t="shared" ref="P99:AE99" si="51">(P$15&gt;$H99)*(P$15&lt;=$I99)</f>
        <v>0</v>
      </c>
      <c r="Q99" s="1922">
        <f t="shared" si="51"/>
        <v>0</v>
      </c>
      <c r="R99" s="1922">
        <f t="shared" si="51"/>
        <v>0</v>
      </c>
      <c r="S99" s="1922">
        <f t="shared" si="51"/>
        <v>0</v>
      </c>
      <c r="T99" s="1922">
        <v>1</v>
      </c>
      <c r="U99" s="1922">
        <f t="shared" si="51"/>
        <v>0</v>
      </c>
      <c r="V99" s="1922">
        <f t="shared" si="51"/>
        <v>0</v>
      </c>
      <c r="W99" s="1922">
        <f t="shared" si="51"/>
        <v>0</v>
      </c>
      <c r="X99" s="1922">
        <f t="shared" si="51"/>
        <v>0</v>
      </c>
      <c r="Y99" s="1922">
        <f t="shared" si="51"/>
        <v>0</v>
      </c>
      <c r="Z99" s="1922">
        <f t="shared" si="51"/>
        <v>0</v>
      </c>
      <c r="AA99" s="1922">
        <f t="shared" si="51"/>
        <v>0</v>
      </c>
      <c r="AB99" s="1922">
        <f t="shared" si="51"/>
        <v>0</v>
      </c>
      <c r="AC99" s="1922">
        <f t="shared" si="51"/>
        <v>0</v>
      </c>
      <c r="AD99" s="1922">
        <f t="shared" si="51"/>
        <v>0</v>
      </c>
      <c r="AE99" s="1922">
        <f t="shared" si="51"/>
        <v>0</v>
      </c>
      <c r="AF99" s="1922">
        <v>1</v>
      </c>
      <c r="AG99" s="1922">
        <f t="shared" ref="AG99:CQ99" si="52">(AG$15&gt;$H99)*(AG$15&lt;=$I99)</f>
        <v>0</v>
      </c>
      <c r="AH99" s="1922">
        <f t="shared" si="52"/>
        <v>0</v>
      </c>
      <c r="AI99" s="1922">
        <f t="shared" si="52"/>
        <v>0</v>
      </c>
      <c r="AJ99" s="1922">
        <f t="shared" si="52"/>
        <v>0</v>
      </c>
      <c r="AK99" s="1922">
        <f t="shared" si="52"/>
        <v>0</v>
      </c>
      <c r="AL99" s="1922">
        <f t="shared" si="52"/>
        <v>0</v>
      </c>
      <c r="AM99" s="1922">
        <f t="shared" si="52"/>
        <v>0</v>
      </c>
      <c r="AN99" s="1922">
        <f t="shared" si="52"/>
        <v>0</v>
      </c>
      <c r="AO99" s="1922">
        <f t="shared" si="52"/>
        <v>0</v>
      </c>
      <c r="AP99" s="1922">
        <f t="shared" si="52"/>
        <v>0</v>
      </c>
      <c r="AQ99" s="1922">
        <f t="shared" si="52"/>
        <v>0</v>
      </c>
      <c r="AR99" s="1922">
        <v>0</v>
      </c>
      <c r="AS99" s="1922">
        <f t="shared" si="52"/>
        <v>0</v>
      </c>
      <c r="AT99" s="1922">
        <f t="shared" si="52"/>
        <v>0</v>
      </c>
      <c r="AU99" s="1922">
        <f t="shared" si="52"/>
        <v>0</v>
      </c>
      <c r="AV99" s="1922">
        <v>1</v>
      </c>
      <c r="AW99" s="1922">
        <v>1</v>
      </c>
      <c r="AX99" s="1922">
        <v>1</v>
      </c>
      <c r="AY99" s="1922">
        <v>1</v>
      </c>
      <c r="AZ99" s="1922">
        <v>1</v>
      </c>
      <c r="BA99" s="1922">
        <f t="shared" si="52"/>
        <v>0</v>
      </c>
      <c r="BB99" s="1922">
        <f t="shared" si="52"/>
        <v>0</v>
      </c>
      <c r="BC99" s="1922">
        <f t="shared" si="52"/>
        <v>0</v>
      </c>
      <c r="BD99" s="1922">
        <f t="shared" si="52"/>
        <v>0</v>
      </c>
      <c r="BE99" s="1922">
        <f t="shared" si="52"/>
        <v>0</v>
      </c>
      <c r="BF99" s="1922">
        <f t="shared" si="52"/>
        <v>0</v>
      </c>
      <c r="BG99" s="1922">
        <f t="shared" si="52"/>
        <v>0</v>
      </c>
      <c r="BH99" s="1922">
        <f t="shared" si="52"/>
        <v>0</v>
      </c>
      <c r="BI99" s="1922">
        <f t="shared" si="52"/>
        <v>0</v>
      </c>
      <c r="BJ99" s="1922">
        <f t="shared" si="52"/>
        <v>0</v>
      </c>
      <c r="BK99" s="1922">
        <f t="shared" si="52"/>
        <v>0</v>
      </c>
      <c r="BL99" s="1922">
        <f t="shared" si="52"/>
        <v>0</v>
      </c>
      <c r="BM99" s="1922">
        <f t="shared" si="52"/>
        <v>0</v>
      </c>
      <c r="BN99" s="1922">
        <f t="shared" si="52"/>
        <v>0</v>
      </c>
      <c r="BO99" s="1922">
        <f t="shared" si="52"/>
        <v>0</v>
      </c>
      <c r="BP99" s="1922">
        <f t="shared" si="52"/>
        <v>0</v>
      </c>
      <c r="BQ99" s="1922">
        <f t="shared" si="52"/>
        <v>0</v>
      </c>
      <c r="BR99" s="1922">
        <f t="shared" si="52"/>
        <v>0</v>
      </c>
      <c r="BS99" s="1922">
        <f t="shared" si="52"/>
        <v>0</v>
      </c>
      <c r="BT99" s="1922">
        <f t="shared" si="52"/>
        <v>0</v>
      </c>
      <c r="BU99" s="1922">
        <f t="shared" si="52"/>
        <v>0</v>
      </c>
      <c r="BV99" s="1922">
        <f t="shared" si="52"/>
        <v>0</v>
      </c>
      <c r="BW99" s="1922">
        <f t="shared" si="52"/>
        <v>0</v>
      </c>
      <c r="BX99" s="1922">
        <f t="shared" si="52"/>
        <v>0</v>
      </c>
      <c r="BY99" s="1922">
        <f t="shared" si="52"/>
        <v>0</v>
      </c>
      <c r="BZ99" s="1922">
        <f t="shared" si="52"/>
        <v>0</v>
      </c>
      <c r="CA99" s="1922">
        <f t="shared" si="52"/>
        <v>0</v>
      </c>
      <c r="CB99" s="1922">
        <f t="shared" si="52"/>
        <v>0</v>
      </c>
      <c r="CC99" s="1922">
        <f t="shared" si="52"/>
        <v>0</v>
      </c>
      <c r="CD99" s="1922">
        <f t="shared" si="52"/>
        <v>0</v>
      </c>
      <c r="CE99" s="1922">
        <f t="shared" si="52"/>
        <v>0</v>
      </c>
      <c r="CF99" s="1922">
        <f t="shared" si="52"/>
        <v>0</v>
      </c>
      <c r="CG99" s="1922">
        <f t="shared" si="52"/>
        <v>0</v>
      </c>
      <c r="CH99" s="1922">
        <f t="shared" si="52"/>
        <v>0</v>
      </c>
      <c r="CI99" s="1922">
        <f t="shared" si="52"/>
        <v>0</v>
      </c>
      <c r="CJ99" s="1922">
        <f t="shared" si="52"/>
        <v>0</v>
      </c>
      <c r="CK99" s="1922">
        <f t="shared" si="52"/>
        <v>0</v>
      </c>
      <c r="CL99" s="1922">
        <f t="shared" si="52"/>
        <v>0</v>
      </c>
      <c r="CM99" s="1922">
        <f t="shared" si="52"/>
        <v>0</v>
      </c>
      <c r="CN99" s="1922">
        <f t="shared" si="52"/>
        <v>0</v>
      </c>
      <c r="CO99" s="1922">
        <f t="shared" si="52"/>
        <v>0</v>
      </c>
      <c r="CP99" s="1922">
        <f t="shared" si="52"/>
        <v>0</v>
      </c>
      <c r="CQ99" s="1922">
        <f t="shared" si="52"/>
        <v>0</v>
      </c>
      <c r="CR99" s="1922">
        <f t="shared" ref="CR99:EU99" si="53">(CR$15&gt;$H99)*(CR$15&lt;=$I99)</f>
        <v>0</v>
      </c>
      <c r="CS99" s="1922">
        <f t="shared" si="53"/>
        <v>0</v>
      </c>
      <c r="CT99" s="1922">
        <f t="shared" si="53"/>
        <v>0</v>
      </c>
      <c r="CU99" s="1922">
        <f t="shared" si="53"/>
        <v>0</v>
      </c>
      <c r="CV99" s="1922">
        <f t="shared" si="53"/>
        <v>0</v>
      </c>
      <c r="CW99" s="1922">
        <f t="shared" si="53"/>
        <v>0</v>
      </c>
      <c r="CX99" s="1922">
        <f t="shared" si="53"/>
        <v>0</v>
      </c>
      <c r="CY99" s="1922">
        <f t="shared" si="53"/>
        <v>0</v>
      </c>
      <c r="CZ99" s="1922">
        <f t="shared" si="53"/>
        <v>0</v>
      </c>
      <c r="DA99" s="1922">
        <f t="shared" si="53"/>
        <v>0</v>
      </c>
      <c r="DB99" s="1922">
        <f t="shared" si="53"/>
        <v>0</v>
      </c>
      <c r="DC99" s="1922">
        <f t="shared" si="53"/>
        <v>0</v>
      </c>
      <c r="DD99" s="1922">
        <f t="shared" si="53"/>
        <v>0</v>
      </c>
      <c r="DE99" s="1922">
        <f t="shared" si="53"/>
        <v>0</v>
      </c>
      <c r="DF99" s="1922">
        <f t="shared" si="53"/>
        <v>0</v>
      </c>
      <c r="DG99" s="1922">
        <f t="shared" si="53"/>
        <v>0</v>
      </c>
      <c r="DH99" s="1922">
        <f t="shared" si="53"/>
        <v>0</v>
      </c>
      <c r="DI99" s="1922">
        <f t="shared" si="53"/>
        <v>0</v>
      </c>
      <c r="DJ99" s="1922">
        <f t="shared" si="53"/>
        <v>0</v>
      </c>
      <c r="DK99" s="1922">
        <f t="shared" si="53"/>
        <v>0</v>
      </c>
      <c r="DL99" s="1922">
        <f t="shared" si="53"/>
        <v>0</v>
      </c>
      <c r="DM99" s="1922">
        <f t="shared" si="53"/>
        <v>0</v>
      </c>
      <c r="DN99" s="1922">
        <f t="shared" si="53"/>
        <v>0</v>
      </c>
      <c r="DO99" s="1922">
        <f t="shared" si="53"/>
        <v>0</v>
      </c>
      <c r="DP99" s="1922">
        <f t="shared" si="53"/>
        <v>0</v>
      </c>
      <c r="DQ99" s="1922">
        <f t="shared" si="53"/>
        <v>0</v>
      </c>
      <c r="DR99" s="1922">
        <f t="shared" si="53"/>
        <v>0</v>
      </c>
      <c r="DS99" s="1922">
        <f t="shared" si="53"/>
        <v>0</v>
      </c>
      <c r="DT99" s="1922">
        <f t="shared" si="53"/>
        <v>0</v>
      </c>
      <c r="DU99" s="1922">
        <f t="shared" si="53"/>
        <v>0</v>
      </c>
      <c r="DV99" s="1922">
        <f t="shared" si="53"/>
        <v>0</v>
      </c>
      <c r="DW99" s="1922">
        <f t="shared" si="53"/>
        <v>0</v>
      </c>
      <c r="DX99" s="1922">
        <f t="shared" si="53"/>
        <v>0</v>
      </c>
      <c r="DY99" s="1922">
        <f t="shared" si="53"/>
        <v>0</v>
      </c>
      <c r="DZ99" s="1922">
        <f t="shared" si="53"/>
        <v>0</v>
      </c>
      <c r="EA99" s="1922">
        <f t="shared" si="53"/>
        <v>0</v>
      </c>
      <c r="EB99" s="1922">
        <f t="shared" si="53"/>
        <v>0</v>
      </c>
      <c r="EC99" s="1922">
        <f t="shared" si="53"/>
        <v>0</v>
      </c>
      <c r="ED99" s="1922">
        <f t="shared" si="53"/>
        <v>0</v>
      </c>
      <c r="EE99" s="1922">
        <f t="shared" si="53"/>
        <v>0</v>
      </c>
      <c r="EF99" s="1922">
        <f t="shared" si="53"/>
        <v>0</v>
      </c>
      <c r="EG99" s="1922">
        <f t="shared" si="53"/>
        <v>0</v>
      </c>
      <c r="EH99" s="1922">
        <f t="shared" si="53"/>
        <v>0</v>
      </c>
      <c r="EI99" s="1922">
        <f t="shared" si="53"/>
        <v>0</v>
      </c>
      <c r="EJ99" s="1922">
        <f t="shared" si="53"/>
        <v>0</v>
      </c>
      <c r="EK99" s="1922">
        <f t="shared" si="53"/>
        <v>0</v>
      </c>
      <c r="EL99" s="1922">
        <f t="shared" si="53"/>
        <v>0</v>
      </c>
      <c r="EM99" s="1922">
        <f t="shared" si="53"/>
        <v>0</v>
      </c>
      <c r="EN99" s="1922">
        <f t="shared" si="53"/>
        <v>0</v>
      </c>
      <c r="EO99" s="1922">
        <f t="shared" si="53"/>
        <v>0</v>
      </c>
      <c r="EP99" s="1922">
        <f t="shared" si="53"/>
        <v>0</v>
      </c>
      <c r="EQ99" s="1922">
        <f t="shared" si="53"/>
        <v>0</v>
      </c>
      <c r="ER99" s="1922">
        <f t="shared" si="53"/>
        <v>0</v>
      </c>
      <c r="ES99" s="1922">
        <f t="shared" si="53"/>
        <v>0</v>
      </c>
      <c r="ET99" s="1922">
        <f t="shared" si="53"/>
        <v>0</v>
      </c>
      <c r="EU99" s="1922">
        <f t="shared" si="53"/>
        <v>0</v>
      </c>
    </row>
    <row r="100" spans="1:151" s="1923" customFormat="1" ht="11.25" customHeight="1">
      <c r="A100" s="1912"/>
      <c r="B100" s="1912"/>
      <c r="C100" s="1913"/>
      <c r="D100" s="1914">
        <f t="shared" si="49"/>
        <v>1</v>
      </c>
      <c r="E100" s="1912" t="str">
        <f t="shared" si="49"/>
        <v>지오영</v>
      </c>
      <c r="F100" s="1912" t="str">
        <f t="shared" si="49"/>
        <v>상온창고</v>
      </c>
      <c r="G100" s="1915"/>
      <c r="H100" s="1916"/>
      <c r="I100" s="1917"/>
      <c r="J100" s="1917"/>
      <c r="K100" s="1916">
        <f>SUMPRODUCT($P100:$EU100,Index!$L$22:$EQ$22)/('A&amp;R'!$F$37/10)</f>
        <v>1</v>
      </c>
      <c r="L100" s="1918"/>
      <c r="M100" s="1919"/>
      <c r="N100" s="1920">
        <f t="shared" si="50"/>
        <v>12</v>
      </c>
      <c r="O100" s="1921"/>
      <c r="P100" s="1922"/>
      <c r="Q100" s="1922"/>
      <c r="R100" s="1922"/>
      <c r="S100" s="1922"/>
      <c r="T100" s="1922"/>
      <c r="U100" s="1922">
        <v>1</v>
      </c>
      <c r="V100" s="1922">
        <v>0.5</v>
      </c>
      <c r="W100" s="1922"/>
      <c r="X100" s="1922"/>
      <c r="Y100" s="1922"/>
      <c r="Z100" s="1922"/>
      <c r="AA100" s="1922"/>
      <c r="AB100" s="1922"/>
      <c r="AC100" s="1922"/>
      <c r="AD100" s="1922"/>
      <c r="AE100" s="1922"/>
      <c r="AF100" s="1922"/>
      <c r="AG100" s="1922">
        <v>1</v>
      </c>
      <c r="AH100" s="1922">
        <v>0.5</v>
      </c>
      <c r="AI100" s="1922"/>
      <c r="AJ100" s="1922"/>
      <c r="AK100" s="1922"/>
      <c r="AL100" s="1922"/>
      <c r="AM100" s="1922"/>
      <c r="AN100" s="1922"/>
      <c r="AO100" s="1922"/>
      <c r="AP100" s="1922"/>
      <c r="AQ100" s="1922"/>
      <c r="AR100" s="1922"/>
      <c r="AS100" s="1922">
        <v>1</v>
      </c>
      <c r="AT100" s="1922">
        <v>0.5</v>
      </c>
      <c r="AU100" s="1922"/>
      <c r="AV100" s="1922"/>
      <c r="AW100" s="1922"/>
      <c r="AX100" s="1922"/>
      <c r="AY100" s="1922"/>
      <c r="AZ100" s="1922"/>
      <c r="BA100" s="1922"/>
      <c r="BB100" s="1922"/>
      <c r="BC100" s="1922"/>
      <c r="BD100" s="1922"/>
      <c r="BE100" s="1922">
        <v>1</v>
      </c>
      <c r="BF100" s="1922">
        <v>0.5</v>
      </c>
      <c r="BG100" s="1922"/>
      <c r="BH100" s="1922"/>
      <c r="BI100" s="1922"/>
      <c r="BJ100" s="1922"/>
      <c r="BK100" s="1922"/>
      <c r="BL100" s="1922"/>
      <c r="BM100" s="1922"/>
      <c r="BN100" s="1922"/>
      <c r="BO100" s="1922"/>
      <c r="BP100" s="1922"/>
      <c r="BQ100" s="1922">
        <v>1</v>
      </c>
      <c r="BR100" s="1922">
        <v>0.5</v>
      </c>
      <c r="BS100" s="1922"/>
      <c r="BT100" s="1922"/>
      <c r="BU100" s="1922"/>
      <c r="BV100" s="1922"/>
      <c r="BW100" s="1922"/>
      <c r="BX100" s="1922"/>
      <c r="BY100" s="1922"/>
      <c r="BZ100" s="1922"/>
      <c r="CA100" s="1922"/>
      <c r="CB100" s="1922"/>
      <c r="CC100" s="1922">
        <v>1</v>
      </c>
      <c r="CD100" s="1922">
        <v>0.5</v>
      </c>
      <c r="CE100" s="1922"/>
      <c r="CF100" s="1922"/>
      <c r="CG100" s="1922"/>
      <c r="CH100" s="1922"/>
      <c r="CI100" s="1922"/>
      <c r="CJ100" s="1922"/>
      <c r="CK100" s="1922"/>
      <c r="CL100" s="1922"/>
      <c r="CM100" s="1922"/>
      <c r="CN100" s="1922"/>
      <c r="CO100" s="1922">
        <v>1</v>
      </c>
      <c r="CP100" s="1922">
        <v>0.5</v>
      </c>
      <c r="CQ100" s="1922"/>
      <c r="CR100" s="1922"/>
      <c r="CS100" s="1922"/>
      <c r="CT100" s="1922"/>
      <c r="CU100" s="1922"/>
      <c r="CV100" s="1922"/>
      <c r="CW100" s="1922"/>
      <c r="CX100" s="1922"/>
      <c r="CY100" s="1922"/>
      <c r="CZ100" s="1922"/>
      <c r="DA100" s="1922">
        <v>1</v>
      </c>
      <c r="DB100" s="1922">
        <v>0.5</v>
      </c>
      <c r="DC100" s="1922">
        <v>0</v>
      </c>
      <c r="DD100" s="1922">
        <v>0</v>
      </c>
      <c r="DE100" s="1922">
        <v>0</v>
      </c>
      <c r="DF100" s="1922">
        <v>0</v>
      </c>
      <c r="DG100" s="1922">
        <v>0</v>
      </c>
      <c r="DH100" s="1922">
        <v>0</v>
      </c>
      <c r="DI100" s="1922">
        <v>0</v>
      </c>
      <c r="DJ100" s="1922">
        <v>0</v>
      </c>
      <c r="DK100" s="1922">
        <v>0</v>
      </c>
      <c r="DL100" s="1922">
        <v>0</v>
      </c>
      <c r="DM100" s="1922">
        <v>0</v>
      </c>
      <c r="DN100" s="1922">
        <v>0</v>
      </c>
      <c r="DO100" s="1922">
        <v>0</v>
      </c>
      <c r="DP100" s="1922">
        <v>0</v>
      </c>
      <c r="DQ100" s="1922">
        <v>0</v>
      </c>
      <c r="DR100" s="1922">
        <v>0</v>
      </c>
      <c r="DS100" s="1922">
        <v>0</v>
      </c>
      <c r="DT100" s="1922">
        <v>0</v>
      </c>
      <c r="DU100" s="1922">
        <v>0</v>
      </c>
      <c r="DV100" s="1922">
        <v>0</v>
      </c>
      <c r="DW100" s="1922">
        <v>0</v>
      </c>
      <c r="DX100" s="1922">
        <v>0</v>
      </c>
      <c r="DY100" s="1922">
        <v>0</v>
      </c>
      <c r="DZ100" s="1922">
        <v>0</v>
      </c>
      <c r="EA100" s="1922">
        <v>0</v>
      </c>
      <c r="EB100" s="1922">
        <v>0</v>
      </c>
      <c r="EC100" s="1922">
        <v>0</v>
      </c>
      <c r="ED100" s="1922">
        <v>0</v>
      </c>
      <c r="EE100" s="1922">
        <v>0</v>
      </c>
      <c r="EF100" s="1922">
        <v>0</v>
      </c>
      <c r="EG100" s="1922">
        <v>0</v>
      </c>
      <c r="EH100" s="1922">
        <v>0</v>
      </c>
      <c r="EI100" s="1922">
        <v>0</v>
      </c>
      <c r="EJ100" s="1922">
        <v>0</v>
      </c>
      <c r="EK100" s="1922">
        <v>0</v>
      </c>
      <c r="EL100" s="1922">
        <v>0</v>
      </c>
      <c r="EM100" s="1922">
        <v>0</v>
      </c>
      <c r="EN100" s="1922">
        <v>0</v>
      </c>
      <c r="EO100" s="1922">
        <v>0</v>
      </c>
      <c r="EP100" s="1922">
        <v>0</v>
      </c>
      <c r="EQ100" s="1922">
        <v>0</v>
      </c>
      <c r="ER100" s="1922">
        <v>0</v>
      </c>
      <c r="ES100" s="1922">
        <v>0</v>
      </c>
      <c r="ET100" s="1922">
        <v>0</v>
      </c>
      <c r="EU100" s="1922">
        <v>0</v>
      </c>
    </row>
    <row r="101" spans="1:151" s="1923" customFormat="1" ht="11.25" customHeight="1">
      <c r="A101" s="1912"/>
      <c r="B101" s="1912"/>
      <c r="C101" s="1913"/>
      <c r="D101" s="1914">
        <f t="shared" si="49"/>
        <v>1</v>
      </c>
      <c r="E101" s="1912" t="str">
        <f t="shared" si="49"/>
        <v>용마로지스</v>
      </c>
      <c r="F101" s="1912" t="str">
        <f t="shared" si="49"/>
        <v>상온창고</v>
      </c>
      <c r="G101" s="1915"/>
      <c r="H101" s="1916"/>
      <c r="I101" s="1917"/>
      <c r="J101" s="1917"/>
      <c r="K101" s="1916">
        <f>SUMPRODUCT($P101:$EU101,Index!$L$22:$EQ$22)/('A&amp;R'!$F$37/10)</f>
        <v>0.375</v>
      </c>
      <c r="L101" s="1918"/>
      <c r="M101" s="1919"/>
      <c r="N101" s="1920">
        <f t="shared" si="50"/>
        <v>4.5</v>
      </c>
      <c r="O101" s="1921"/>
      <c r="P101" s="1922"/>
      <c r="Q101" s="1922"/>
      <c r="R101" s="1922">
        <v>0.5</v>
      </c>
      <c r="S101" s="1922">
        <v>1</v>
      </c>
      <c r="T101" s="1922"/>
      <c r="U101" s="1922"/>
      <c r="V101" s="1922"/>
      <c r="W101" s="1922"/>
      <c r="X101" s="1922"/>
      <c r="Y101" s="1922"/>
      <c r="Z101" s="1922"/>
      <c r="AA101" s="1922"/>
      <c r="AB101" s="1922"/>
      <c r="AC101" s="1922"/>
      <c r="AD101" s="1922">
        <v>0.5</v>
      </c>
      <c r="AE101" s="1922">
        <v>1</v>
      </c>
      <c r="AF101" s="1922"/>
      <c r="AG101" s="1922"/>
      <c r="AH101" s="1922"/>
      <c r="AI101" s="1922"/>
      <c r="AJ101" s="1922"/>
      <c r="AK101" s="1922"/>
      <c r="AL101" s="1922"/>
      <c r="AM101" s="1922"/>
      <c r="AN101" s="1922"/>
      <c r="AO101" s="1922"/>
      <c r="AP101" s="1922">
        <v>0.5</v>
      </c>
      <c r="AQ101" s="1922">
        <v>1</v>
      </c>
      <c r="AR101" s="1922"/>
      <c r="AS101" s="1922"/>
      <c r="AT101" s="1922"/>
      <c r="AU101" s="1922"/>
      <c r="AV101" s="1922"/>
      <c r="AW101" s="1922"/>
      <c r="AX101" s="1922"/>
      <c r="AY101" s="1922"/>
      <c r="AZ101" s="1922"/>
      <c r="BA101" s="1922"/>
      <c r="BB101" s="1922"/>
      <c r="BC101" s="1922"/>
      <c r="BD101" s="1922"/>
      <c r="BE101" s="1922"/>
      <c r="BF101" s="1922"/>
      <c r="BG101" s="1922"/>
      <c r="BH101" s="1922"/>
      <c r="BI101" s="1922"/>
      <c r="BJ101" s="1922"/>
      <c r="BK101" s="1922"/>
      <c r="BL101" s="1922"/>
      <c r="BM101" s="1922"/>
      <c r="BN101" s="1922"/>
      <c r="BO101" s="1922"/>
      <c r="BP101" s="1922"/>
      <c r="BQ101" s="1922"/>
      <c r="BR101" s="1922"/>
      <c r="BS101" s="1922"/>
      <c r="BT101" s="1922"/>
      <c r="BU101" s="1922"/>
      <c r="BV101" s="1922"/>
      <c r="BW101" s="1922"/>
      <c r="BX101" s="1922"/>
      <c r="BY101" s="1922"/>
      <c r="BZ101" s="1922"/>
      <c r="CA101" s="1922"/>
      <c r="CB101" s="1922"/>
      <c r="CC101" s="1922"/>
      <c r="CD101" s="1922"/>
      <c r="CE101" s="1922"/>
      <c r="CF101" s="1922"/>
      <c r="CG101" s="1922"/>
      <c r="CH101" s="1922"/>
      <c r="CI101" s="1922"/>
      <c r="CJ101" s="1922"/>
      <c r="CK101" s="1922"/>
      <c r="CL101" s="1922"/>
      <c r="CM101" s="1922"/>
      <c r="CN101" s="1922"/>
      <c r="CO101" s="1922"/>
      <c r="CP101" s="1922"/>
      <c r="CQ101" s="1922"/>
      <c r="CR101" s="1922"/>
      <c r="CS101" s="1922"/>
      <c r="CT101" s="1922"/>
      <c r="CU101" s="1922"/>
      <c r="CV101" s="1922"/>
      <c r="CW101" s="1922"/>
      <c r="CX101" s="1922"/>
      <c r="CY101" s="1922"/>
      <c r="CZ101" s="1922"/>
      <c r="DA101" s="1922"/>
      <c r="DB101" s="1922"/>
      <c r="DC101" s="1922"/>
      <c r="DD101" s="1922"/>
      <c r="DE101" s="1922"/>
      <c r="DF101" s="1922"/>
      <c r="DG101" s="1922"/>
      <c r="DH101" s="1922"/>
      <c r="DI101" s="1922"/>
      <c r="DJ101" s="1922"/>
      <c r="DK101" s="1922"/>
      <c r="DL101" s="1922"/>
      <c r="DM101" s="1922"/>
      <c r="DN101" s="1922"/>
      <c r="DO101" s="1922"/>
      <c r="DP101" s="1922"/>
      <c r="DQ101" s="1922"/>
      <c r="DR101" s="1922"/>
      <c r="DS101" s="1922"/>
      <c r="DT101" s="1922"/>
      <c r="DU101" s="1922"/>
      <c r="DV101" s="1922"/>
      <c r="DW101" s="1922"/>
      <c r="DX101" s="1922"/>
      <c r="DY101" s="1922"/>
      <c r="DZ101" s="1922"/>
      <c r="EA101" s="1922"/>
      <c r="EB101" s="1922"/>
      <c r="EC101" s="1922"/>
      <c r="ED101" s="1922"/>
      <c r="EE101" s="1922"/>
      <c r="EF101" s="1922"/>
      <c r="EG101" s="1922"/>
      <c r="EH101" s="1922"/>
      <c r="EI101" s="1922"/>
      <c r="EJ101" s="1922"/>
      <c r="EK101" s="1922"/>
      <c r="EL101" s="1922"/>
      <c r="EM101" s="1922"/>
      <c r="EN101" s="1922"/>
      <c r="EO101" s="1922"/>
      <c r="EP101" s="1922"/>
      <c r="EQ101" s="1922"/>
      <c r="ER101" s="1922"/>
      <c r="ES101" s="1922"/>
      <c r="ET101" s="1922"/>
      <c r="EU101" s="1922"/>
    </row>
    <row r="102" spans="1:151" s="1923" customFormat="1" ht="11.25" customHeight="1">
      <c r="A102" s="1912"/>
      <c r="B102" s="1912"/>
      <c r="C102" s="1913"/>
      <c r="D102" s="1914" t="str">
        <f t="shared" si="49"/>
        <v>1F</v>
      </c>
      <c r="E102" s="1912" t="str">
        <f t="shared" si="49"/>
        <v>아이팜</v>
      </c>
      <c r="F102" s="1912" t="str">
        <f t="shared" si="49"/>
        <v>근린생활시설</v>
      </c>
      <c r="G102" s="1915"/>
      <c r="H102" s="1916"/>
      <c r="I102" s="1917"/>
      <c r="J102" s="1917"/>
      <c r="K102" s="1916">
        <f>SUMPRODUCT($P102:$EU102,Index!$L$22:$EQ$22)/('A&amp;R'!$F$37/10)</f>
        <v>0.375</v>
      </c>
      <c r="L102" s="1924"/>
      <c r="M102" s="1925"/>
      <c r="N102" s="1920">
        <f t="shared" si="50"/>
        <v>4.5</v>
      </c>
      <c r="O102" s="1921"/>
      <c r="P102" s="1922"/>
      <c r="Q102" s="1922"/>
      <c r="R102" s="1922"/>
      <c r="S102" s="1922"/>
      <c r="T102" s="1922"/>
      <c r="U102" s="1922"/>
      <c r="V102" s="1922"/>
      <c r="W102" s="1922"/>
      <c r="X102" s="1922">
        <v>1</v>
      </c>
      <c r="Y102" s="1922">
        <v>0.5</v>
      </c>
      <c r="Z102" s="1922"/>
      <c r="AA102" s="1922"/>
      <c r="AB102" s="1922"/>
      <c r="AC102" s="1922"/>
      <c r="AD102" s="1922"/>
      <c r="AE102" s="1922"/>
      <c r="AF102" s="1922"/>
      <c r="AG102" s="1922"/>
      <c r="AH102" s="1922"/>
      <c r="AI102" s="1922"/>
      <c r="AJ102" s="1922">
        <v>1</v>
      </c>
      <c r="AK102" s="1922">
        <v>0.5</v>
      </c>
      <c r="AL102" s="1922"/>
      <c r="AM102" s="1922"/>
      <c r="AN102" s="1922"/>
      <c r="AO102" s="1922"/>
      <c r="AP102" s="1922"/>
      <c r="AQ102" s="1922"/>
      <c r="AR102" s="1922"/>
      <c r="AS102" s="1922"/>
      <c r="AT102" s="1922"/>
      <c r="AU102" s="1922"/>
      <c r="AV102" s="1922">
        <v>1</v>
      </c>
      <c r="AW102" s="1922">
        <v>0.5</v>
      </c>
      <c r="AX102" s="1922"/>
      <c r="AY102" s="1922"/>
      <c r="AZ102" s="1922"/>
      <c r="BA102" s="1922"/>
      <c r="BB102" s="1922"/>
      <c r="BC102" s="1922"/>
      <c r="BD102" s="1922"/>
      <c r="BE102" s="1922"/>
      <c r="BF102" s="1922"/>
      <c r="BG102" s="1922"/>
      <c r="BH102" s="1922"/>
      <c r="BI102" s="1922"/>
      <c r="BJ102" s="1922"/>
      <c r="BK102" s="1922"/>
      <c r="BL102" s="1922"/>
      <c r="BM102" s="1922"/>
      <c r="BN102" s="1922"/>
      <c r="BO102" s="1922"/>
      <c r="BP102" s="1922"/>
      <c r="BQ102" s="1922"/>
      <c r="BR102" s="1922"/>
      <c r="BS102" s="1922"/>
      <c r="BT102" s="1922"/>
      <c r="BU102" s="1922"/>
      <c r="BV102" s="1922"/>
      <c r="BW102" s="1922"/>
      <c r="BX102" s="1922"/>
      <c r="BY102" s="1922"/>
      <c r="BZ102" s="1922"/>
      <c r="CA102" s="1922"/>
      <c r="CB102" s="1922"/>
      <c r="CC102" s="1922"/>
      <c r="CD102" s="1922"/>
      <c r="CE102" s="1922"/>
      <c r="CF102" s="1922"/>
      <c r="CG102" s="1922"/>
      <c r="CH102" s="1922"/>
      <c r="CI102" s="1922"/>
      <c r="CJ102" s="1922"/>
      <c r="CK102" s="1922"/>
      <c r="CL102" s="1922"/>
      <c r="CM102" s="1922"/>
      <c r="CN102" s="1922"/>
      <c r="CO102" s="1922"/>
      <c r="CP102" s="1922"/>
      <c r="CQ102" s="1922"/>
      <c r="CR102" s="1922"/>
      <c r="CS102" s="1922"/>
      <c r="CT102" s="1922"/>
      <c r="CU102" s="1922"/>
      <c r="CV102" s="1922"/>
      <c r="CW102" s="1922"/>
      <c r="CX102" s="1922"/>
      <c r="CY102" s="1922"/>
      <c r="CZ102" s="1922"/>
      <c r="DA102" s="1922"/>
      <c r="DB102" s="1922"/>
      <c r="DC102" s="1922"/>
      <c r="DD102" s="1922"/>
      <c r="DE102" s="1922"/>
      <c r="DF102" s="1922"/>
      <c r="DG102" s="1922"/>
      <c r="DH102" s="1922"/>
      <c r="DI102" s="1922"/>
      <c r="DJ102" s="1922"/>
      <c r="DK102" s="1922"/>
      <c r="DL102" s="1922"/>
      <c r="DM102" s="1922"/>
      <c r="DN102" s="1922"/>
      <c r="DO102" s="1922"/>
      <c r="DP102" s="1922"/>
      <c r="DQ102" s="1922"/>
      <c r="DR102" s="1922"/>
      <c r="DS102" s="1922"/>
      <c r="DT102" s="1922"/>
      <c r="DU102" s="1922"/>
      <c r="DV102" s="1922"/>
      <c r="DW102" s="1922"/>
      <c r="DX102" s="1922"/>
      <c r="DY102" s="1922"/>
      <c r="DZ102" s="1922"/>
      <c r="EA102" s="1922"/>
      <c r="EB102" s="1922"/>
      <c r="EC102" s="1922"/>
      <c r="ED102" s="1922"/>
      <c r="EE102" s="1922"/>
      <c r="EF102" s="1922"/>
      <c r="EG102" s="1922"/>
      <c r="EH102" s="1922"/>
      <c r="EI102" s="1922"/>
      <c r="EJ102" s="1922"/>
      <c r="EK102" s="1922"/>
      <c r="EL102" s="1922"/>
      <c r="EM102" s="1922"/>
      <c r="EN102" s="1922"/>
      <c r="EO102" s="1922"/>
      <c r="EP102" s="1922"/>
      <c r="EQ102" s="1922"/>
      <c r="ER102" s="1922"/>
      <c r="ES102" s="1922"/>
      <c r="ET102" s="1922"/>
      <c r="EU102" s="1922"/>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3" customFormat="1" ht="11.25" customHeight="1">
      <c r="A104" s="1912"/>
      <c r="B104" s="1912"/>
      <c r="C104" s="1913"/>
      <c r="D104" s="1914" t="str">
        <f t="shared" si="49"/>
        <v>B1</v>
      </c>
      <c r="E104" s="1912" t="str">
        <f t="shared" si="49"/>
        <v>쿠팡</v>
      </c>
      <c r="F104" s="1912" t="str">
        <f t="shared" si="49"/>
        <v>상온창고</v>
      </c>
      <c r="G104" s="1915"/>
      <c r="H104" s="1916"/>
      <c r="I104" s="1917"/>
      <c r="J104" s="1917"/>
      <c r="K104" s="1916">
        <f>SUMPRODUCT($P104:$EU104,Index!$L$22:$EQ$22)/('A&amp;R'!$F$37/10)</f>
        <v>0.58333333333333337</v>
      </c>
      <c r="L104" s="1924"/>
      <c r="M104" s="1925"/>
      <c r="N104" s="1920">
        <f t="shared" si="50"/>
        <v>7</v>
      </c>
      <c r="O104" s="1921"/>
      <c r="P104" s="1922">
        <f t="shared" ref="P104:CA104" si="54">(P$15&gt;$H104)*(P$15&lt;=$I104)</f>
        <v>0</v>
      </c>
      <c r="Q104" s="1922">
        <f t="shared" si="54"/>
        <v>0</v>
      </c>
      <c r="R104" s="1922">
        <f t="shared" si="54"/>
        <v>0</v>
      </c>
      <c r="S104" s="1922">
        <f t="shared" si="54"/>
        <v>0</v>
      </c>
      <c r="T104" s="1922">
        <f t="shared" si="54"/>
        <v>0</v>
      </c>
      <c r="U104" s="1922">
        <f t="shared" si="54"/>
        <v>0</v>
      </c>
      <c r="V104" s="1922">
        <f t="shared" si="54"/>
        <v>0</v>
      </c>
      <c r="W104" s="1922">
        <v>1</v>
      </c>
      <c r="X104" s="1922">
        <f t="shared" si="54"/>
        <v>0</v>
      </c>
      <c r="Y104" s="1922">
        <f t="shared" si="54"/>
        <v>0</v>
      </c>
      <c r="Z104" s="1922">
        <f t="shared" si="54"/>
        <v>0</v>
      </c>
      <c r="AA104" s="1922">
        <f t="shared" si="54"/>
        <v>0</v>
      </c>
      <c r="AB104" s="1922">
        <f t="shared" si="54"/>
        <v>0</v>
      </c>
      <c r="AC104" s="1922">
        <f t="shared" si="54"/>
        <v>0</v>
      </c>
      <c r="AD104" s="1922">
        <f t="shared" si="54"/>
        <v>0</v>
      </c>
      <c r="AE104" s="1922">
        <f t="shared" si="54"/>
        <v>0</v>
      </c>
      <c r="AF104" s="1922">
        <f t="shared" si="54"/>
        <v>0</v>
      </c>
      <c r="AG104" s="1922">
        <f t="shared" si="54"/>
        <v>0</v>
      </c>
      <c r="AH104" s="1922">
        <f t="shared" si="54"/>
        <v>0</v>
      </c>
      <c r="AI104" s="1922">
        <v>1</v>
      </c>
      <c r="AJ104" s="1922">
        <f t="shared" si="54"/>
        <v>0</v>
      </c>
      <c r="AK104" s="1922">
        <f t="shared" si="54"/>
        <v>0</v>
      </c>
      <c r="AL104" s="1922">
        <f t="shared" si="54"/>
        <v>0</v>
      </c>
      <c r="AM104" s="1922">
        <f t="shared" si="54"/>
        <v>0</v>
      </c>
      <c r="AN104" s="1922">
        <f t="shared" si="54"/>
        <v>0</v>
      </c>
      <c r="AO104" s="1922">
        <f t="shared" si="54"/>
        <v>0</v>
      </c>
      <c r="AP104" s="1922">
        <f t="shared" si="54"/>
        <v>0</v>
      </c>
      <c r="AQ104" s="1922">
        <f t="shared" si="54"/>
        <v>0</v>
      </c>
      <c r="AR104" s="1922">
        <f t="shared" si="54"/>
        <v>0</v>
      </c>
      <c r="AS104" s="1922">
        <f t="shared" si="54"/>
        <v>0</v>
      </c>
      <c r="AT104" s="1922">
        <f t="shared" si="54"/>
        <v>0</v>
      </c>
      <c r="AU104" s="1922"/>
      <c r="AV104" s="1922">
        <v>1</v>
      </c>
      <c r="AW104" s="1922">
        <v>1</v>
      </c>
      <c r="AX104" s="1922">
        <v>1</v>
      </c>
      <c r="AY104" s="1922">
        <v>1</v>
      </c>
      <c r="AZ104" s="1922">
        <v>1</v>
      </c>
      <c r="BA104" s="1922">
        <f t="shared" si="54"/>
        <v>0</v>
      </c>
      <c r="BB104" s="1922">
        <f t="shared" si="54"/>
        <v>0</v>
      </c>
      <c r="BC104" s="1922">
        <f t="shared" si="54"/>
        <v>0</v>
      </c>
      <c r="BD104" s="1922">
        <f t="shared" si="54"/>
        <v>0</v>
      </c>
      <c r="BE104" s="1922">
        <f t="shared" si="54"/>
        <v>0</v>
      </c>
      <c r="BF104" s="1922">
        <f t="shared" si="54"/>
        <v>0</v>
      </c>
      <c r="BG104" s="1922">
        <f t="shared" si="54"/>
        <v>0</v>
      </c>
      <c r="BH104" s="1922">
        <f t="shared" si="54"/>
        <v>0</v>
      </c>
      <c r="BI104" s="1922">
        <f t="shared" si="54"/>
        <v>0</v>
      </c>
      <c r="BJ104" s="1922">
        <f t="shared" si="54"/>
        <v>0</v>
      </c>
      <c r="BK104" s="1922">
        <f t="shared" si="54"/>
        <v>0</v>
      </c>
      <c r="BL104" s="1922">
        <f t="shared" si="54"/>
        <v>0</v>
      </c>
      <c r="BM104" s="1922">
        <f t="shared" si="54"/>
        <v>0</v>
      </c>
      <c r="BN104" s="1922">
        <f t="shared" si="54"/>
        <v>0</v>
      </c>
      <c r="BO104" s="1922">
        <f t="shared" si="54"/>
        <v>0</v>
      </c>
      <c r="BP104" s="1922">
        <f t="shared" si="54"/>
        <v>0</v>
      </c>
      <c r="BQ104" s="1922">
        <f t="shared" si="54"/>
        <v>0</v>
      </c>
      <c r="BR104" s="1922">
        <f t="shared" si="54"/>
        <v>0</v>
      </c>
      <c r="BS104" s="1922">
        <f t="shared" si="54"/>
        <v>0</v>
      </c>
      <c r="BT104" s="1922">
        <f t="shared" si="54"/>
        <v>0</v>
      </c>
      <c r="BU104" s="1922">
        <f t="shared" si="54"/>
        <v>0</v>
      </c>
      <c r="BV104" s="1922">
        <f t="shared" si="54"/>
        <v>0</v>
      </c>
      <c r="BW104" s="1922">
        <f t="shared" si="54"/>
        <v>0</v>
      </c>
      <c r="BX104" s="1922">
        <f t="shared" si="54"/>
        <v>0</v>
      </c>
      <c r="BY104" s="1922">
        <f t="shared" si="54"/>
        <v>0</v>
      </c>
      <c r="BZ104" s="1922">
        <f t="shared" si="54"/>
        <v>0</v>
      </c>
      <c r="CA104" s="1922">
        <f t="shared" si="54"/>
        <v>0</v>
      </c>
      <c r="CB104" s="1922">
        <f t="shared" ref="CB104:EU104" si="55">(CB$15&gt;$H104)*(CB$15&lt;=$I104)</f>
        <v>0</v>
      </c>
      <c r="CC104" s="1922">
        <f t="shared" si="55"/>
        <v>0</v>
      </c>
      <c r="CD104" s="1922">
        <f t="shared" si="55"/>
        <v>0</v>
      </c>
      <c r="CE104" s="1922">
        <f t="shared" si="55"/>
        <v>0</v>
      </c>
      <c r="CF104" s="1922">
        <f t="shared" si="55"/>
        <v>0</v>
      </c>
      <c r="CG104" s="1922">
        <f t="shared" si="55"/>
        <v>0</v>
      </c>
      <c r="CH104" s="1922">
        <f t="shared" si="55"/>
        <v>0</v>
      </c>
      <c r="CI104" s="1922">
        <f t="shared" si="55"/>
        <v>0</v>
      </c>
      <c r="CJ104" s="1922">
        <f t="shared" si="55"/>
        <v>0</v>
      </c>
      <c r="CK104" s="1922">
        <f t="shared" si="55"/>
        <v>0</v>
      </c>
      <c r="CL104" s="1922">
        <f t="shared" si="55"/>
        <v>0</v>
      </c>
      <c r="CM104" s="1922">
        <f t="shared" si="55"/>
        <v>0</v>
      </c>
      <c r="CN104" s="1922">
        <f t="shared" si="55"/>
        <v>0</v>
      </c>
      <c r="CO104" s="1922">
        <f t="shared" si="55"/>
        <v>0</v>
      </c>
      <c r="CP104" s="1922">
        <f t="shared" si="55"/>
        <v>0</v>
      </c>
      <c r="CQ104" s="1922">
        <f t="shared" si="55"/>
        <v>0</v>
      </c>
      <c r="CR104" s="1922">
        <f t="shared" si="55"/>
        <v>0</v>
      </c>
      <c r="CS104" s="1922">
        <f t="shared" si="55"/>
        <v>0</v>
      </c>
      <c r="CT104" s="1922">
        <f t="shared" si="55"/>
        <v>0</v>
      </c>
      <c r="CU104" s="1922">
        <f t="shared" si="55"/>
        <v>0</v>
      </c>
      <c r="CV104" s="1922">
        <f t="shared" si="55"/>
        <v>0</v>
      </c>
      <c r="CW104" s="1922">
        <f t="shared" si="55"/>
        <v>0</v>
      </c>
      <c r="CX104" s="1922">
        <f t="shared" si="55"/>
        <v>0</v>
      </c>
      <c r="CY104" s="1922">
        <f t="shared" si="55"/>
        <v>0</v>
      </c>
      <c r="CZ104" s="1922">
        <f t="shared" si="55"/>
        <v>0</v>
      </c>
      <c r="DA104" s="1922">
        <f t="shared" si="55"/>
        <v>0</v>
      </c>
      <c r="DB104" s="1922">
        <f t="shared" si="55"/>
        <v>0</v>
      </c>
      <c r="DC104" s="1922">
        <f t="shared" si="55"/>
        <v>0</v>
      </c>
      <c r="DD104" s="1922">
        <f t="shared" si="55"/>
        <v>0</v>
      </c>
      <c r="DE104" s="1922">
        <f t="shared" si="55"/>
        <v>0</v>
      </c>
      <c r="DF104" s="1922">
        <f t="shared" si="55"/>
        <v>0</v>
      </c>
      <c r="DG104" s="1922">
        <f t="shared" si="55"/>
        <v>0</v>
      </c>
      <c r="DH104" s="1922">
        <f t="shared" si="55"/>
        <v>0</v>
      </c>
      <c r="DI104" s="1922">
        <f t="shared" si="55"/>
        <v>0</v>
      </c>
      <c r="DJ104" s="1922">
        <f t="shared" si="55"/>
        <v>0</v>
      </c>
      <c r="DK104" s="1922">
        <f t="shared" si="55"/>
        <v>0</v>
      </c>
      <c r="DL104" s="1922">
        <f t="shared" si="55"/>
        <v>0</v>
      </c>
      <c r="DM104" s="1922">
        <f t="shared" si="55"/>
        <v>0</v>
      </c>
      <c r="DN104" s="1922">
        <f t="shared" si="55"/>
        <v>0</v>
      </c>
      <c r="DO104" s="1922">
        <f t="shared" si="55"/>
        <v>0</v>
      </c>
      <c r="DP104" s="1922">
        <f t="shared" si="55"/>
        <v>0</v>
      </c>
      <c r="DQ104" s="1922">
        <f t="shared" si="55"/>
        <v>0</v>
      </c>
      <c r="DR104" s="1922">
        <f t="shared" si="55"/>
        <v>0</v>
      </c>
      <c r="DS104" s="1922">
        <f t="shared" si="55"/>
        <v>0</v>
      </c>
      <c r="DT104" s="1922">
        <f t="shared" si="55"/>
        <v>0</v>
      </c>
      <c r="DU104" s="1922">
        <f t="shared" si="55"/>
        <v>0</v>
      </c>
      <c r="DV104" s="1922">
        <f t="shared" si="55"/>
        <v>0</v>
      </c>
      <c r="DW104" s="1922">
        <f t="shared" si="55"/>
        <v>0</v>
      </c>
      <c r="DX104" s="1922">
        <f t="shared" si="55"/>
        <v>0</v>
      </c>
      <c r="DY104" s="1922">
        <f t="shared" si="55"/>
        <v>0</v>
      </c>
      <c r="DZ104" s="1922">
        <f t="shared" si="55"/>
        <v>0</v>
      </c>
      <c r="EA104" s="1922">
        <f t="shared" si="55"/>
        <v>0</v>
      </c>
      <c r="EB104" s="1922">
        <f t="shared" si="55"/>
        <v>0</v>
      </c>
      <c r="EC104" s="1922">
        <f t="shared" si="55"/>
        <v>0</v>
      </c>
      <c r="ED104" s="1922">
        <f t="shared" si="55"/>
        <v>0</v>
      </c>
      <c r="EE104" s="1922">
        <f t="shared" si="55"/>
        <v>0</v>
      </c>
      <c r="EF104" s="1922">
        <f t="shared" si="55"/>
        <v>0</v>
      </c>
      <c r="EG104" s="1922">
        <f t="shared" si="55"/>
        <v>0</v>
      </c>
      <c r="EH104" s="1922">
        <f t="shared" si="55"/>
        <v>0</v>
      </c>
      <c r="EI104" s="1922">
        <f t="shared" si="55"/>
        <v>0</v>
      </c>
      <c r="EJ104" s="1922">
        <f t="shared" si="55"/>
        <v>0</v>
      </c>
      <c r="EK104" s="1922">
        <f t="shared" si="55"/>
        <v>0</v>
      </c>
      <c r="EL104" s="1922">
        <f t="shared" si="55"/>
        <v>0</v>
      </c>
      <c r="EM104" s="1922">
        <f t="shared" si="55"/>
        <v>0</v>
      </c>
      <c r="EN104" s="1922">
        <f t="shared" si="55"/>
        <v>0</v>
      </c>
      <c r="EO104" s="1922">
        <f t="shared" si="55"/>
        <v>0</v>
      </c>
      <c r="EP104" s="1922">
        <f t="shared" si="55"/>
        <v>0</v>
      </c>
      <c r="EQ104" s="1922">
        <f t="shared" si="55"/>
        <v>0</v>
      </c>
      <c r="ER104" s="1922">
        <f t="shared" si="55"/>
        <v>0</v>
      </c>
      <c r="ES104" s="1922">
        <f t="shared" si="55"/>
        <v>0</v>
      </c>
      <c r="ET104" s="1922">
        <f t="shared" si="55"/>
        <v>0</v>
      </c>
      <c r="EU104" s="1922">
        <f t="shared" si="55"/>
        <v>0</v>
      </c>
    </row>
    <row r="105" spans="1:151" s="1923" customFormat="1" ht="11.25" customHeight="1">
      <c r="A105" s="1912"/>
      <c r="B105" s="1912"/>
      <c r="C105" s="1913"/>
      <c r="D105" s="1914" t="str">
        <f t="shared" si="49"/>
        <v>B2</v>
      </c>
      <c r="E105" s="1912" t="str">
        <f t="shared" si="49"/>
        <v>쿠팡</v>
      </c>
      <c r="F105" s="1912" t="str">
        <f t="shared" si="49"/>
        <v>상온창고</v>
      </c>
      <c r="G105" s="1915"/>
      <c r="H105" s="1916"/>
      <c r="I105" s="1917"/>
      <c r="J105" s="1917"/>
      <c r="K105" s="1916">
        <f>SUMPRODUCT($P105:$EU105,Index!$L$22:$EQ$22)/('A&amp;R'!$F$37/10)</f>
        <v>0.58333333333333337</v>
      </c>
      <c r="L105" s="1918"/>
      <c r="M105" s="1919"/>
      <c r="N105" s="1920">
        <f t="shared" si="50"/>
        <v>7</v>
      </c>
      <c r="O105" s="1921"/>
      <c r="P105" s="1922"/>
      <c r="Q105" s="1922"/>
      <c r="R105" s="1922"/>
      <c r="S105" s="1922">
        <v>1</v>
      </c>
      <c r="T105" s="1922"/>
      <c r="U105" s="1922"/>
      <c r="V105" s="1922"/>
      <c r="W105" s="1922"/>
      <c r="X105" s="1922"/>
      <c r="Y105" s="1922"/>
      <c r="Z105" s="1922"/>
      <c r="AA105" s="1922"/>
      <c r="AB105" s="1922"/>
      <c r="AC105" s="1922"/>
      <c r="AD105" s="1922"/>
      <c r="AE105" s="1922">
        <v>1</v>
      </c>
      <c r="AF105" s="1922"/>
      <c r="AG105" s="1922"/>
      <c r="AH105" s="1922"/>
      <c r="AI105" s="1922"/>
      <c r="AJ105" s="1922"/>
      <c r="AK105" s="1922"/>
      <c r="AL105" s="1922"/>
      <c r="AM105" s="1922"/>
      <c r="AN105" s="1922"/>
      <c r="AO105" s="1922"/>
      <c r="AP105" s="1922"/>
      <c r="AQ105" s="1922"/>
      <c r="AR105" s="1922"/>
      <c r="AS105" s="1922"/>
      <c r="AT105" s="1922"/>
      <c r="AU105" s="1922"/>
      <c r="AV105" s="1922">
        <v>1</v>
      </c>
      <c r="AW105" s="1922">
        <v>1</v>
      </c>
      <c r="AX105" s="1922">
        <v>1</v>
      </c>
      <c r="AY105" s="1922">
        <v>1</v>
      </c>
      <c r="AZ105" s="1922">
        <v>1</v>
      </c>
      <c r="BA105" s="1922"/>
      <c r="BB105" s="1922"/>
      <c r="BC105" s="1922"/>
      <c r="BD105" s="1922"/>
      <c r="BE105" s="1922"/>
      <c r="BF105" s="1922"/>
      <c r="BG105" s="1922"/>
      <c r="BH105" s="1922"/>
      <c r="BI105" s="1922"/>
      <c r="BJ105" s="1922"/>
      <c r="BK105" s="1922"/>
      <c r="BL105" s="1922"/>
      <c r="BM105" s="1922"/>
      <c r="BN105" s="1922"/>
      <c r="BO105" s="1922"/>
      <c r="BP105" s="1922"/>
      <c r="BQ105" s="1922"/>
      <c r="BR105" s="1922"/>
      <c r="BS105" s="1922"/>
      <c r="BT105" s="1922"/>
      <c r="BU105" s="1922"/>
      <c r="BV105" s="1922"/>
      <c r="BW105" s="1922"/>
      <c r="BX105" s="1922"/>
      <c r="BY105" s="1922"/>
      <c r="BZ105" s="1922"/>
      <c r="CA105" s="1922"/>
      <c r="CB105" s="1922"/>
      <c r="CC105" s="1922"/>
      <c r="CD105" s="1922"/>
      <c r="CE105" s="1922"/>
      <c r="CF105" s="1922"/>
      <c r="CG105" s="1922"/>
      <c r="CH105" s="1922"/>
      <c r="CI105" s="1922"/>
      <c r="CJ105" s="1922"/>
      <c r="CK105" s="1922"/>
      <c r="CL105" s="1922"/>
      <c r="CM105" s="1922"/>
      <c r="CN105" s="1922"/>
      <c r="CO105" s="1922"/>
      <c r="CP105" s="1922"/>
      <c r="CQ105" s="1922"/>
      <c r="CR105" s="1922"/>
      <c r="CS105" s="1922"/>
      <c r="CT105" s="1922"/>
      <c r="CU105" s="1922"/>
      <c r="CV105" s="1922"/>
      <c r="CW105" s="1922"/>
      <c r="CX105" s="1922"/>
      <c r="CY105" s="1922"/>
      <c r="CZ105" s="1922"/>
      <c r="DA105" s="1922"/>
      <c r="DB105" s="1922"/>
      <c r="DC105" s="1922"/>
      <c r="DD105" s="1922"/>
      <c r="DE105" s="1922"/>
      <c r="DF105" s="1922"/>
      <c r="DG105" s="1922"/>
      <c r="DH105" s="1922"/>
      <c r="DI105" s="1922"/>
      <c r="DJ105" s="1922"/>
      <c r="DK105" s="1922"/>
      <c r="DL105" s="1922"/>
      <c r="DM105" s="1922"/>
      <c r="DN105" s="1922"/>
      <c r="DO105" s="1922"/>
      <c r="DP105" s="1922"/>
      <c r="DQ105" s="1922"/>
      <c r="DR105" s="1922"/>
      <c r="DS105" s="1922"/>
      <c r="DT105" s="1922"/>
      <c r="DU105" s="1922"/>
      <c r="DV105" s="1922"/>
      <c r="DW105" s="1922"/>
      <c r="DX105" s="1922"/>
      <c r="DY105" s="1922"/>
      <c r="DZ105" s="1922"/>
      <c r="EA105" s="1922"/>
      <c r="EB105" s="1922"/>
      <c r="EC105" s="1922"/>
      <c r="ED105" s="1922"/>
      <c r="EE105" s="1922"/>
      <c r="EF105" s="1922"/>
      <c r="EG105" s="1922"/>
      <c r="EH105" s="1922"/>
      <c r="EI105" s="1922"/>
      <c r="EJ105" s="1922"/>
      <c r="EK105" s="1922"/>
      <c r="EL105" s="1922"/>
      <c r="EM105" s="1922"/>
      <c r="EN105" s="1922"/>
      <c r="EO105" s="1922"/>
      <c r="EP105" s="1922"/>
      <c r="EQ105" s="1922"/>
      <c r="ER105" s="1922"/>
      <c r="ES105" s="1922"/>
      <c r="ET105" s="1922"/>
      <c r="EU105" s="1922"/>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851</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5">
        <f t="shared" ref="AV111:CA111" si="84">-SUM(AV21,AV39)*AV93</f>
        <v>-8564.8733124033188</v>
      </c>
      <c r="AW111" s="1335">
        <f t="shared" si="84"/>
        <v>-8564.8733124033188</v>
      </c>
      <c r="AX111" s="1335">
        <f t="shared" si="84"/>
        <v>-8564.8733124033188</v>
      </c>
      <c r="AY111" s="1335">
        <f t="shared" si="84"/>
        <v>-8564.8733124033188</v>
      </c>
      <c r="AZ111" s="1335">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5">
        <f t="shared" ref="AV112:CA112" si="90">-SUM(AV22,AV40)*AV94</f>
        <v>-105249.47528579296</v>
      </c>
      <c r="AW112" s="1335">
        <f t="shared" si="90"/>
        <v>-105249.47528579296</v>
      </c>
      <c r="AX112" s="1335">
        <f t="shared" si="90"/>
        <v>-105249.47528579296</v>
      </c>
      <c r="AY112" s="1335">
        <f t="shared" si="90"/>
        <v>-105249.47528579296</v>
      </c>
      <c r="AZ112" s="1335">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5">
        <f t="shared" ref="AV113:CA113" si="96">-SUM(AV23,AV41)*AV95</f>
        <v>-148522.44520422062</v>
      </c>
      <c r="AW113" s="1335">
        <f t="shared" si="96"/>
        <v>-148522.44520422062</v>
      </c>
      <c r="AX113" s="1335">
        <f t="shared" si="96"/>
        <v>-148522.44520422062</v>
      </c>
      <c r="AY113" s="1335">
        <f t="shared" si="96"/>
        <v>-148522.44520422062</v>
      </c>
      <c r="AZ113" s="1335">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5">
        <f t="shared" ref="AV114:CA114" si="102">-SUM(AV24,AV42)*AV96</f>
        <v>-148365.63202591403</v>
      </c>
      <c r="AW114" s="1335">
        <f t="shared" si="102"/>
        <v>-148365.63202591403</v>
      </c>
      <c r="AX114" s="1335">
        <f t="shared" si="102"/>
        <v>-148365.63202591403</v>
      </c>
      <c r="AY114" s="1335">
        <f t="shared" si="102"/>
        <v>-148365.63202591403</v>
      </c>
      <c r="AZ114" s="1335">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5">
        <f t="shared" ref="AV115:CA115" si="108">-SUM(AV25,AV43)*AV97</f>
        <v>-148365.63202591403</v>
      </c>
      <c r="AW115" s="1335">
        <f t="shared" si="108"/>
        <v>-148365.63202591403</v>
      </c>
      <c r="AX115" s="1335">
        <f t="shared" si="108"/>
        <v>-148365.63202591403</v>
      </c>
      <c r="AY115" s="1335">
        <f t="shared" si="108"/>
        <v>-148365.63202591403</v>
      </c>
      <c r="AZ115" s="1335">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5">
        <f t="shared" ref="AV117:CA117" si="120">-SUM(AV27,AV45)*AV99</f>
        <v>-144746.95807406248</v>
      </c>
      <c r="AW117" s="1335">
        <f t="shared" si="120"/>
        <v>-144746.95807406248</v>
      </c>
      <c r="AX117" s="1335">
        <f t="shared" si="120"/>
        <v>-144746.95807406248</v>
      </c>
      <c r="AY117" s="1335">
        <f t="shared" si="120"/>
        <v>-144746.95807406248</v>
      </c>
      <c r="AZ117" s="1335">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5">
        <f t="shared" ref="AV122:CA122" si="150">-SUM(AV32,AV50)*AV104</f>
        <v>-181819.17629343749</v>
      </c>
      <c r="AW122" s="1335">
        <f t="shared" si="150"/>
        <v>-181819.17629343749</v>
      </c>
      <c r="AX122" s="1335">
        <f t="shared" si="150"/>
        <v>-181819.17629343749</v>
      </c>
      <c r="AY122" s="1335">
        <f t="shared" si="150"/>
        <v>-181819.17629343749</v>
      </c>
      <c r="AZ122" s="1335">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6">
        <f t="shared" ref="AV123:CA123" si="156">-SUM(AV33,AV51)*AV105</f>
        <v>-176279.02632187499</v>
      </c>
      <c r="AW123" s="1336">
        <f t="shared" si="156"/>
        <v>-176279.02632187499</v>
      </c>
      <c r="AX123" s="1336">
        <f t="shared" si="156"/>
        <v>-176279.02632187499</v>
      </c>
      <c r="AY123" s="1336">
        <f t="shared" si="156"/>
        <v>-176279.02632187499</v>
      </c>
      <c r="AZ123" s="1336">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851</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851</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851</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851</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851</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800</v>
      </c>
      <c r="D214" s="729"/>
      <c r="E214" s="729"/>
      <c r="F214" s="729"/>
      <c r="G214" s="729"/>
      <c r="H214" s="729"/>
      <c r="I214" s="1261" t="s">
        <v>801</v>
      </c>
      <c r="J214" s="1261"/>
      <c r="K214" s="1261" t="s">
        <v>802</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851</v>
      </c>
      <c r="F215" s="737" t="str">
        <f>'A&amp;R'!X6</f>
        <v>태양광시설</v>
      </c>
      <c r="G215" s="751"/>
      <c r="H215" s="1262">
        <f>'A&amp;R'!AB6</f>
        <v>120</v>
      </c>
      <c r="I215" s="1264">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3">
        <f>'A&amp;R'!AB7</f>
        <v>90</v>
      </c>
      <c r="I216" s="1265">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3">
        <f>'A&amp;R'!AB8</f>
        <v>90</v>
      </c>
      <c r="I217" s="1265">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3">
        <f>'A&amp;R'!AB9</f>
        <v>60</v>
      </c>
      <c r="I218" s="1265">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3">
        <f>'A&amp;R'!AB10</f>
        <v>120</v>
      </c>
      <c r="I219" s="1265">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3">
        <f>'A&amp;R'!AB11</f>
        <v>123</v>
      </c>
      <c r="I220" s="1265">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3">
        <f>'A&amp;R'!AB12</f>
        <v>123</v>
      </c>
      <c r="I221" s="1265">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3">
        <f>'A&amp;R'!AB13</f>
        <v>123</v>
      </c>
      <c r="I222" s="1265">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3">
        <f>'A&amp;R'!AB14</f>
        <v>120</v>
      </c>
      <c r="I223" s="1265">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3">
        <f>'A&amp;R'!AB15</f>
        <v>60</v>
      </c>
      <c r="I224" s="1265">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3">
        <f>'A&amp;R'!AB16</f>
        <v>112</v>
      </c>
      <c r="I225" s="1265">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3">
        <f>'A&amp;R'!AB17</f>
        <v>120</v>
      </c>
      <c r="I226" s="1265">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3">
        <f>'A&amp;R'!AB18</f>
        <v>62</v>
      </c>
      <c r="I227" s="1265">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3">
        <f>'A&amp;R'!AB19</f>
        <v>60</v>
      </c>
      <c r="I228" s="1265">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3">
        <f>'A&amp;R'!AB20</f>
        <v>120</v>
      </c>
      <c r="I229" s="1265">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3">
        <f>'A&amp;R'!AB21</f>
        <v>109</v>
      </c>
      <c r="I230" s="1265">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7">
        <f>'A&amp;R'!AB22</f>
        <v>101</v>
      </c>
      <c r="I231" s="1266">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workbookViewId="0">
      <selection activeCell="A20" sqref="A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555</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556</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557</v>
      </c>
      <c r="C14" s="212"/>
      <c r="D14" s="212"/>
      <c r="E14" s="212"/>
      <c r="F14" s="212"/>
      <c r="G14" s="212"/>
      <c r="H14" s="213"/>
      <c r="I14" s="972"/>
      <c r="K14" s="216">
        <f ca="1">SUM(K15,K20)</f>
        <v>311756669.63053203</v>
      </c>
      <c r="L14" s="216">
        <f t="shared" ref="L14:BW14" ca="1" si="3">SUM(L15,L20)</f>
        <v>312789317.55049402</v>
      </c>
      <c r="M14" s="216">
        <f t="shared" ca="1" si="3"/>
        <v>313811318.7559185</v>
      </c>
      <c r="N14" s="216">
        <f t="shared" ca="1" si="3"/>
        <v>298630183.08006048</v>
      </c>
      <c r="O14" s="216">
        <f t="shared" ca="1" si="3"/>
        <v>299567288.78128046</v>
      </c>
      <c r="P14" s="216">
        <f t="shared" ca="1" si="3"/>
        <v>300583847.83225679</v>
      </c>
      <c r="Q14" s="216">
        <f t="shared" ca="1" si="3"/>
        <v>295296566.39706337</v>
      </c>
      <c r="R14" s="216">
        <f t="shared" ca="1" si="3"/>
        <v>296197121.80428827</v>
      </c>
      <c r="S14" s="216">
        <f t="shared" ca="1" si="3"/>
        <v>297290425.32990789</v>
      </c>
      <c r="T14" s="216">
        <f t="shared" ca="1" si="3"/>
        <v>295199586.38958269</v>
      </c>
      <c r="U14" s="216">
        <f t="shared" ca="1" si="3"/>
        <v>296293420.01963973</v>
      </c>
      <c r="V14" s="216">
        <f t="shared" ca="1" si="3"/>
        <v>297030055.78433728</v>
      </c>
      <c r="W14" s="216">
        <f t="shared" ca="1" si="3"/>
        <v>291734310.17503923</v>
      </c>
      <c r="X14" s="216">
        <f t="shared" ca="1" si="3"/>
        <v>292798913.8208006</v>
      </c>
      <c r="Y14" s="216">
        <f t="shared" ca="1" si="3"/>
        <v>293734121.19945192</v>
      </c>
      <c r="Z14" s="216">
        <f t="shared" ca="1" si="3"/>
        <v>291561676.00821757</v>
      </c>
      <c r="AA14" s="216">
        <f t="shared" ca="1" si="3"/>
        <v>292517681.414469</v>
      </c>
      <c r="AB14" s="216">
        <f t="shared" ca="1" si="3"/>
        <v>293555085.75634462</v>
      </c>
      <c r="AC14" s="216">
        <f t="shared" ca="1" si="3"/>
        <v>288835567.04853898</v>
      </c>
      <c r="AD14" s="216">
        <f t="shared" ca="1" si="3"/>
        <v>289756040.75301307</v>
      </c>
      <c r="AE14" s="216">
        <f t="shared" ca="1" si="3"/>
        <v>290874046.16698515</v>
      </c>
      <c r="AF14" s="216">
        <f t="shared" ca="1" si="3"/>
        <v>288744629.73290372</v>
      </c>
      <c r="AG14" s="216">
        <f t="shared" ca="1" si="3"/>
        <v>289863147.62032741</v>
      </c>
      <c r="AH14" s="216">
        <f t="shared" ca="1" si="3"/>
        <v>290597106.66114759</v>
      </c>
      <c r="AI14" s="216">
        <f t="shared" ca="1" si="3"/>
        <v>290870735.77772844</v>
      </c>
      <c r="AJ14" s="216">
        <f t="shared" ca="1" si="3"/>
        <v>291998436.58106124</v>
      </c>
      <c r="AK14" s="216">
        <f t="shared" ca="1" si="3"/>
        <v>292971613.51862764</v>
      </c>
      <c r="AL14" s="216">
        <f t="shared" ca="1" si="3"/>
        <v>290924177.30674839</v>
      </c>
      <c r="AM14" s="216">
        <f t="shared" ca="1" si="3"/>
        <v>292077749.26345915</v>
      </c>
      <c r="AN14" s="216">
        <f t="shared" ca="1" si="3"/>
        <v>293156012.60911131</v>
      </c>
      <c r="AO14" s="216">
        <f t="shared" ca="1" si="3"/>
        <v>288378654.18319094</v>
      </c>
      <c r="AP14" s="216">
        <f t="shared" ca="1" si="3"/>
        <v>289537228.89337838</v>
      </c>
      <c r="AQ14" s="216">
        <f t="shared" ca="1" si="3"/>
        <v>289530767.92163634</v>
      </c>
      <c r="AR14" s="216">
        <f t="shared" ca="1" si="3"/>
        <v>286405075.11905622</v>
      </c>
      <c r="AS14" s="216">
        <f t="shared" ca="1" si="3"/>
        <v>286357241.30023891</v>
      </c>
      <c r="AT14" s="216">
        <f t="shared" ca="1" si="3"/>
        <v>285995653.25764728</v>
      </c>
      <c r="AU14" s="216">
        <f t="shared" ca="1" si="3"/>
        <v>280387745.40140474</v>
      </c>
      <c r="AV14" s="216">
        <f t="shared" ca="1" si="3"/>
        <v>281561770.24582613</v>
      </c>
      <c r="AW14" s="216">
        <f t="shared" ca="1" si="3"/>
        <v>282610149.53504914</v>
      </c>
      <c r="AX14" s="216">
        <f t="shared" ca="1" si="3"/>
        <v>280639090.90251446</v>
      </c>
      <c r="AY14" s="216">
        <f t="shared" ca="1" si="3"/>
        <v>281819821.05385554</v>
      </c>
      <c r="AZ14" s="216">
        <f t="shared" ca="1" si="3"/>
        <v>282950974.46523464</v>
      </c>
      <c r="BA14" s="216">
        <f t="shared" ca="1" si="3"/>
        <v>278206863.32059926</v>
      </c>
      <c r="BB14" s="216">
        <f t="shared" ca="1" si="3"/>
        <v>279420181.5159055</v>
      </c>
      <c r="BC14" s="216">
        <f t="shared" ca="1" si="3"/>
        <v>280638542.72016251</v>
      </c>
      <c r="BD14" s="216">
        <f t="shared" ca="1" si="3"/>
        <v>278476942.37559849</v>
      </c>
      <c r="BE14" s="216">
        <f t="shared" ca="1" si="3"/>
        <v>279698542.48604697</v>
      </c>
      <c r="BF14" s="216">
        <f t="shared" ca="1" si="3"/>
        <v>280547453.06615508</v>
      </c>
      <c r="BG14" s="216">
        <f t="shared" ca="1" si="3"/>
        <v>275837079.00478047</v>
      </c>
      <c r="BH14" s="216">
        <f t="shared" ca="1" si="3"/>
        <v>277053850.45752573</v>
      </c>
      <c r="BI14" s="216">
        <f t="shared" ca="1" si="3"/>
        <v>278142535.32278877</v>
      </c>
      <c r="BJ14" s="216">
        <f t="shared" ca="1" si="3"/>
        <v>276208478.96457833</v>
      </c>
      <c r="BK14" s="216">
        <f t="shared" ca="1" si="3"/>
        <v>277453538.41148013</v>
      </c>
      <c r="BL14" s="216">
        <f t="shared" ca="1" si="3"/>
        <v>278619518.22061062</v>
      </c>
      <c r="BM14" s="216">
        <f t="shared" ca="1" si="3"/>
        <v>273919091.6704734</v>
      </c>
      <c r="BN14" s="216">
        <f t="shared" ca="1" si="3"/>
        <v>275170363.39961708</v>
      </c>
      <c r="BO14" s="216">
        <f t="shared" ca="1" si="3"/>
        <v>276426226.98156309</v>
      </c>
      <c r="BP14" s="216">
        <f t="shared" ca="1" si="3"/>
        <v>274286958.11537218</v>
      </c>
      <c r="BQ14" s="216">
        <f t="shared" ca="1" si="3"/>
        <v>275546314.40595889</v>
      </c>
      <c r="BR14" s="216">
        <f t="shared" ca="1" si="3"/>
        <v>276438745.80169922</v>
      </c>
      <c r="BS14" s="216">
        <f t="shared" ca="1" si="3"/>
        <v>271867918.28400582</v>
      </c>
      <c r="BT14" s="216">
        <f t="shared" ca="1" si="3"/>
        <v>273123034.95074862</v>
      </c>
      <c r="BU14" s="216">
        <f t="shared" ca="1" si="3"/>
        <v>274247635.87395668</v>
      </c>
      <c r="BV14" s="216">
        <f t="shared" ca="1" si="3"/>
        <v>272501234.14013499</v>
      </c>
      <c r="BW14" s="216">
        <f t="shared" ca="1" si="3"/>
        <v>273786084.0267064</v>
      </c>
      <c r="BX14" s="216">
        <f t="shared" ref="BX14:DO14" ca="1" si="4">SUM(BX15,BX20)</f>
        <v>274989875.5885902</v>
      </c>
      <c r="BY14" s="216">
        <f t="shared" ca="1" si="4"/>
        <v>270494640.22750413</v>
      </c>
      <c r="BZ14" s="216">
        <f t="shared" ca="1" si="4"/>
        <v>271786768.55438381</v>
      </c>
      <c r="CA14" s="216">
        <f t="shared" ca="1" si="4"/>
        <v>273083604.49106258</v>
      </c>
      <c r="CB14" s="216">
        <f t="shared" ca="1" si="4"/>
        <v>271129537.11401039</v>
      </c>
      <c r="CC14" s="216">
        <f t="shared" ca="1" si="4"/>
        <v>272430615.49510193</v>
      </c>
      <c r="CD14" s="216">
        <f t="shared" ca="1" si="4"/>
        <v>273370460.367612</v>
      </c>
      <c r="CE14" s="216">
        <f t="shared" ca="1" si="4"/>
        <v>268706955.94991291</v>
      </c>
      <c r="CF14" s="216">
        <f t="shared" ca="1" si="4"/>
        <v>270003729.56878877</v>
      </c>
      <c r="CG14" s="216">
        <f t="shared" ca="1" si="4"/>
        <v>271167516.50205898</v>
      </c>
      <c r="CH14" s="216">
        <f t="shared" ca="1" si="4"/>
        <v>269452082.37444556</v>
      </c>
      <c r="CI14" s="216">
        <f t="shared" ca="1" si="4"/>
        <v>270779612.35573334</v>
      </c>
      <c r="CJ14" s="216">
        <f t="shared" ca="1" si="4"/>
        <v>272024061.5219906</v>
      </c>
      <c r="CK14" s="216">
        <f t="shared" ca="1" si="4"/>
        <v>267521972.61267626</v>
      </c>
      <c r="CL14" s="216">
        <f t="shared" ca="1" si="4"/>
        <v>268857251.90159953</v>
      </c>
      <c r="CM14" s="216">
        <f t="shared" ca="1" si="4"/>
        <v>270197361.30098456</v>
      </c>
      <c r="CN14" s="216">
        <f t="shared" ca="1" si="4"/>
        <v>268270684.57628551</v>
      </c>
      <c r="CO14" s="216">
        <f t="shared" ca="1" si="4"/>
        <v>269615335.18809259</v>
      </c>
      <c r="CP14" s="216">
        <f t="shared" ca="1" si="4"/>
        <v>270604365.52902186</v>
      </c>
      <c r="CQ14" s="216">
        <f t="shared" ca="1" si="4"/>
        <v>266141533.69144964</v>
      </c>
      <c r="CR14" s="216">
        <f t="shared" ca="1" si="4"/>
        <v>267482680.7743549</v>
      </c>
      <c r="CS14" s="216">
        <f t="shared" ca="1" si="4"/>
        <v>268688325.72944677</v>
      </c>
      <c r="CT14" s="216">
        <f t="shared" ca="1" si="4"/>
        <v>267006316.81536758</v>
      </c>
      <c r="CU14" s="216">
        <f t="shared" ca="1" si="4"/>
        <v>268379282.43095416</v>
      </c>
      <c r="CV14" s="216">
        <f t="shared" ca="1" si="4"/>
        <v>269667099.23812741</v>
      </c>
      <c r="CW14" s="216">
        <f t="shared" ca="1" si="4"/>
        <v>265197528.65246394</v>
      </c>
      <c r="CX14" s="216">
        <f t="shared" ca="1" si="4"/>
        <v>265938192.55476028</v>
      </c>
      <c r="CY14" s="216">
        <f t="shared" ca="1" si="4"/>
        <v>267281925.69285923</v>
      </c>
      <c r="CZ14" s="216">
        <f t="shared" ca="1" si="4"/>
        <v>265353544.31808773</v>
      </c>
      <c r="DA14" s="216">
        <f t="shared" ca="1" si="4"/>
        <v>266624708.13148734</v>
      </c>
      <c r="DB14" s="216">
        <f t="shared" ca="1" si="4"/>
        <v>267622805.12931472</v>
      </c>
      <c r="DC14" s="216">
        <f t="shared" ca="1" si="4"/>
        <v>263162104.49764258</v>
      </c>
      <c r="DD14" s="216">
        <f t="shared" ca="1" si="4"/>
        <v>264506984.43699411</v>
      </c>
      <c r="DE14" s="216">
        <f t="shared" ca="1" si="4"/>
        <v>265713463.5107235</v>
      </c>
      <c r="DF14" s="216">
        <f t="shared" ca="1" si="4"/>
        <v>264016826.83675775</v>
      </c>
      <c r="DG14" s="216">
        <f t="shared" ca="1" si="4"/>
        <v>265351704.0149799</v>
      </c>
      <c r="DH14" s="216">
        <f t="shared" ca="1" si="4"/>
        <v>266733608.25498867</v>
      </c>
      <c r="DI14" s="216">
        <f t="shared" ca="1" si="4"/>
        <v>262268017.84590566</v>
      </c>
      <c r="DJ14" s="216">
        <f t="shared" ca="1" si="4"/>
        <v>263653014.74708694</v>
      </c>
      <c r="DK14" s="216">
        <f t="shared" ca="1" si="4"/>
        <v>265043611.9758217</v>
      </c>
      <c r="DL14" s="216">
        <f t="shared" ca="1" si="4"/>
        <v>263145587.49486601</v>
      </c>
      <c r="DM14" s="216">
        <f t="shared" ca="1" si="4"/>
        <v>264541171.75266495</v>
      </c>
      <c r="DN14" s="216">
        <f t="shared" ca="1" si="4"/>
        <v>265592010.95727274</v>
      </c>
      <c r="DO14" s="216">
        <f t="shared" ca="1" si="4"/>
        <v>261166096.19662091</v>
      </c>
      <c r="DP14" s="216">
        <f t="shared" ref="DP14:EP14" ca="1" si="5">SUM(DP15,DP20)</f>
        <v>262558598.8690238</v>
      </c>
      <c r="DQ14" s="216">
        <f t="shared" ca="1" si="5"/>
        <v>263810081.56757981</v>
      </c>
      <c r="DR14" s="216">
        <f t="shared" ca="1" si="5"/>
        <v>262167272.70570424</v>
      </c>
      <c r="DS14" s="216">
        <f t="shared" ca="1" si="5"/>
        <v>263592593.04677981</v>
      </c>
      <c r="DT14" s="216">
        <f t="shared" ca="1" si="5"/>
        <v>265022996.34625402</v>
      </c>
      <c r="DU14" s="216">
        <f t="shared" ca="1" si="5"/>
        <v>260624616.25290397</v>
      </c>
      <c r="DV14" s="216">
        <f t="shared" ca="1" si="5"/>
        <v>262059356.10793698</v>
      </c>
      <c r="DW14" s="216">
        <f t="shared" ca="1" si="5"/>
        <v>263499206.39495105</v>
      </c>
      <c r="DX14" s="216">
        <f t="shared" ca="1" si="5"/>
        <v>261633689.55032903</v>
      </c>
      <c r="DY14" s="216">
        <f t="shared" ca="1" si="5"/>
        <v>263078844.53530496</v>
      </c>
      <c r="DZ14" s="216">
        <f t="shared" ca="1" si="5"/>
        <v>264184642.00666103</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558</v>
      </c>
      <c r="D15" s="159"/>
      <c r="E15" s="159"/>
      <c r="F15" s="159"/>
      <c r="G15" s="159"/>
      <c r="H15" s="160"/>
      <c r="I15" s="973"/>
      <c r="J15" s="98"/>
      <c r="K15" s="162">
        <f ca="1">SUM(K16:K19)</f>
        <v>22856669.630531996</v>
      </c>
      <c r="L15" s="162">
        <f t="shared" ref="L15:BW15" ca="1" si="6">SUM(L16:L19)</f>
        <v>24174124.800493989</v>
      </c>
      <c r="M15" s="162">
        <f t="shared" ca="1" si="6"/>
        <v>25480933.255918514</v>
      </c>
      <c r="N15" s="162">
        <f t="shared" ca="1" si="6"/>
        <v>10584604.830060478</v>
      </c>
      <c r="O15" s="162">
        <f t="shared" ca="1" si="6"/>
        <v>11806517.781280434</v>
      </c>
      <c r="P15" s="162">
        <f t="shared" ca="1" si="6"/>
        <v>13107884.0822568</v>
      </c>
      <c r="Q15" s="162">
        <f t="shared" ca="1" si="6"/>
        <v>8105409.897063354</v>
      </c>
      <c r="R15" s="162">
        <f t="shared" ca="1" si="6"/>
        <v>9290772.5542882532</v>
      </c>
      <c r="S15" s="162">
        <f t="shared" ca="1" si="6"/>
        <v>10668883.329907915</v>
      </c>
      <c r="T15" s="162">
        <f t="shared" ca="1" si="6"/>
        <v>8862851.6395826936</v>
      </c>
      <c r="U15" s="162">
        <f t="shared" ca="1" si="6"/>
        <v>10241492.519639714</v>
      </c>
      <c r="V15" s="162">
        <f t="shared" ca="1" si="6"/>
        <v>11262935.534337252</v>
      </c>
      <c r="W15" s="162">
        <f t="shared" ca="1" si="6"/>
        <v>6251997.1750392094</v>
      </c>
      <c r="X15" s="162">
        <f t="shared" ca="1" si="6"/>
        <v>7601408.070800609</v>
      </c>
      <c r="Y15" s="162">
        <f t="shared" ca="1" si="6"/>
        <v>8821422.6994518954</v>
      </c>
      <c r="Z15" s="162">
        <f t="shared" ca="1" si="6"/>
        <v>6933784.758217603</v>
      </c>
      <c r="AA15" s="162">
        <f t="shared" ca="1" si="6"/>
        <v>8174597.4144689953</v>
      </c>
      <c r="AB15" s="162">
        <f t="shared" ca="1" si="6"/>
        <v>9496809.0063445903</v>
      </c>
      <c r="AC15" s="162">
        <f t="shared" ca="1" si="6"/>
        <v>5062097.5485390071</v>
      </c>
      <c r="AD15" s="162">
        <f t="shared" ca="1" si="6"/>
        <v>6267378.5030130493</v>
      </c>
      <c r="AE15" s="162">
        <f t="shared" ca="1" si="6"/>
        <v>7670191.1669851756</v>
      </c>
      <c r="AF15" s="162">
        <f t="shared" ca="1" si="6"/>
        <v>5825581.9829037478</v>
      </c>
      <c r="AG15" s="162">
        <f t="shared" ca="1" si="6"/>
        <v>7228907.1203273935</v>
      </c>
      <c r="AH15" s="162">
        <f t="shared" ca="1" si="6"/>
        <v>8247673.4111476243</v>
      </c>
      <c r="AI15" s="162">
        <f t="shared" ca="1" si="6"/>
        <v>8806109.7777284477</v>
      </c>
      <c r="AJ15" s="162">
        <f t="shared" ca="1" si="6"/>
        <v>10218617.831061274</v>
      </c>
      <c r="AK15" s="162">
        <f t="shared" ca="1" si="6"/>
        <v>11476602.018627653</v>
      </c>
      <c r="AL15" s="162">
        <f t="shared" ca="1" si="6"/>
        <v>9713973.0567483734</v>
      </c>
      <c r="AM15" s="162">
        <f t="shared" ca="1" si="6"/>
        <v>11152352.263459153</v>
      </c>
      <c r="AN15" s="162">
        <f t="shared" ca="1" si="6"/>
        <v>12515422.859111292</v>
      </c>
      <c r="AO15" s="162">
        <f t="shared" ca="1" si="6"/>
        <v>8022871.6831909176</v>
      </c>
      <c r="AP15" s="162">
        <f t="shared" ca="1" si="6"/>
        <v>9466253.643378377</v>
      </c>
      <c r="AQ15" s="162">
        <f t="shared" ca="1" si="6"/>
        <v>9744599.9216363709</v>
      </c>
      <c r="AR15" s="162">
        <f t="shared" ca="1" si="6"/>
        <v>6903714.3690562518</v>
      </c>
      <c r="AS15" s="162">
        <f t="shared" ca="1" si="6"/>
        <v>7140687.8002389045</v>
      </c>
      <c r="AT15" s="162">
        <f t="shared" ca="1" si="6"/>
        <v>7063907.0076472973</v>
      </c>
      <c r="AU15" s="162">
        <f t="shared" ca="1" si="6"/>
        <v>1740806.401404755</v>
      </c>
      <c r="AV15" s="162">
        <f t="shared" ca="1" si="6"/>
        <v>3199638.4958261158</v>
      </c>
      <c r="AW15" s="162">
        <f t="shared" ca="1" si="6"/>
        <v>4532825.0350491302</v>
      </c>
      <c r="AX15" s="162">
        <f t="shared" ca="1" si="6"/>
        <v>2846573.6525144335</v>
      </c>
      <c r="AY15" s="162">
        <f t="shared" ca="1" si="6"/>
        <v>4312111.0538555291</v>
      </c>
      <c r="AZ15" s="162">
        <f t="shared" ca="1" si="6"/>
        <v>5728071.7152346494</v>
      </c>
      <c r="BA15" s="162">
        <f t="shared" ca="1" si="6"/>
        <v>1268767.8205992421</v>
      </c>
      <c r="BB15" s="162">
        <f t="shared" ca="1" si="6"/>
        <v>2766893.2659054804</v>
      </c>
      <c r="BC15" s="162">
        <f t="shared" ca="1" si="6"/>
        <v>4270061.720162536</v>
      </c>
      <c r="BD15" s="162">
        <f t="shared" ca="1" si="6"/>
        <v>2393268.6255984688</v>
      </c>
      <c r="BE15" s="162">
        <f t="shared" ca="1" si="6"/>
        <v>3899675.9860469722</v>
      </c>
      <c r="BF15" s="162">
        <f t="shared" ca="1" si="6"/>
        <v>5033393.8161550583</v>
      </c>
      <c r="BG15" s="162">
        <f t="shared" ca="1" si="6"/>
        <v>607827.0047804463</v>
      </c>
      <c r="BH15" s="162">
        <f t="shared" ca="1" si="6"/>
        <v>2109405.7075257497</v>
      </c>
      <c r="BI15" s="162">
        <f t="shared" ca="1" si="6"/>
        <v>3482897.8227887456</v>
      </c>
      <c r="BJ15" s="162">
        <f t="shared" ca="1" si="6"/>
        <v>1833648.7145783093</v>
      </c>
      <c r="BK15" s="162">
        <f t="shared" ca="1" si="6"/>
        <v>3363515.4114801423</v>
      </c>
      <c r="BL15" s="162">
        <f t="shared" ca="1" si="6"/>
        <v>4814302.4706106381</v>
      </c>
      <c r="BM15" s="162">
        <f t="shared" ca="1" si="6"/>
        <v>398683.17047339317</v>
      </c>
      <c r="BN15" s="162">
        <f t="shared" ca="1" si="6"/>
        <v>1934762.1496170899</v>
      </c>
      <c r="BO15" s="162">
        <f t="shared" ca="1" si="6"/>
        <v>3475432.9815630941</v>
      </c>
      <c r="BP15" s="162">
        <f t="shared" ca="1" si="6"/>
        <v>1620971.3653722082</v>
      </c>
      <c r="BQ15" s="162">
        <f t="shared" ca="1" si="6"/>
        <v>3165134.9059589128</v>
      </c>
      <c r="BR15" s="162">
        <f t="shared" ca="1" si="6"/>
        <v>4342373.5516991969</v>
      </c>
      <c r="BS15" s="162">
        <f t="shared" ca="1" si="6"/>
        <v>56353.284005817288</v>
      </c>
      <c r="BT15" s="162">
        <f t="shared" ca="1" si="6"/>
        <v>1596277.2007486071</v>
      </c>
      <c r="BU15" s="162">
        <f t="shared" ca="1" si="6"/>
        <v>3005685.3739566952</v>
      </c>
      <c r="BV15" s="162">
        <f t="shared" ca="1" si="6"/>
        <v>1544090.890134996</v>
      </c>
      <c r="BW15" s="162">
        <f t="shared" ca="1" si="6"/>
        <v>3113748.0267064078</v>
      </c>
      <c r="BX15" s="162">
        <f t="shared" ref="BX15:DO15" ca="1" si="7">SUM(BX16:BX19)</f>
        <v>4602346.8385901777</v>
      </c>
      <c r="BY15" s="162">
        <f t="shared" ca="1" si="7"/>
        <v>391918.72750415769</v>
      </c>
      <c r="BZ15" s="162">
        <f t="shared" ca="1" si="7"/>
        <v>1968854.3043838136</v>
      </c>
      <c r="CA15" s="162">
        <f t="shared" ca="1" si="7"/>
        <v>3550497.4910625936</v>
      </c>
      <c r="CB15" s="162">
        <f t="shared" ca="1" si="7"/>
        <v>1881237.364010405</v>
      </c>
      <c r="CC15" s="162">
        <f t="shared" ca="1" si="7"/>
        <v>3467122.9951019129</v>
      </c>
      <c r="CD15" s="162">
        <f t="shared" ca="1" si="7"/>
        <v>4691775.1176120201</v>
      </c>
      <c r="CE15" s="162">
        <f t="shared" ca="1" si="7"/>
        <v>313077.94991290796</v>
      </c>
      <c r="CF15" s="162">
        <f t="shared" ca="1" si="7"/>
        <v>1894658.8187887534</v>
      </c>
      <c r="CG15" s="162">
        <f t="shared" ca="1" si="7"/>
        <v>3343253.0020590127</v>
      </c>
      <c r="CH15" s="162">
        <f t="shared" ca="1" si="7"/>
        <v>1912626.1244455473</v>
      </c>
      <c r="CI15" s="162">
        <f t="shared" ca="1" si="7"/>
        <v>3524963.3557333555</v>
      </c>
      <c r="CJ15" s="162">
        <f t="shared" ca="1" si="7"/>
        <v>5054219.7719905842</v>
      </c>
      <c r="CK15" s="162">
        <f t="shared" ca="1" si="7"/>
        <v>836938.11267627287</v>
      </c>
      <c r="CL15" s="162">
        <f t="shared" ca="1" si="7"/>
        <v>2457024.651599518</v>
      </c>
      <c r="CM15" s="162">
        <f t="shared" ca="1" si="7"/>
        <v>4081941.3009845498</v>
      </c>
      <c r="CN15" s="162">
        <f t="shared" ca="1" si="7"/>
        <v>2440071.8262855103</v>
      </c>
      <c r="CO15" s="162">
        <f t="shared" ca="1" si="7"/>
        <v>4069529.6880926127</v>
      </c>
      <c r="CP15" s="162">
        <f t="shared" ca="1" si="7"/>
        <v>5343367.2790218517</v>
      </c>
      <c r="CQ15" s="162">
        <f t="shared" ca="1" si="7"/>
        <v>1165342.6914496538</v>
      </c>
      <c r="CR15" s="162">
        <f t="shared" ca="1" si="7"/>
        <v>2791297.0243549133</v>
      </c>
      <c r="CS15" s="162">
        <f t="shared" ca="1" si="7"/>
        <v>4281749.2294467678</v>
      </c>
      <c r="CT15" s="162">
        <f t="shared" ca="1" si="7"/>
        <v>2884547.5653675687</v>
      </c>
      <c r="CU15" s="162">
        <f t="shared" ca="1" si="7"/>
        <v>4542320.4309541536</v>
      </c>
      <c r="CV15" s="162">
        <f t="shared" ca="1" si="7"/>
        <v>6114944.4881273843</v>
      </c>
      <c r="CW15" s="162">
        <f t="shared" ca="1" si="7"/>
        <v>1930181.1524639376</v>
      </c>
      <c r="CX15" s="162">
        <f t="shared" ca="1" si="7"/>
        <v>2955652.3047602712</v>
      </c>
      <c r="CY15" s="162">
        <f t="shared" ca="1" si="7"/>
        <v>4584192.6928592296</v>
      </c>
      <c r="CZ15" s="162">
        <f t="shared" ca="1" si="7"/>
        <v>2940618.5680877259</v>
      </c>
      <c r="DA15" s="162">
        <f t="shared" ca="1" si="7"/>
        <v>4496589.6314873369</v>
      </c>
      <c r="DB15" s="162">
        <f t="shared" ca="1" si="7"/>
        <v>5779493.8793147253</v>
      </c>
      <c r="DC15" s="162">
        <f t="shared" ca="1" si="7"/>
        <v>1603600.497642589</v>
      </c>
      <c r="DD15" s="162">
        <f t="shared" ca="1" si="7"/>
        <v>3233287.6869941046</v>
      </c>
      <c r="DE15" s="162">
        <f t="shared" ca="1" si="7"/>
        <v>4724574.010723508</v>
      </c>
      <c r="DF15" s="162">
        <f t="shared" ca="1" si="7"/>
        <v>3312744.5867577437</v>
      </c>
      <c r="DG15" s="162">
        <f t="shared" ca="1" si="7"/>
        <v>4932429.0149798971</v>
      </c>
      <c r="DH15" s="162">
        <f t="shared" ca="1" si="7"/>
        <v>6599140.5049886657</v>
      </c>
      <c r="DI15" s="162">
        <f t="shared" ca="1" si="7"/>
        <v>2418357.3459056634</v>
      </c>
      <c r="DJ15" s="162">
        <f t="shared" ca="1" si="7"/>
        <v>4088161.4970869347</v>
      </c>
      <c r="DK15" s="162">
        <f t="shared" ca="1" si="7"/>
        <v>5763565.9758217148</v>
      </c>
      <c r="DL15" s="162">
        <f t="shared" ca="1" si="7"/>
        <v>4150348.7448660224</v>
      </c>
      <c r="DM15" s="162">
        <f t="shared" ca="1" si="7"/>
        <v>5830740.2526649581</v>
      </c>
      <c r="DN15" s="162">
        <f t="shared" ca="1" si="7"/>
        <v>7166386.7072727252</v>
      </c>
      <c r="DO15" s="162">
        <f t="shared" ca="1" si="7"/>
        <v>3025279.1966209156</v>
      </c>
      <c r="DP15" s="162">
        <f t="shared" ref="DP15:EP15" ca="1" si="8">SUM(DP16:DP19)</f>
        <v>4702589.1190238055</v>
      </c>
      <c r="DQ15" s="162">
        <f t="shared" ca="1" si="8"/>
        <v>6238879.0675798105</v>
      </c>
      <c r="DR15" s="162">
        <f t="shared" ca="1" si="8"/>
        <v>4880877.4557042513</v>
      </c>
      <c r="DS15" s="162">
        <f t="shared" ca="1" si="8"/>
        <v>6591005.0467798198</v>
      </c>
      <c r="DT15" s="162">
        <f t="shared" ca="1" si="8"/>
        <v>8306215.5962540312</v>
      </c>
      <c r="DU15" s="162">
        <f t="shared" ca="1" si="8"/>
        <v>4192642.7529039625</v>
      </c>
      <c r="DV15" s="162">
        <f t="shared" ca="1" si="8"/>
        <v>5912189.8579369932</v>
      </c>
      <c r="DW15" s="162">
        <f t="shared" ca="1" si="8"/>
        <v>7636847.3949510437</v>
      </c>
      <c r="DX15" s="162">
        <f t="shared" ca="1" si="8"/>
        <v>6056137.8003290398</v>
      </c>
      <c r="DY15" s="162">
        <f t="shared" ca="1" si="8"/>
        <v>7786100.0353049673</v>
      </c>
      <c r="DZ15" s="162">
        <f t="shared" ca="1" si="8"/>
        <v>9176704.7566610184</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559</v>
      </c>
      <c r="E16" s="165"/>
      <c r="F16" s="165"/>
      <c r="G16" s="165"/>
      <c r="H16" s="166"/>
      <c r="I16" s="974"/>
      <c r="J16" s="98"/>
      <c r="K16" s="168">
        <f ca="1">'CF(M)'!L122</f>
        <v>10000000</v>
      </c>
      <c r="L16" s="168">
        <f ca="1">'CF(M)'!M122</f>
        <v>10617214.70108342</v>
      </c>
      <c r="M16" s="168">
        <f ca="1">'CF(M)'!N122</f>
        <v>11967154.724629374</v>
      </c>
      <c r="N16" s="168">
        <f ca="1">'CF(M)'!O122</f>
        <v>10027891.305060478</v>
      </c>
      <c r="O16" s="168">
        <f ca="1">'CF(M)'!P122</f>
        <v>11292935.824401861</v>
      </c>
      <c r="P16" s="168">
        <f ca="1">'CF(M)'!Q122</f>
        <v>12637433.693499656</v>
      </c>
      <c r="Q16" s="168">
        <f ca="1">'CF(M)'!R122</f>
        <v>7678091.0764276385</v>
      </c>
      <c r="R16" s="168">
        <f ca="1">'CF(M)'!S122</f>
        <v>8906585.3017739672</v>
      </c>
      <c r="S16" s="168">
        <f ca="1">'CF(M)'!T122</f>
        <v>10327827.645515056</v>
      </c>
      <c r="T16" s="168">
        <f ca="1">'CF(M)'!U122</f>
        <v>8677280.4645826928</v>
      </c>
      <c r="U16" s="168">
        <f ca="1">'CF(M)'!V122</f>
        <v>10099052.912761141</v>
      </c>
      <c r="V16" s="168">
        <f ca="1">'CF(M)'!W122</f>
        <v>11163627.495580109</v>
      </c>
      <c r="W16" s="168">
        <f ca="1">'CF(M)'!X122</f>
        <v>6195820.7044034936</v>
      </c>
      <c r="X16" s="168">
        <f ca="1">'CF(M)'!Y122</f>
        <v>6859679.8698555622</v>
      </c>
      <c r="Y16" s="168">
        <f ca="1">'CF(M)'!Z122</f>
        <v>8121581.774197517</v>
      </c>
      <c r="Z16" s="168">
        <f ca="1">'CF(M)'!AA122</f>
        <v>6388205.5037176032</v>
      </c>
      <c r="AA16" s="168">
        <f ca="1">'CF(M)'!AB122</f>
        <v>7670905.4356596638</v>
      </c>
      <c r="AB16" s="168">
        <f ca="1">'CF(M)'!AC122</f>
        <v>9035004.3032259289</v>
      </c>
      <c r="AC16" s="168">
        <f ca="1">'CF(M)'!AD122</f>
        <v>4642180.121111013</v>
      </c>
      <c r="AD16" s="168">
        <f ca="1">'CF(M)'!AE122</f>
        <v>5889348.3512757234</v>
      </c>
      <c r="AE16" s="168">
        <f ca="1">'CF(M)'!AF122</f>
        <v>7334048.2909385189</v>
      </c>
      <c r="AF16" s="168">
        <f ca="1">'CF(M)'!AG122</f>
        <v>5643722.2314037476</v>
      </c>
      <c r="AG16" s="168">
        <f ca="1">'CF(M)'!AH122</f>
        <v>7088934.6445180625</v>
      </c>
      <c r="AH16" s="168">
        <f ca="1">'CF(M)'!AI122</f>
        <v>8149588.2110289605</v>
      </c>
      <c r="AI16" s="168">
        <f ca="1">'CF(M)'!AJ122</f>
        <v>8749911.8533004541</v>
      </c>
      <c r="AJ16" s="168">
        <f ca="1">'CF(M)'!AK122</f>
        <v>9490192.3527465742</v>
      </c>
      <c r="AK16" s="168">
        <f ca="1">'CF(M)'!AL122</f>
        <v>10788839.212306246</v>
      </c>
      <c r="AL16" s="168">
        <f ca="1">'CF(M)'!AM122</f>
        <v>9179305.3873383738</v>
      </c>
      <c r="AM16" s="168">
        <f ca="1">'CF(M)'!AN122</f>
        <v>10658347.266042447</v>
      </c>
      <c r="AN16" s="168">
        <f ca="1">'CF(M)'!AO122</f>
        <v>12062080.53368788</v>
      </c>
      <c r="AO16" s="168">
        <f ca="1">'CF(M)'!AP122</f>
        <v>7610192.0297607984</v>
      </c>
      <c r="AP16" s="168">
        <f ca="1">'CF(M)'!AQ122</f>
        <v>9094236.6619415507</v>
      </c>
      <c r="AQ16" s="168">
        <f ca="1">'CF(M)'!AR122</f>
        <v>9413245.6121928412</v>
      </c>
      <c r="AR16" s="168">
        <f ca="1">'CF(M)'!AS122</f>
        <v>6725491.8125862516</v>
      </c>
      <c r="AS16" s="168">
        <f ca="1">'CF(M)'!AT122</f>
        <v>6996288.0765099823</v>
      </c>
      <c r="AT16" s="168">
        <f ca="1">'CF(M)'!AU122</f>
        <v>6960169.955911668</v>
      </c>
      <c r="AU16" s="168">
        <f ca="1">'CF(M)'!AV122</f>
        <v>1677732.0216624197</v>
      </c>
      <c r="AV16" s="168">
        <f ca="1">'CF(M)'!AW122</f>
        <v>2477388.9553462113</v>
      </c>
      <c r="AW16" s="168">
        <f ca="1">'CF(M)'!AX122</f>
        <v>3850032.7551940577</v>
      </c>
      <c r="AX16" s="168">
        <f ca="1">'CF(M)'!AY122</f>
        <v>2322599.3364926334</v>
      </c>
      <c r="AY16" s="168">
        <f ca="1">'CF(M)'!AZ122</f>
        <v>3824828.5181042301</v>
      </c>
      <c r="AZ16" s="168">
        <f ca="1">'CF(M)'!BA122</f>
        <v>5280246.4401081819</v>
      </c>
      <c r="BA16" s="168">
        <f ca="1">'CF(M)'!BB122</f>
        <v>860399.8060976062</v>
      </c>
      <c r="BB16" s="168">
        <f ca="1">'CF(M)'!BC122</f>
        <v>2397926.6564649516</v>
      </c>
      <c r="BC16" s="168">
        <f ca="1">'CF(M)'!BD122</f>
        <v>3940552.3713468378</v>
      </c>
      <c r="BD16" s="168">
        <f ca="1">'CF(M)'!BE122</f>
        <v>2218610.5202578688</v>
      </c>
      <c r="BE16" s="168">
        <f ca="1">'CF(M)'!BF122</f>
        <v>3764475.1413312042</v>
      </c>
      <c r="BF16" s="168">
        <f ca="1">'CF(M)'!BG122</f>
        <v>4937650.2320641214</v>
      </c>
      <c r="BG16" s="168">
        <f ca="1">'CF(M)'!BH122</f>
        <v>551540.68131434079</v>
      </c>
      <c r="BH16" s="168">
        <f ca="1">'CF(M)'!BI122</f>
        <v>1406730.1642004822</v>
      </c>
      <c r="BI16" s="168">
        <f ca="1">'CF(M)'!BJ122</f>
        <v>2818492.832539469</v>
      </c>
      <c r="BJ16" s="168">
        <f ca="1">'CF(M)'!BK122</f>
        <v>1320153.8848769455</v>
      </c>
      <c r="BK16" s="168">
        <f ca="1">'CF(M)'!BL122</f>
        <v>2888291.1348547684</v>
      </c>
      <c r="BL16" s="168">
        <f ca="1">'CF(M)'!BM122</f>
        <v>4377348.7470612545</v>
      </c>
      <c r="BM16" s="168">
        <f ca="1">'CF(M)'!BN122</f>
        <v>0</v>
      </c>
      <c r="BN16" s="168">
        <f ca="1">'CF(M)'!BO122</f>
        <v>1574349.532219687</v>
      </c>
      <c r="BO16" s="168">
        <f ca="1">'CF(M)'!BP122</f>
        <v>3153290.9172416814</v>
      </c>
      <c r="BP16" s="168">
        <f ca="1">'CF(M)'!BQ122</f>
        <v>1449806.4221384202</v>
      </c>
      <c r="BQ16" s="168">
        <f ca="1">'CF(M)'!BR122</f>
        <v>3032240.515801115</v>
      </c>
      <c r="BR16" s="168">
        <f ca="1">'CF(M)'!BS122</f>
        <v>4247749.7146173893</v>
      </c>
      <c r="BS16" s="168">
        <f ca="1">'CF(M)'!BT122</f>
        <v>0</v>
      </c>
      <c r="BT16" s="168">
        <f ca="1">'CF(M)'!BU122</f>
        <v>906059.40780073369</v>
      </c>
      <c r="BU16" s="168">
        <f ca="1">'CF(M)'!BV122</f>
        <v>2352569.6495432151</v>
      </c>
      <c r="BV16" s="168">
        <f ca="1">'CF(M)'!BW122</f>
        <v>1040865.9570276593</v>
      </c>
      <c r="BW16" s="168">
        <f ca="1">'CF(M)'!BX122</f>
        <v>2647625.1621334641</v>
      </c>
      <c r="BX16" s="168">
        <f ca="1">'CF(M)'!BY122</f>
        <v>4173326.0425516274</v>
      </c>
      <c r="BY16" s="168">
        <f ca="1">'CF(M)'!BZ122</f>
        <v>0</v>
      </c>
      <c r="BZ16" s="168">
        <f ca="1">'CF(M)'!CA122</f>
        <v>1614037.6454140488</v>
      </c>
      <c r="CA16" s="168">
        <f ca="1">'CF(M)'!CB122</f>
        <v>3232782.9006272219</v>
      </c>
      <c r="CB16" s="168">
        <f ca="1">'CF(M)'!CC122</f>
        <v>1713495.7196412929</v>
      </c>
      <c r="CC16" s="168">
        <f ca="1">'CF(M)'!CD122</f>
        <v>3336483.4192671939</v>
      </c>
      <c r="CD16" s="168">
        <f ca="1">'CF(M)'!CE122</f>
        <v>4598237.6103116944</v>
      </c>
      <c r="CE16" s="168">
        <f ca="1">'CF(M)'!CF122</f>
        <v>256642.51114697475</v>
      </c>
      <c r="CF16" s="168">
        <f ca="1">'CF(M)'!CG122</f>
        <v>1216627.4677853733</v>
      </c>
      <c r="CG16" s="168">
        <f ca="1">'CF(M)'!CH122</f>
        <v>2701172.9847451057</v>
      </c>
      <c r="CH16" s="168">
        <f ca="1">'CF(M)'!CI122</f>
        <v>1419465.6900003576</v>
      </c>
      <c r="CI16" s="168">
        <f ca="1">'CF(M)'!CJ122</f>
        <v>3067754.2549776388</v>
      </c>
      <c r="CJ16" s="168">
        <f ca="1">'CF(M)'!CK122</f>
        <v>4632962.0049243411</v>
      </c>
      <c r="CK16" s="168">
        <f ca="1">'CF(M)'!CL122</f>
        <v>451631.67929950217</v>
      </c>
      <c r="CL16" s="168">
        <f ca="1">'CF(M)'!CM122</f>
        <v>2107669.5519122202</v>
      </c>
      <c r="CM16" s="168">
        <f ca="1">'CF(M)'!CN122</f>
        <v>3768537.5349867251</v>
      </c>
      <c r="CN16" s="168">
        <f ca="1">'CF(M)'!CO122</f>
        <v>2275685.0148037802</v>
      </c>
      <c r="CO16" s="168">
        <f ca="1">'CF(M)'!CP122</f>
        <v>3941094.2103003561</v>
      </c>
      <c r="CP16" s="168">
        <f ca="1">'CF(M)'!CQ122</f>
        <v>5250883.1349190678</v>
      </c>
      <c r="CQ16" s="168">
        <f ca="1">'CF(M)'!CR122</f>
        <v>1108809.8810363431</v>
      </c>
      <c r="CR16" s="168">
        <f ca="1">'CF(M)'!CS122</f>
        <v>2125185.7954736743</v>
      </c>
      <c r="CS16" s="168">
        <f ca="1">'CF(M)'!CT122</f>
        <v>3650455.8831059821</v>
      </c>
      <c r="CT16" s="168">
        <f ca="1">'CF(M)'!CU122</f>
        <v>2401250.3396112826</v>
      </c>
      <c r="CU16" s="168">
        <f ca="1">'CF(M)'!CV122</f>
        <v>4093841.0877383207</v>
      </c>
      <c r="CV16" s="168">
        <f ca="1">'CF(M)'!CW122</f>
        <v>5701283.0274520051</v>
      </c>
      <c r="CW16" s="168">
        <f ca="1">'CF(M)'!CX122</f>
        <v>1551337.5743290116</v>
      </c>
      <c r="CX16" s="168">
        <f ca="1">'CF(M)'!CY122</f>
        <v>2551611.4321273942</v>
      </c>
      <c r="CY16" s="168">
        <f ca="1">'CF(M)'!CZ122</f>
        <v>4214969.7027668059</v>
      </c>
      <c r="CZ16" s="168">
        <f ca="1">'CF(M)'!DA122</f>
        <v>2779519.4928356307</v>
      </c>
      <c r="DA16" s="168">
        <f ca="1">'CF(M)'!DB122</f>
        <v>4362569.7884708857</v>
      </c>
      <c r="DB16" s="168">
        <f ca="1">'CF(M)'!DC122</f>
        <v>5680291.9188387264</v>
      </c>
      <c r="DC16" s="168">
        <f ca="1">'CF(M)'!DD122</f>
        <v>1539216.419707044</v>
      </c>
      <c r="DD16" s="168">
        <f ca="1">'CF(M)'!DE122</f>
        <v>2571096.4902776768</v>
      </c>
      <c r="DE16" s="168">
        <f ca="1">'CF(M)'!DF122</f>
        <v>4096084.0702144112</v>
      </c>
      <c r="DF16" s="168">
        <f ca="1">'CF(M)'!DG122</f>
        <v>2839113.3055165834</v>
      </c>
      <c r="DG16" s="168">
        <f ca="1">'CF(M)'!DH122</f>
        <v>4488277.2899295269</v>
      </c>
      <c r="DH16" s="168">
        <f ca="1">'CF(M)'!DI122</f>
        <v>6188690.0361456266</v>
      </c>
      <c r="DI16" s="168">
        <f ca="1">'CF(M)'!DJ122</f>
        <v>2038479.2460844791</v>
      </c>
      <c r="DJ16" s="168">
        <f ca="1">'CF(M)'!DK122</f>
        <v>3741921.4580295482</v>
      </c>
      <c r="DK16" s="168">
        <f ca="1">'CF(M)'!DL122</f>
        <v>5451027.1929716598</v>
      </c>
      <c r="DL16" s="168">
        <f ca="1">'CF(M)'!DM122</f>
        <v>3992471.6511189686</v>
      </c>
      <c r="DM16" s="168">
        <f ca="1">'CF(M)'!DN122</f>
        <v>5706564.4151252359</v>
      </c>
      <c r="DN16" s="168">
        <f ca="1">'CF(M)'!DO122</f>
        <v>7075912.125940335</v>
      </c>
      <c r="DO16" s="168">
        <f ca="1">'CF(M)'!DP122</f>
        <v>2968505.8714958564</v>
      </c>
      <c r="DP16" s="168">
        <f ca="1">'CF(M)'!DQ122</f>
        <v>4059538.5891550882</v>
      </c>
      <c r="DQ16" s="168">
        <f ca="1">'CF(M)'!DR122</f>
        <v>5628429.5404558852</v>
      </c>
      <c r="DR16" s="168">
        <f ca="1">'CF(M)'!DS122</f>
        <v>4416718.8000879139</v>
      </c>
      <c r="DS16" s="168">
        <f ca="1">'CF(M)'!DT122</f>
        <v>6159447.3939082744</v>
      </c>
      <c r="DT16" s="168">
        <f ca="1">'CF(M)'!DU122</f>
        <v>7907258.9461272778</v>
      </c>
      <c r="DU16" s="168">
        <f ca="1">'CF(M)'!DV122</f>
        <v>3826287.1055220002</v>
      </c>
      <c r="DV16" s="168">
        <f ca="1">'CF(M)'!DW122</f>
        <v>5578435.213299823</v>
      </c>
      <c r="DW16" s="168">
        <f ca="1">'CF(M)'!DX122</f>
        <v>7335693.7530586645</v>
      </c>
      <c r="DX16" s="168">
        <f ca="1">'CF(M)'!DY122</f>
        <v>5901418.248456927</v>
      </c>
      <c r="DY16" s="168">
        <f ca="1">'CF(M)'!DZ122</f>
        <v>7663981.4861776466</v>
      </c>
      <c r="DZ16" s="168">
        <f ca="1">'CF(M)'!EA122</f>
        <v>9087187.2102784906</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560</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561</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562</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563</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568</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569</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570</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564</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606</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98702176.998154521</v>
      </c>
      <c r="M34" s="216">
        <f t="shared" ca="1" si="21"/>
        <v>98615379.446385115</v>
      </c>
      <c r="N34" s="216">
        <f t="shared" ca="1" si="21"/>
        <v>98341809.209009394</v>
      </c>
      <c r="O34" s="216">
        <f t="shared" ca="1" si="21"/>
        <v>98206338.039389253</v>
      </c>
      <c r="P34" s="216">
        <f t="shared" ca="1" si="21"/>
        <v>98143432.616200536</v>
      </c>
      <c r="Q34" s="216">
        <f t="shared" ca="1" si="21"/>
        <v>94853328.723730013</v>
      </c>
      <c r="R34" s="216">
        <f t="shared" ca="1" si="21"/>
        <v>94684006.961023465</v>
      </c>
      <c r="S34" s="216">
        <f t="shared" ca="1" si="21"/>
        <v>94690236.497599155</v>
      </c>
      <c r="T34" s="216">
        <f t="shared" ca="1" si="21"/>
        <v>94701156.283531606</v>
      </c>
      <c r="U34" s="216">
        <f t="shared" ca="1" si="21"/>
        <v>94707806.932707161</v>
      </c>
      <c r="V34" s="216">
        <f t="shared" ca="1" si="21"/>
        <v>94718604.418189898</v>
      </c>
      <c r="W34" s="216">
        <f t="shared" ca="1" si="21"/>
        <v>91442360.968372539</v>
      </c>
      <c r="X34" s="216">
        <f t="shared" ca="1" si="21"/>
        <v>91421595.629706651</v>
      </c>
      <c r="Y34" s="216">
        <f t="shared" ca="1" si="21"/>
        <v>91401077.214234516</v>
      </c>
      <c r="Z34" s="216">
        <f t="shared" ca="1" si="21"/>
        <v>91188761.585041508</v>
      </c>
      <c r="AA34" s="216">
        <f t="shared" ca="1" si="21"/>
        <v>91069321.585214823</v>
      </c>
      <c r="AB34" s="216">
        <f t="shared" ca="1" si="21"/>
        <v>91024220.72760421</v>
      </c>
      <c r="AC34" s="216">
        <f t="shared" ca="1" si="21"/>
        <v>88307950.572255671</v>
      </c>
      <c r="AD34" s="216">
        <f t="shared" ca="1" si="21"/>
        <v>88155746.06408298</v>
      </c>
      <c r="AE34" s="216">
        <f t="shared" ca="1" si="21"/>
        <v>88183446.52581805</v>
      </c>
      <c r="AF34" s="216">
        <f t="shared" ca="1" si="21"/>
        <v>88215919.278877661</v>
      </c>
      <c r="AG34" s="216">
        <f t="shared" ca="1" si="21"/>
        <v>88244020.497430816</v>
      </c>
      <c r="AH34" s="216">
        <f t="shared" ca="1" si="21"/>
        <v>88276336.918855548</v>
      </c>
      <c r="AI34" s="216">
        <f t="shared" ca="1" si="21"/>
        <v>75576097.320070118</v>
      </c>
      <c r="AJ34" s="216">
        <f t="shared" ca="1" si="21"/>
        <v>75587826.192674309</v>
      </c>
      <c r="AK34" s="216">
        <f t="shared" ca="1" si="21"/>
        <v>75579333.057599604</v>
      </c>
      <c r="AL34" s="216">
        <f t="shared" ca="1" si="21"/>
        <v>75550541.963888407</v>
      </c>
      <c r="AM34" s="216">
        <f t="shared" ca="1" si="21"/>
        <v>75585903.921182334</v>
      </c>
      <c r="AN34" s="216">
        <f t="shared" ca="1" si="21"/>
        <v>75553195.674981713</v>
      </c>
      <c r="AO34" s="216">
        <f t="shared" ca="1" si="21"/>
        <v>72850430.033390835</v>
      </c>
      <c r="AP34" s="216">
        <f t="shared" ca="1" si="21"/>
        <v>72889923.895606622</v>
      </c>
      <c r="AQ34" s="216">
        <f t="shared" ca="1" si="21"/>
        <v>71870687.907296598</v>
      </c>
      <c r="AR34" s="216">
        <f t="shared" ca="1" si="21"/>
        <v>70879322.747596532</v>
      </c>
      <c r="AS34" s="216">
        <f t="shared" ca="1" si="21"/>
        <v>69815628.968157455</v>
      </c>
      <c r="AT34" s="216">
        <f t="shared" ca="1" si="21"/>
        <v>68821123.403676987</v>
      </c>
      <c r="AU34" s="216">
        <f t="shared" ca="1" si="21"/>
        <v>65090346.661737792</v>
      </c>
      <c r="AV34" s="216">
        <f t="shared" ca="1" si="21"/>
        <v>65142076.794894338</v>
      </c>
      <c r="AW34" s="216">
        <f t="shared" ca="1" si="21"/>
        <v>65202254.832679495</v>
      </c>
      <c r="AX34" s="216">
        <f t="shared" ca="1" si="21"/>
        <v>65264652.013658285</v>
      </c>
      <c r="AY34" s="216">
        <f t="shared" ca="1" si="21"/>
        <v>65320134.79487443</v>
      </c>
      <c r="AZ34" s="216">
        <f t="shared" ca="1" si="21"/>
        <v>65333460.203881793</v>
      </c>
      <c r="BA34" s="216">
        <f t="shared" ca="1" si="21"/>
        <v>62677900.173971936</v>
      </c>
      <c r="BB34" s="216">
        <f t="shared" ca="1" si="21"/>
        <v>62765084.040545106</v>
      </c>
      <c r="BC34" s="216">
        <f t="shared" ca="1" si="21"/>
        <v>62857310.91606909</v>
      </c>
      <c r="BD34" s="216">
        <f t="shared" ca="1" si="21"/>
        <v>62954037.116594806</v>
      </c>
      <c r="BE34" s="216">
        <f t="shared" ca="1" si="21"/>
        <v>63049160.906347632</v>
      </c>
      <c r="BF34" s="216">
        <f t="shared" ca="1" si="21"/>
        <v>63148793.467911921</v>
      </c>
      <c r="BG34" s="216">
        <f t="shared" ca="1" si="21"/>
        <v>60536847.790157512</v>
      </c>
      <c r="BH34" s="216">
        <f t="shared" ca="1" si="21"/>
        <v>60626877.816099197</v>
      </c>
      <c r="BI34" s="216">
        <f t="shared" ca="1" si="21"/>
        <v>60725600.533078484</v>
      </c>
      <c r="BJ34" s="216">
        <f t="shared" ca="1" si="21"/>
        <v>60833153.274006203</v>
      </c>
      <c r="BK34" s="216">
        <f t="shared" ca="1" si="21"/>
        <v>60949103.457227491</v>
      </c>
      <c r="BL34" s="216">
        <f t="shared" ca="1" si="21"/>
        <v>60993578.85462445</v>
      </c>
      <c r="BM34" s="216">
        <f t="shared" ca="1" si="21"/>
        <v>58389257.364789784</v>
      </c>
      <c r="BN34" s="216">
        <f t="shared" ca="1" si="21"/>
        <v>58510505.036519051</v>
      </c>
      <c r="BO34" s="216">
        <f t="shared" ca="1" si="21"/>
        <v>58636344.561050631</v>
      </c>
      <c r="BP34" s="216">
        <f t="shared" ca="1" si="21"/>
        <v>58766789.331288517</v>
      </c>
      <c r="BQ34" s="216">
        <f t="shared" ca="1" si="21"/>
        <v>58895771.022699118</v>
      </c>
      <c r="BR34" s="216">
        <f t="shared" ca="1" si="21"/>
        <v>59029368.146882907</v>
      </c>
      <c r="BS34" s="216">
        <f t="shared" ca="1" si="21"/>
        <v>56564781.212430231</v>
      </c>
      <c r="BT34" s="216">
        <f t="shared" ca="1" si="21"/>
        <v>56742486.312104687</v>
      </c>
      <c r="BU34" s="216">
        <f t="shared" ca="1" si="21"/>
        <v>56929187.433140554</v>
      </c>
      <c r="BV34" s="216">
        <f t="shared" ca="1" si="21"/>
        <v>57124937.734784752</v>
      </c>
      <c r="BW34" s="216">
        <f t="shared" ca="1" si="21"/>
        <v>57329949.021488979</v>
      </c>
      <c r="BX34" s="216">
        <f t="shared" ref="BX34:DO34" ca="1" si="22">SUM(BX35,BX38)</f>
        <v>57461696.956751257</v>
      </c>
      <c r="BY34" s="216">
        <f t="shared" ca="1" si="22"/>
        <v>54963801.718024984</v>
      </c>
      <c r="BZ34" s="216">
        <f t="shared" ca="1" si="22"/>
        <v>55175153.781460226</v>
      </c>
      <c r="CA34" s="216">
        <f t="shared" ca="1" si="22"/>
        <v>55391213.454694584</v>
      </c>
      <c r="CB34" s="216">
        <f t="shared" ca="1" si="22"/>
        <v>55611994.468256652</v>
      </c>
      <c r="CC34" s="216">
        <f t="shared" ca="1" si="22"/>
        <v>55831937.280598029</v>
      </c>
      <c r="CD34" s="216">
        <f t="shared" ca="1" si="22"/>
        <v>56056613.807063311</v>
      </c>
      <c r="CE34" s="216">
        <f t="shared" ca="1" si="22"/>
        <v>53400838.422735535</v>
      </c>
      <c r="CF34" s="216">
        <f t="shared" ca="1" si="22"/>
        <v>53616167.451217882</v>
      </c>
      <c r="CG34" s="216">
        <f t="shared" ca="1" si="22"/>
        <v>53840808.617614642</v>
      </c>
      <c r="CH34" s="216">
        <f t="shared" ca="1" si="22"/>
        <v>54074730.655649193</v>
      </c>
      <c r="CI34" s="216">
        <f t="shared" ca="1" si="22"/>
        <v>54318328.337924682</v>
      </c>
      <c r="CJ34" s="216">
        <f t="shared" ca="1" si="22"/>
        <v>54486835.052746423</v>
      </c>
      <c r="CK34" s="216">
        <f t="shared" ca="1" si="22"/>
        <v>51989995.928090863</v>
      </c>
      <c r="CL34" s="216">
        <f t="shared" ca="1" si="22"/>
        <v>52240381.812835127</v>
      </c>
      <c r="CM34" s="216">
        <f t="shared" ca="1" si="22"/>
        <v>52495597.808041178</v>
      </c>
      <c r="CN34" s="216">
        <f t="shared" ca="1" si="22"/>
        <v>52755658.001531199</v>
      </c>
      <c r="CO34" s="216">
        <f t="shared" ca="1" si="22"/>
        <v>53015046.921220958</v>
      </c>
      <c r="CP34" s="216">
        <f t="shared" ca="1" si="22"/>
        <v>53279293.284397587</v>
      </c>
      <c r="CQ34" s="216">
        <f t="shared" ca="1" si="22"/>
        <v>50832359.865271017</v>
      </c>
      <c r="CR34" s="216">
        <f t="shared" ca="1" si="22"/>
        <v>51087913.981101081</v>
      </c>
      <c r="CS34" s="216">
        <f t="shared" ca="1" si="22"/>
        <v>51353107.513017245</v>
      </c>
      <c r="CT34" s="216">
        <f t="shared" ca="1" si="22"/>
        <v>51627824.470249332</v>
      </c>
      <c r="CU34" s="216">
        <f t="shared" ca="1" si="22"/>
        <v>51912647.217426434</v>
      </c>
      <c r="CV34" s="216">
        <f t="shared" ca="1" si="22"/>
        <v>52120510.749956429</v>
      </c>
      <c r="CW34" s="216">
        <f t="shared" ca="1" si="22"/>
        <v>49664278.850343913</v>
      </c>
      <c r="CX34" s="216">
        <f t="shared" ca="1" si="22"/>
        <v>49319497.250655688</v>
      </c>
      <c r="CY34" s="216">
        <f t="shared" ca="1" si="22"/>
        <v>49577784.886770085</v>
      </c>
      <c r="CZ34" s="216">
        <f t="shared" ca="1" si="22"/>
        <v>49840923.984507181</v>
      </c>
      <c r="DA34" s="216">
        <f t="shared" ca="1" si="22"/>
        <v>50026264.800785415</v>
      </c>
      <c r="DB34" s="216">
        <f t="shared" ca="1" si="22"/>
        <v>50293609.350140683</v>
      </c>
      <c r="DC34" s="216">
        <f t="shared" ca="1" si="22"/>
        <v>47849797.255709521</v>
      </c>
      <c r="DD34" s="216">
        <f t="shared" ca="1" si="22"/>
        <v>48108492.115122698</v>
      </c>
      <c r="DE34" s="216">
        <f t="shared" ca="1" si="22"/>
        <v>48376846.358883329</v>
      </c>
      <c r="DF34" s="216">
        <f t="shared" ca="1" si="22"/>
        <v>48637107.809283435</v>
      </c>
      <c r="DG34" s="216">
        <f t="shared" ca="1" si="22"/>
        <v>48883216.010010965</v>
      </c>
      <c r="DH34" s="216">
        <f t="shared" ca="1" si="22"/>
        <v>49176351.272525117</v>
      </c>
      <c r="DI34" s="216">
        <f t="shared" ca="1" si="22"/>
        <v>46733358.967657976</v>
      </c>
      <c r="DJ34" s="216">
        <f t="shared" ca="1" si="22"/>
        <v>47028598.722262591</v>
      </c>
      <c r="DK34" s="216">
        <f t="shared" ca="1" si="22"/>
        <v>47329438.804420717</v>
      </c>
      <c r="DL34" s="216">
        <f t="shared" ca="1" si="22"/>
        <v>47635263.778305754</v>
      </c>
      <c r="DM34" s="216">
        <f t="shared" ca="1" si="22"/>
        <v>47940703.957012795</v>
      </c>
      <c r="DN34" s="216">
        <f t="shared" ca="1" si="22"/>
        <v>48251143.572948188</v>
      </c>
      <c r="DO34" s="216">
        <f t="shared" ca="1" si="22"/>
        <v>45850577.119706787</v>
      </c>
      <c r="DP34" s="216">
        <f t="shared" ref="DP34:EP34" ca="1" si="23">SUM(DP35,DP38)</f>
        <v>46152550.745894954</v>
      </c>
      <c r="DQ34" s="216">
        <f t="shared" ca="1" si="23"/>
        <v>46464522.528338127</v>
      </c>
      <c r="DR34" s="216">
        <f t="shared" ca="1" si="23"/>
        <v>46786240.167371616</v>
      </c>
      <c r="DS34" s="216">
        <f t="shared" ca="1" si="23"/>
        <v>47118432.03365995</v>
      </c>
      <c r="DT34" s="216">
        <f t="shared" ca="1" si="23"/>
        <v>47455706.858346932</v>
      </c>
      <c r="DU34" s="216">
        <f t="shared" ca="1" si="23"/>
        <v>45088411.278207332</v>
      </c>
      <c r="DV34" s="216">
        <f t="shared" ca="1" si="23"/>
        <v>45429009.785144046</v>
      </c>
      <c r="DW34" s="216">
        <f t="shared" ca="1" si="23"/>
        <v>45774718.72406178</v>
      </c>
      <c r="DX34" s="216">
        <f t="shared" ca="1" si="23"/>
        <v>46125553.00038714</v>
      </c>
      <c r="DY34" s="216">
        <f t="shared" ca="1" si="23"/>
        <v>46476170.031438626</v>
      </c>
      <c r="DZ34" s="216">
        <f t="shared" ca="1" si="23"/>
        <v>46831927.871933468</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6320000</v>
      </c>
      <c r="L36" s="168">
        <f>'FS_Detail(M)'!M237+'FS_Detail(M)'!M267+'FS_Detail(M)'!M277+'FS_Detail(M)'!M257+'FS_Detail(M)'!M247</f>
        <v>6320000</v>
      </c>
      <c r="M36" s="168">
        <f>'FS_Detail(M)'!N237+'FS_Detail(M)'!N267+'FS_Detail(M)'!N277+'FS_Detail(M)'!N257+'FS_Detail(M)'!N247</f>
        <v>6320000</v>
      </c>
      <c r="N36" s="168">
        <f>'FS_Detail(M)'!O237+'FS_Detail(M)'!O267+'FS_Detail(M)'!O277+'FS_Detail(M)'!O257+'FS_Detail(M)'!O247</f>
        <v>6320000</v>
      </c>
      <c r="O36" s="168">
        <f>'FS_Detail(M)'!P237+'FS_Detail(M)'!P267+'FS_Detail(M)'!P277+'FS_Detail(M)'!P257+'FS_Detail(M)'!P247</f>
        <v>6320000</v>
      </c>
      <c r="P36" s="168">
        <f>'FS_Detail(M)'!Q237+'FS_Detail(M)'!Q267+'FS_Detail(M)'!Q277+'FS_Detail(M)'!Q257+'FS_Detail(M)'!Q247</f>
        <v>6320000</v>
      </c>
      <c r="Q36" s="168">
        <f>'FS_Detail(M)'!R237+'FS_Detail(M)'!R267+'FS_Detail(M)'!R277+'FS_Detail(M)'!R257+'FS_Detail(M)'!R247</f>
        <v>6320000</v>
      </c>
      <c r="R36" s="168">
        <f>'FS_Detail(M)'!S237+'FS_Detail(M)'!S267+'FS_Detail(M)'!S277+'FS_Detail(M)'!S257+'FS_Detail(M)'!S247</f>
        <v>6320000</v>
      </c>
      <c r="S36" s="168">
        <f>'FS_Detail(M)'!T237+'FS_Detail(M)'!T267+'FS_Detail(M)'!T277+'FS_Detail(M)'!T257+'FS_Detail(M)'!T247</f>
        <v>6320000</v>
      </c>
      <c r="T36" s="168">
        <f>'FS_Detail(M)'!U237+'FS_Detail(M)'!U267+'FS_Detail(M)'!U277+'FS_Detail(M)'!U257+'FS_Detail(M)'!U247</f>
        <v>6320000</v>
      </c>
      <c r="U36" s="168">
        <f>'FS_Detail(M)'!V237+'FS_Detail(M)'!V267+'FS_Detail(M)'!V277+'FS_Detail(M)'!V257+'FS_Detail(M)'!V247</f>
        <v>6320000</v>
      </c>
      <c r="V36" s="168">
        <f>'FS_Detail(M)'!W237+'FS_Detail(M)'!W267+'FS_Detail(M)'!W277+'FS_Detail(M)'!W257+'FS_Detail(M)'!W247</f>
        <v>6320000</v>
      </c>
      <c r="W36" s="168">
        <f>'FS_Detail(M)'!X237+'FS_Detail(M)'!X267+'FS_Detail(M)'!X277+'FS_Detail(M)'!X257+'FS_Detail(M)'!X247</f>
        <v>6320000</v>
      </c>
      <c r="X36" s="168">
        <f>'FS_Detail(M)'!Y237+'FS_Detail(M)'!Y267+'FS_Detail(M)'!Y277+'FS_Detail(M)'!Y257+'FS_Detail(M)'!Y247</f>
        <v>6320000</v>
      </c>
      <c r="Y36" s="168">
        <f>'FS_Detail(M)'!Z237+'FS_Detail(M)'!Z267+'FS_Detail(M)'!Z277+'FS_Detail(M)'!Z257+'FS_Detail(M)'!Z247</f>
        <v>6320000</v>
      </c>
      <c r="Z36" s="168">
        <f>'FS_Detail(M)'!AA237+'FS_Detail(M)'!AA267+'FS_Detail(M)'!AA277+'FS_Detail(M)'!AA257+'FS_Detail(M)'!AA247</f>
        <v>6320000</v>
      </c>
      <c r="AA36" s="168">
        <f>'FS_Detail(M)'!AB237+'FS_Detail(M)'!AB267+'FS_Detail(M)'!AB277+'FS_Detail(M)'!AB257+'FS_Detail(M)'!AB247</f>
        <v>6320000</v>
      </c>
      <c r="AB36" s="168">
        <f>'FS_Detail(M)'!AC237+'FS_Detail(M)'!AC267+'FS_Detail(M)'!AC277+'FS_Detail(M)'!AC257+'FS_Detail(M)'!AC247</f>
        <v>6320000</v>
      </c>
      <c r="AC36" s="168">
        <f>'FS_Detail(M)'!AD237+'FS_Detail(M)'!AD267+'FS_Detail(M)'!AD277+'FS_Detail(M)'!AD257+'FS_Detail(M)'!AD247</f>
        <v>6320000</v>
      </c>
      <c r="AD36" s="168">
        <f>'FS_Detail(M)'!AE237+'FS_Detail(M)'!AE267+'FS_Detail(M)'!AE277+'FS_Detail(M)'!AE257+'FS_Detail(M)'!AE247</f>
        <v>6320000</v>
      </c>
      <c r="AE36" s="168">
        <f>'FS_Detail(M)'!AF237+'FS_Detail(M)'!AF267+'FS_Detail(M)'!AF277+'FS_Detail(M)'!AF257+'FS_Detail(M)'!AF247</f>
        <v>6320000</v>
      </c>
      <c r="AF36" s="168">
        <f>'FS_Detail(M)'!AG237+'FS_Detail(M)'!AG267+'FS_Detail(M)'!AG277+'FS_Detail(M)'!AG257+'FS_Detail(M)'!AG247</f>
        <v>6320000</v>
      </c>
      <c r="AG36" s="168">
        <f>'FS_Detail(M)'!AH237+'FS_Detail(M)'!AH267+'FS_Detail(M)'!AH277+'FS_Detail(M)'!AH257+'FS_Detail(M)'!AH247</f>
        <v>6320000</v>
      </c>
      <c r="AH36" s="168">
        <f>'FS_Detail(M)'!AI237+'FS_Detail(M)'!AI267+'FS_Detail(M)'!AI277+'FS_Detail(M)'!AI257+'FS_Detail(M)'!AI247</f>
        <v>6320000</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92480000</v>
      </c>
      <c r="L37" s="171">
        <f>'FS_Detail(M)'!M242+'FS_Detail(M)'!M272+'FS_Detail(M)'!M282+'FS_Detail(M)'!M252+'FS_Detail(M)'!M262</f>
        <v>92480000</v>
      </c>
      <c r="M37" s="171">
        <f>'FS_Detail(M)'!N242+'FS_Detail(M)'!N272+'FS_Detail(M)'!N282+'FS_Detail(M)'!N252+'FS_Detail(M)'!N262</f>
        <v>92480000</v>
      </c>
      <c r="N37" s="171">
        <f>'FS_Detail(M)'!O242+'FS_Detail(M)'!O272+'FS_Detail(M)'!O282+'FS_Detail(M)'!O252+'FS_Detail(M)'!O262</f>
        <v>92480000</v>
      </c>
      <c r="O37" s="171">
        <f>'FS_Detail(M)'!P242+'FS_Detail(M)'!P272+'FS_Detail(M)'!P282+'FS_Detail(M)'!P252+'FS_Detail(M)'!P262</f>
        <v>92480000</v>
      </c>
      <c r="P37" s="171">
        <f>'FS_Detail(M)'!Q242+'FS_Detail(M)'!Q272+'FS_Detail(M)'!Q282+'FS_Detail(M)'!Q252+'FS_Detail(M)'!Q262</f>
        <v>92480000</v>
      </c>
      <c r="Q37" s="171">
        <f>'FS_Detail(M)'!R242+'FS_Detail(M)'!R272+'FS_Detail(M)'!R282+'FS_Detail(M)'!R252+'FS_Detail(M)'!R262</f>
        <v>92480000</v>
      </c>
      <c r="R37" s="171">
        <f>'FS_Detail(M)'!S242+'FS_Detail(M)'!S272+'FS_Detail(M)'!S282+'FS_Detail(M)'!S252+'FS_Detail(M)'!S262</f>
        <v>92480000</v>
      </c>
      <c r="S37" s="171">
        <f>'FS_Detail(M)'!T242+'FS_Detail(M)'!T272+'FS_Detail(M)'!T282+'FS_Detail(M)'!T252+'FS_Detail(M)'!T262</f>
        <v>92480000</v>
      </c>
      <c r="T37" s="171">
        <f>'FS_Detail(M)'!U242+'FS_Detail(M)'!U272+'FS_Detail(M)'!U282+'FS_Detail(M)'!U252+'FS_Detail(M)'!U262</f>
        <v>92480000</v>
      </c>
      <c r="U37" s="171">
        <f>'FS_Detail(M)'!V242+'FS_Detail(M)'!V272+'FS_Detail(M)'!V282+'FS_Detail(M)'!V252+'FS_Detail(M)'!V262</f>
        <v>92480000</v>
      </c>
      <c r="V37" s="171">
        <f>'FS_Detail(M)'!W242+'FS_Detail(M)'!W272+'FS_Detail(M)'!W282+'FS_Detail(M)'!W252+'FS_Detail(M)'!W262</f>
        <v>92480000</v>
      </c>
      <c r="W37" s="171">
        <f>'FS_Detail(M)'!X242+'FS_Detail(M)'!X272+'FS_Detail(M)'!X282+'FS_Detail(M)'!X252+'FS_Detail(M)'!X262</f>
        <v>92480000</v>
      </c>
      <c r="X37" s="171">
        <f>'FS_Detail(M)'!Y242+'FS_Detail(M)'!Y272+'FS_Detail(M)'!Y282+'FS_Detail(M)'!Y252+'FS_Detail(M)'!Y262</f>
        <v>92480000</v>
      </c>
      <c r="Y37" s="171">
        <f>'FS_Detail(M)'!Z242+'FS_Detail(M)'!Z272+'FS_Detail(M)'!Z282+'FS_Detail(M)'!Z252+'FS_Detail(M)'!Z262</f>
        <v>92480000</v>
      </c>
      <c r="Z37" s="171">
        <f>'FS_Detail(M)'!AA242+'FS_Detail(M)'!AA272+'FS_Detail(M)'!AA282+'FS_Detail(M)'!AA252+'FS_Detail(M)'!AA262</f>
        <v>92480000</v>
      </c>
      <c r="AA37" s="171">
        <f>'FS_Detail(M)'!AB242+'FS_Detail(M)'!AB272+'FS_Detail(M)'!AB282+'FS_Detail(M)'!AB252+'FS_Detail(M)'!AB262</f>
        <v>92480000</v>
      </c>
      <c r="AB37" s="171">
        <f>'FS_Detail(M)'!AC242+'FS_Detail(M)'!AC272+'FS_Detail(M)'!AC282+'FS_Detail(M)'!AC252+'FS_Detail(M)'!AC262</f>
        <v>92480000</v>
      </c>
      <c r="AC37" s="171">
        <f>'FS_Detail(M)'!AD242+'FS_Detail(M)'!AD272+'FS_Detail(M)'!AD282+'FS_Detail(M)'!AD252+'FS_Detail(M)'!AD262</f>
        <v>92480000</v>
      </c>
      <c r="AD37" s="171">
        <f>'FS_Detail(M)'!AE242+'FS_Detail(M)'!AE272+'FS_Detail(M)'!AE282+'FS_Detail(M)'!AE252+'FS_Detail(M)'!AE262</f>
        <v>92480000</v>
      </c>
      <c r="AE37" s="171">
        <f>'FS_Detail(M)'!AF242+'FS_Detail(M)'!AF272+'FS_Detail(M)'!AF282+'FS_Detail(M)'!AF252+'FS_Detail(M)'!AF262</f>
        <v>92480000</v>
      </c>
      <c r="AF37" s="171">
        <f>'FS_Detail(M)'!AG242+'FS_Detail(M)'!AG272+'FS_Detail(M)'!AG282+'FS_Detail(M)'!AG252+'FS_Detail(M)'!AG262</f>
        <v>92480000</v>
      </c>
      <c r="AG37" s="171">
        <f>'FS_Detail(M)'!AH242+'FS_Detail(M)'!AH272+'FS_Detail(M)'!AH282+'FS_Detail(M)'!AH252+'FS_Detail(M)'!AH262</f>
        <v>92480000</v>
      </c>
      <c r="AH37" s="171">
        <f>'FS_Detail(M)'!AI242+'FS_Detail(M)'!AI272+'FS_Detail(M)'!AI282+'FS_Detail(M)'!AI252+'FS_Detail(M)'!AI262</f>
        <v>92480000</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565</v>
      </c>
      <c r="D38" s="159"/>
      <c r="E38" s="159"/>
      <c r="F38" s="159"/>
      <c r="G38" s="159"/>
      <c r="H38" s="160"/>
      <c r="I38" s="973"/>
      <c r="J38" s="98"/>
      <c r="K38" s="162">
        <f t="shared" ref="K38:BV38" ca="1" si="27">SUM(K39:K39)</f>
        <v>0</v>
      </c>
      <c r="L38" s="162">
        <f t="shared" ca="1" si="27"/>
        <v>-97823.001845480525</v>
      </c>
      <c r="M38" s="162">
        <f t="shared" ca="1" si="27"/>
        <v>-184620.55361488415</v>
      </c>
      <c r="N38" s="162">
        <f t="shared" ca="1" si="27"/>
        <v>-458190.79099061189</v>
      </c>
      <c r="O38" s="162">
        <f t="shared" ca="1" si="27"/>
        <v>-593661.96061074373</v>
      </c>
      <c r="P38" s="162">
        <f t="shared" ca="1" si="27"/>
        <v>-656567.38379946304</v>
      </c>
      <c r="Q38" s="162">
        <f t="shared" ca="1" si="27"/>
        <v>-3946671.2762699807</v>
      </c>
      <c r="R38" s="162">
        <f t="shared" ca="1" si="27"/>
        <v>-4115993.0389765417</v>
      </c>
      <c r="S38" s="162">
        <f t="shared" ca="1" si="27"/>
        <v>-4109763.5024008425</v>
      </c>
      <c r="T38" s="162">
        <f t="shared" ca="1" si="27"/>
        <v>-4098843.7164683985</v>
      </c>
      <c r="U38" s="162">
        <f t="shared" ca="1" si="27"/>
        <v>-4092193.0672928402</v>
      </c>
      <c r="V38" s="162">
        <f t="shared" ca="1" si="27"/>
        <v>-4081395.5818100949</v>
      </c>
      <c r="W38" s="162">
        <f t="shared" ca="1" si="27"/>
        <v>-7357639.0316274613</v>
      </c>
      <c r="X38" s="162">
        <f t="shared" ca="1" si="27"/>
        <v>-7378404.3702933555</v>
      </c>
      <c r="Y38" s="162">
        <f t="shared" ca="1" si="27"/>
        <v>-7398922.785765483</v>
      </c>
      <c r="Z38" s="162">
        <f t="shared" ca="1" si="27"/>
        <v>-7611238.4149584882</v>
      </c>
      <c r="AA38" s="162">
        <f t="shared" ca="1" si="27"/>
        <v>-7730678.4147851784</v>
      </c>
      <c r="AB38" s="162">
        <f t="shared" ca="1" si="27"/>
        <v>-7775779.2723957878</v>
      </c>
      <c r="AC38" s="162">
        <f t="shared" ca="1" si="27"/>
        <v>-10492049.427744329</v>
      </c>
      <c r="AD38" s="162">
        <f t="shared" ca="1" si="27"/>
        <v>-10644253.935917027</v>
      </c>
      <c r="AE38" s="162">
        <f t="shared" ca="1" si="27"/>
        <v>-10616553.474181954</v>
      </c>
      <c r="AF38" s="162">
        <f t="shared" ca="1" si="27"/>
        <v>-10584080.721122343</v>
      </c>
      <c r="AG38" s="162">
        <f t="shared" ca="1" si="27"/>
        <v>-10555979.502569187</v>
      </c>
      <c r="AH38" s="162">
        <f t="shared" ca="1" si="27"/>
        <v>-10523663.081144448</v>
      </c>
      <c r="AI38" s="162">
        <f t="shared" ca="1" si="27"/>
        <v>-13223902.679929886</v>
      </c>
      <c r="AJ38" s="162">
        <f t="shared" ca="1" si="27"/>
        <v>-13212173.807325697</v>
      </c>
      <c r="AK38" s="162">
        <f t="shared" ca="1" si="27"/>
        <v>-13220666.942400396</v>
      </c>
      <c r="AL38" s="162">
        <f t="shared" ca="1" si="27"/>
        <v>-13249458.036111593</v>
      </c>
      <c r="AM38" s="162">
        <f t="shared" ca="1" si="27"/>
        <v>-13214096.078817664</v>
      </c>
      <c r="AN38" s="162">
        <f t="shared" ca="1" si="27"/>
        <v>-13246804.325018294</v>
      </c>
      <c r="AO38" s="162">
        <f t="shared" ca="1" si="27"/>
        <v>-15949569.966609169</v>
      </c>
      <c r="AP38" s="162">
        <f t="shared" ca="1" si="27"/>
        <v>-15910076.104393374</v>
      </c>
      <c r="AQ38" s="162">
        <f t="shared" ca="1" si="27"/>
        <v>-16929312.092703406</v>
      </c>
      <c r="AR38" s="162">
        <f t="shared" ca="1" si="27"/>
        <v>-17920677.252403468</v>
      </c>
      <c r="AS38" s="162">
        <f t="shared" ca="1" si="27"/>
        <v>-18984371.031842548</v>
      </c>
      <c r="AT38" s="162">
        <f t="shared" ca="1" si="27"/>
        <v>-19978876.596323017</v>
      </c>
      <c r="AU38" s="162">
        <f t="shared" ca="1" si="27"/>
        <v>-23709653.338262208</v>
      </c>
      <c r="AV38" s="162">
        <f t="shared" ca="1" si="27"/>
        <v>-23657923.205105659</v>
      </c>
      <c r="AW38" s="162">
        <f t="shared" ca="1" si="27"/>
        <v>-23597745.167320509</v>
      </c>
      <c r="AX38" s="162">
        <f t="shared" ca="1" si="27"/>
        <v>-23535347.986341719</v>
      </c>
      <c r="AY38" s="162">
        <f t="shared" ca="1" si="27"/>
        <v>-23479865.205125567</v>
      </c>
      <c r="AZ38" s="162">
        <f t="shared" ca="1" si="27"/>
        <v>-23466539.796118207</v>
      </c>
      <c r="BA38" s="162">
        <f t="shared" ca="1" si="27"/>
        <v>-26122099.826028068</v>
      </c>
      <c r="BB38" s="162">
        <f t="shared" ca="1" si="27"/>
        <v>-26034915.959454898</v>
      </c>
      <c r="BC38" s="162">
        <f t="shared" ca="1" si="27"/>
        <v>-25942689.083930913</v>
      </c>
      <c r="BD38" s="162">
        <f t="shared" ca="1" si="27"/>
        <v>-25845962.88340519</v>
      </c>
      <c r="BE38" s="162">
        <f t="shared" ca="1" si="27"/>
        <v>-25750839.093652368</v>
      </c>
      <c r="BF38" s="162">
        <f t="shared" ca="1" si="27"/>
        <v>-25651206.532088079</v>
      </c>
      <c r="BG38" s="162">
        <f t="shared" ca="1" si="27"/>
        <v>-28263152.209842488</v>
      </c>
      <c r="BH38" s="162">
        <f t="shared" ca="1" si="27"/>
        <v>-28173122.183900803</v>
      </c>
      <c r="BI38" s="162">
        <f t="shared" ca="1" si="27"/>
        <v>-28074399.466921516</v>
      </c>
      <c r="BJ38" s="162">
        <f t="shared" ca="1" si="27"/>
        <v>-27966846.725993801</v>
      </c>
      <c r="BK38" s="162">
        <f t="shared" ca="1" si="27"/>
        <v>-27850896.542772509</v>
      </c>
      <c r="BL38" s="162">
        <f t="shared" ca="1" si="27"/>
        <v>-27806421.145375546</v>
      </c>
      <c r="BM38" s="162">
        <f t="shared" ca="1" si="27"/>
        <v>-30410742.635210212</v>
      </c>
      <c r="BN38" s="162">
        <f t="shared" ca="1" si="27"/>
        <v>-30289494.963480946</v>
      </c>
      <c r="BO38" s="162">
        <f t="shared" ca="1" si="27"/>
        <v>-30163655.438949369</v>
      </c>
      <c r="BP38" s="162">
        <f t="shared" ca="1" si="27"/>
        <v>-30033210.66871148</v>
      </c>
      <c r="BQ38" s="162">
        <f t="shared" ca="1" si="27"/>
        <v>-29904228.977300879</v>
      </c>
      <c r="BR38" s="162">
        <f t="shared" ca="1" si="27"/>
        <v>-29770631.853117097</v>
      </c>
      <c r="BS38" s="162">
        <f t="shared" ca="1" si="27"/>
        <v>-32235218.787569769</v>
      </c>
      <c r="BT38" s="162">
        <f t="shared" ca="1" si="27"/>
        <v>-32057513.687895317</v>
      </c>
      <c r="BU38" s="162">
        <f t="shared" ca="1" si="27"/>
        <v>-31870812.566859446</v>
      </c>
      <c r="BV38" s="162">
        <f t="shared" ca="1" si="27"/>
        <v>-31675062.265215244</v>
      </c>
      <c r="BW38" s="162">
        <f t="shared" ref="BW38:EH38" ca="1" si="28">SUM(BW39:BW39)</f>
        <v>-31470050.978511017</v>
      </c>
      <c r="BX38" s="162">
        <f t="shared" ca="1" si="28"/>
        <v>-31338303.043248747</v>
      </c>
      <c r="BY38" s="162">
        <f t="shared" ca="1" si="28"/>
        <v>-33836198.281975016</v>
      </c>
      <c r="BZ38" s="162">
        <f t="shared" ca="1" si="28"/>
        <v>-33624846.218539774</v>
      </c>
      <c r="CA38" s="162">
        <f t="shared" ca="1" si="28"/>
        <v>-33408786.545305412</v>
      </c>
      <c r="CB38" s="162">
        <f t="shared" ca="1" si="28"/>
        <v>-33188005.531743344</v>
      </c>
      <c r="CC38" s="162">
        <f t="shared" ca="1" si="28"/>
        <v>-32968062.719401971</v>
      </c>
      <c r="CD38" s="162">
        <f t="shared" ca="1" si="28"/>
        <v>-32743386.192936689</v>
      </c>
      <c r="CE38" s="162">
        <f t="shared" ca="1" si="28"/>
        <v>-35399161.577264465</v>
      </c>
      <c r="CF38" s="162">
        <f t="shared" ca="1" si="28"/>
        <v>-35183832.548782118</v>
      </c>
      <c r="CG38" s="162">
        <f t="shared" ca="1" si="28"/>
        <v>-34959191.382385358</v>
      </c>
      <c r="CH38" s="162">
        <f t="shared" ca="1" si="28"/>
        <v>-34725269.344350807</v>
      </c>
      <c r="CI38" s="162">
        <f t="shared" ca="1" si="28"/>
        <v>-34481671.662075318</v>
      </c>
      <c r="CJ38" s="162">
        <f t="shared" ca="1" si="28"/>
        <v>-34313164.947253577</v>
      </c>
      <c r="CK38" s="162">
        <f t="shared" ca="1" si="28"/>
        <v>-36810004.071909137</v>
      </c>
      <c r="CL38" s="162">
        <f t="shared" ca="1" si="28"/>
        <v>-36559618.187164873</v>
      </c>
      <c r="CM38" s="162">
        <f t="shared" ca="1" si="28"/>
        <v>-36304402.191958822</v>
      </c>
      <c r="CN38" s="162">
        <f t="shared" ca="1" si="28"/>
        <v>-36044341.998468801</v>
      </c>
      <c r="CO38" s="162">
        <f t="shared" ca="1" si="28"/>
        <v>-35784953.078779042</v>
      </c>
      <c r="CP38" s="162">
        <f t="shared" ca="1" si="28"/>
        <v>-35520706.715602413</v>
      </c>
      <c r="CQ38" s="162">
        <f t="shared" ca="1" si="28"/>
        <v>-37967640.134728983</v>
      </c>
      <c r="CR38" s="162">
        <f t="shared" ca="1" si="28"/>
        <v>-37712086.018898919</v>
      </c>
      <c r="CS38" s="162">
        <f t="shared" ca="1" si="28"/>
        <v>-37446892.486982755</v>
      </c>
      <c r="CT38" s="162">
        <f t="shared" ca="1" si="28"/>
        <v>-37172175.529750668</v>
      </c>
      <c r="CU38" s="162">
        <f t="shared" ca="1" si="28"/>
        <v>-36887352.782573566</v>
      </c>
      <c r="CV38" s="162">
        <f t="shared" ca="1" si="28"/>
        <v>-36679489.250043571</v>
      </c>
      <c r="CW38" s="162">
        <f t="shared" ca="1" si="28"/>
        <v>-39135721.149656087</v>
      </c>
      <c r="CX38" s="162">
        <f t="shared" ca="1" si="28"/>
        <v>-39480502.749344312</v>
      </c>
      <c r="CY38" s="162">
        <f t="shared" ca="1" si="28"/>
        <v>-39222215.113229915</v>
      </c>
      <c r="CZ38" s="162">
        <f t="shared" ca="1" si="28"/>
        <v>-38959076.015492819</v>
      </c>
      <c r="DA38" s="162">
        <f t="shared" ca="1" si="28"/>
        <v>-38773735.199214585</v>
      </c>
      <c r="DB38" s="162">
        <f t="shared" ca="1" si="28"/>
        <v>-38506390.649859317</v>
      </c>
      <c r="DC38" s="162">
        <f t="shared" ca="1" si="28"/>
        <v>-40950202.744290479</v>
      </c>
      <c r="DD38" s="162">
        <f t="shared" ca="1" si="28"/>
        <v>-40691507.884877302</v>
      </c>
      <c r="DE38" s="162">
        <f t="shared" ca="1" si="28"/>
        <v>-40423153.641116671</v>
      </c>
      <c r="DF38" s="162">
        <f t="shared" ca="1" si="28"/>
        <v>-40162892.190716565</v>
      </c>
      <c r="DG38" s="162">
        <f t="shared" ca="1" si="28"/>
        <v>-39916783.989989035</v>
      </c>
      <c r="DH38" s="162">
        <f t="shared" ca="1" si="28"/>
        <v>-39623648.727474883</v>
      </c>
      <c r="DI38" s="162">
        <f t="shared" ca="1" si="28"/>
        <v>-42066641.032342024</v>
      </c>
      <c r="DJ38" s="162">
        <f t="shared" ca="1" si="28"/>
        <v>-41771401.277737409</v>
      </c>
      <c r="DK38" s="162">
        <f t="shared" ca="1" si="28"/>
        <v>-41470561.195579283</v>
      </c>
      <c r="DL38" s="162">
        <f t="shared" ca="1" si="28"/>
        <v>-41164736.221694246</v>
      </c>
      <c r="DM38" s="162">
        <f t="shared" ca="1" si="28"/>
        <v>-40859296.042987205</v>
      </c>
      <c r="DN38" s="162">
        <f t="shared" ca="1" si="28"/>
        <v>-40548856.427051812</v>
      </c>
      <c r="DO38" s="162">
        <f t="shared" ca="1" si="28"/>
        <v>-42949422.880293213</v>
      </c>
      <c r="DP38" s="162">
        <f t="shared" ca="1" si="28"/>
        <v>-42647449.254105046</v>
      </c>
      <c r="DQ38" s="162">
        <f t="shared" ca="1" si="28"/>
        <v>-42335477.471661873</v>
      </c>
      <c r="DR38" s="162">
        <f t="shared" ca="1" si="28"/>
        <v>-42013759.832628384</v>
      </c>
      <c r="DS38" s="162">
        <f t="shared" ca="1" si="28"/>
        <v>-41681567.96634005</v>
      </c>
      <c r="DT38" s="162">
        <f t="shared" ca="1" si="28"/>
        <v>-41344293.141653068</v>
      </c>
      <c r="DU38" s="162">
        <f t="shared" ca="1" si="28"/>
        <v>-43711588.721792668</v>
      </c>
      <c r="DV38" s="162">
        <f t="shared" ca="1" si="28"/>
        <v>-43370990.214855954</v>
      </c>
      <c r="DW38" s="162">
        <f t="shared" ca="1" si="28"/>
        <v>-43025281.27593822</v>
      </c>
      <c r="DX38" s="162">
        <f t="shared" ca="1" si="28"/>
        <v>-42674446.99961286</v>
      </c>
      <c r="DY38" s="162">
        <f t="shared" ca="1" si="28"/>
        <v>-42323829.968561374</v>
      </c>
      <c r="DZ38" s="162">
        <f t="shared" ca="1" si="28"/>
        <v>-41968072.128066532</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-97823.001845480525</v>
      </c>
      <c r="M39" s="168">
        <f ca="1">'FS_Detail(M)'!N287</f>
        <v>-184620.55361488415</v>
      </c>
      <c r="N39" s="168">
        <f ca="1">'FS_Detail(M)'!O287</f>
        <v>-458190.79099061189</v>
      </c>
      <c r="O39" s="168">
        <f ca="1">'FS_Detail(M)'!P287</f>
        <v>-593661.96061074373</v>
      </c>
      <c r="P39" s="168">
        <f ca="1">'FS_Detail(M)'!Q287</f>
        <v>-656567.38379946304</v>
      </c>
      <c r="Q39" s="168">
        <f ca="1">'FS_Detail(M)'!R287</f>
        <v>-3946671.2762699807</v>
      </c>
      <c r="R39" s="168">
        <f ca="1">'FS_Detail(M)'!S287</f>
        <v>-4115993.0389765417</v>
      </c>
      <c r="S39" s="168">
        <f ca="1">'FS_Detail(M)'!T287</f>
        <v>-4109763.5024008425</v>
      </c>
      <c r="T39" s="168">
        <f ca="1">'FS_Detail(M)'!U287</f>
        <v>-4098843.7164683985</v>
      </c>
      <c r="U39" s="168">
        <f ca="1">'FS_Detail(M)'!V287</f>
        <v>-4092193.0672928402</v>
      </c>
      <c r="V39" s="168">
        <f ca="1">'FS_Detail(M)'!W287</f>
        <v>-4081395.5818100949</v>
      </c>
      <c r="W39" s="168">
        <f ca="1">'FS_Detail(M)'!X287</f>
        <v>-7357639.0316274613</v>
      </c>
      <c r="X39" s="168">
        <f ca="1">'FS_Detail(M)'!Y287</f>
        <v>-7378404.3702933555</v>
      </c>
      <c r="Y39" s="168">
        <f ca="1">'FS_Detail(M)'!Z287</f>
        <v>-7398922.785765483</v>
      </c>
      <c r="Z39" s="168">
        <f ca="1">'FS_Detail(M)'!AA287</f>
        <v>-7611238.4149584882</v>
      </c>
      <c r="AA39" s="168">
        <f ca="1">'FS_Detail(M)'!AB287</f>
        <v>-7730678.4147851784</v>
      </c>
      <c r="AB39" s="168">
        <f ca="1">'FS_Detail(M)'!AC287</f>
        <v>-7775779.2723957878</v>
      </c>
      <c r="AC39" s="168">
        <f ca="1">'FS_Detail(M)'!AD287</f>
        <v>-10492049.427744329</v>
      </c>
      <c r="AD39" s="168">
        <f ca="1">'FS_Detail(M)'!AE287</f>
        <v>-10644253.935917027</v>
      </c>
      <c r="AE39" s="168">
        <f ca="1">'FS_Detail(M)'!AF287</f>
        <v>-10616553.474181954</v>
      </c>
      <c r="AF39" s="168">
        <f ca="1">'FS_Detail(M)'!AG287</f>
        <v>-10584080.721122343</v>
      </c>
      <c r="AG39" s="168">
        <f ca="1">'FS_Detail(M)'!AH287</f>
        <v>-10555979.502569187</v>
      </c>
      <c r="AH39" s="168">
        <f ca="1">'FS_Detail(M)'!AI287</f>
        <v>-10523663.081144448</v>
      </c>
      <c r="AI39" s="168">
        <f ca="1">'FS_Detail(M)'!AJ287</f>
        <v>-13223902.679929886</v>
      </c>
      <c r="AJ39" s="168">
        <f ca="1">'FS_Detail(M)'!AK287</f>
        <v>-13212173.807325697</v>
      </c>
      <c r="AK39" s="168">
        <f ca="1">'FS_Detail(M)'!AL287</f>
        <v>-13220666.942400396</v>
      </c>
      <c r="AL39" s="168">
        <f ca="1">'FS_Detail(M)'!AM287</f>
        <v>-13249458.036111593</v>
      </c>
      <c r="AM39" s="168">
        <f ca="1">'FS_Detail(M)'!AN287</f>
        <v>-13214096.078817664</v>
      </c>
      <c r="AN39" s="168">
        <f ca="1">'FS_Detail(M)'!AO287</f>
        <v>-13246804.325018294</v>
      </c>
      <c r="AO39" s="168">
        <f ca="1">'FS_Detail(M)'!AP287</f>
        <v>-15949569.966609169</v>
      </c>
      <c r="AP39" s="168">
        <f ca="1">'FS_Detail(M)'!AQ287</f>
        <v>-15910076.104393374</v>
      </c>
      <c r="AQ39" s="168">
        <f ca="1">'FS_Detail(M)'!AR287</f>
        <v>-16929312.092703406</v>
      </c>
      <c r="AR39" s="168">
        <f ca="1">'FS_Detail(M)'!AS287</f>
        <v>-17920677.252403468</v>
      </c>
      <c r="AS39" s="168">
        <f ca="1">'FS_Detail(M)'!AT287</f>
        <v>-18984371.031842548</v>
      </c>
      <c r="AT39" s="168">
        <f ca="1">'FS_Detail(M)'!AU287</f>
        <v>-19978876.596323017</v>
      </c>
      <c r="AU39" s="168">
        <f ca="1">'FS_Detail(M)'!AV287</f>
        <v>-23709653.338262208</v>
      </c>
      <c r="AV39" s="168">
        <f ca="1">'FS_Detail(M)'!AW287</f>
        <v>-23657923.205105659</v>
      </c>
      <c r="AW39" s="168">
        <f ca="1">'FS_Detail(M)'!AX287</f>
        <v>-23597745.167320509</v>
      </c>
      <c r="AX39" s="168">
        <f ca="1">'FS_Detail(M)'!AY287</f>
        <v>-23535347.986341719</v>
      </c>
      <c r="AY39" s="168">
        <f ca="1">'FS_Detail(M)'!AZ287</f>
        <v>-23479865.205125567</v>
      </c>
      <c r="AZ39" s="168">
        <f ca="1">'FS_Detail(M)'!BA287</f>
        <v>-23466539.796118207</v>
      </c>
      <c r="BA39" s="168">
        <f ca="1">'FS_Detail(M)'!BB287</f>
        <v>-26122099.826028068</v>
      </c>
      <c r="BB39" s="168">
        <f ca="1">'FS_Detail(M)'!BC287</f>
        <v>-26034915.959454898</v>
      </c>
      <c r="BC39" s="168">
        <f ca="1">'FS_Detail(M)'!BD287</f>
        <v>-25942689.083930913</v>
      </c>
      <c r="BD39" s="168">
        <f ca="1">'FS_Detail(M)'!BE287</f>
        <v>-25845962.88340519</v>
      </c>
      <c r="BE39" s="168">
        <f ca="1">'FS_Detail(M)'!BF287</f>
        <v>-25750839.093652368</v>
      </c>
      <c r="BF39" s="168">
        <f ca="1">'FS_Detail(M)'!BG287</f>
        <v>-25651206.532088079</v>
      </c>
      <c r="BG39" s="168">
        <f ca="1">'FS_Detail(M)'!BH287</f>
        <v>-28263152.209842488</v>
      </c>
      <c r="BH39" s="168">
        <f ca="1">'FS_Detail(M)'!BI287</f>
        <v>-28173122.183900803</v>
      </c>
      <c r="BI39" s="168">
        <f ca="1">'FS_Detail(M)'!BJ287</f>
        <v>-28074399.466921516</v>
      </c>
      <c r="BJ39" s="168">
        <f ca="1">'FS_Detail(M)'!BK287</f>
        <v>-27966846.725993801</v>
      </c>
      <c r="BK39" s="168">
        <f ca="1">'FS_Detail(M)'!BL287</f>
        <v>-27850896.542772509</v>
      </c>
      <c r="BL39" s="168">
        <f ca="1">'FS_Detail(M)'!BM287</f>
        <v>-27806421.145375546</v>
      </c>
      <c r="BM39" s="168">
        <f ca="1">'FS_Detail(M)'!BN287</f>
        <v>-30410742.635210212</v>
      </c>
      <c r="BN39" s="168">
        <f ca="1">'FS_Detail(M)'!BO287</f>
        <v>-30289494.963480946</v>
      </c>
      <c r="BO39" s="168">
        <f ca="1">'FS_Detail(M)'!BP287</f>
        <v>-30163655.438949369</v>
      </c>
      <c r="BP39" s="168">
        <f ca="1">'FS_Detail(M)'!BQ287</f>
        <v>-30033210.66871148</v>
      </c>
      <c r="BQ39" s="168">
        <f ca="1">'FS_Detail(M)'!BR287</f>
        <v>-29904228.977300879</v>
      </c>
      <c r="BR39" s="168">
        <f ca="1">'FS_Detail(M)'!BS287</f>
        <v>-29770631.853117097</v>
      </c>
      <c r="BS39" s="168">
        <f ca="1">'FS_Detail(M)'!BT287</f>
        <v>-32235218.787569769</v>
      </c>
      <c r="BT39" s="168">
        <f ca="1">'FS_Detail(M)'!BU287</f>
        <v>-32057513.687895317</v>
      </c>
      <c r="BU39" s="168">
        <f ca="1">'FS_Detail(M)'!BV287</f>
        <v>-31870812.566859446</v>
      </c>
      <c r="BV39" s="168">
        <f ca="1">'FS_Detail(M)'!BW287</f>
        <v>-31675062.265215244</v>
      </c>
      <c r="BW39" s="168">
        <f ca="1">'FS_Detail(M)'!BX287</f>
        <v>-31470050.978511017</v>
      </c>
      <c r="BX39" s="168">
        <f ca="1">'FS_Detail(M)'!BY287</f>
        <v>-31338303.043248747</v>
      </c>
      <c r="BY39" s="168">
        <f ca="1">'FS_Detail(M)'!BZ287</f>
        <v>-33836198.281975016</v>
      </c>
      <c r="BZ39" s="168">
        <f ca="1">'FS_Detail(M)'!CA287</f>
        <v>-33624846.218539774</v>
      </c>
      <c r="CA39" s="168">
        <f ca="1">'FS_Detail(M)'!CB287</f>
        <v>-33408786.545305412</v>
      </c>
      <c r="CB39" s="168">
        <f ca="1">'FS_Detail(M)'!CC287</f>
        <v>-33188005.531743344</v>
      </c>
      <c r="CC39" s="168">
        <f ca="1">'FS_Detail(M)'!CD287</f>
        <v>-32968062.719401971</v>
      </c>
      <c r="CD39" s="168">
        <f ca="1">'FS_Detail(M)'!CE287</f>
        <v>-32743386.192936689</v>
      </c>
      <c r="CE39" s="168">
        <f ca="1">'FS_Detail(M)'!CF287</f>
        <v>-35399161.577264465</v>
      </c>
      <c r="CF39" s="168">
        <f ca="1">'FS_Detail(M)'!CG287</f>
        <v>-35183832.548782118</v>
      </c>
      <c r="CG39" s="168">
        <f ca="1">'FS_Detail(M)'!CH287</f>
        <v>-34959191.382385358</v>
      </c>
      <c r="CH39" s="168">
        <f ca="1">'FS_Detail(M)'!CI287</f>
        <v>-34725269.344350807</v>
      </c>
      <c r="CI39" s="168">
        <f ca="1">'FS_Detail(M)'!CJ287</f>
        <v>-34481671.662075318</v>
      </c>
      <c r="CJ39" s="168">
        <f ca="1">'FS_Detail(M)'!CK287</f>
        <v>-34313164.947253577</v>
      </c>
      <c r="CK39" s="168">
        <f ca="1">'FS_Detail(M)'!CL287</f>
        <v>-36810004.071909137</v>
      </c>
      <c r="CL39" s="168">
        <f ca="1">'FS_Detail(M)'!CM287</f>
        <v>-36559618.187164873</v>
      </c>
      <c r="CM39" s="168">
        <f ca="1">'FS_Detail(M)'!CN287</f>
        <v>-36304402.191958822</v>
      </c>
      <c r="CN39" s="168">
        <f ca="1">'FS_Detail(M)'!CO287</f>
        <v>-36044341.998468801</v>
      </c>
      <c r="CO39" s="168">
        <f ca="1">'FS_Detail(M)'!CP287</f>
        <v>-35784953.078779042</v>
      </c>
      <c r="CP39" s="168">
        <f ca="1">'FS_Detail(M)'!CQ287</f>
        <v>-35520706.715602413</v>
      </c>
      <c r="CQ39" s="168">
        <f ca="1">'FS_Detail(M)'!CR287</f>
        <v>-37967640.134728983</v>
      </c>
      <c r="CR39" s="168">
        <f ca="1">'FS_Detail(M)'!CS287</f>
        <v>-37712086.018898919</v>
      </c>
      <c r="CS39" s="168">
        <f ca="1">'FS_Detail(M)'!CT287</f>
        <v>-37446892.486982755</v>
      </c>
      <c r="CT39" s="168">
        <f ca="1">'FS_Detail(M)'!CU287</f>
        <v>-37172175.529750668</v>
      </c>
      <c r="CU39" s="168">
        <f ca="1">'FS_Detail(M)'!CV287</f>
        <v>-36887352.782573566</v>
      </c>
      <c r="CV39" s="168">
        <f ca="1">'FS_Detail(M)'!CW287</f>
        <v>-36679489.250043571</v>
      </c>
      <c r="CW39" s="168">
        <f ca="1">'FS_Detail(M)'!CX287</f>
        <v>-39135721.149656087</v>
      </c>
      <c r="CX39" s="168">
        <f ca="1">'FS_Detail(M)'!CY287</f>
        <v>-39480502.749344312</v>
      </c>
      <c r="CY39" s="168">
        <f ca="1">'FS_Detail(M)'!CZ287</f>
        <v>-39222215.113229915</v>
      </c>
      <c r="CZ39" s="168">
        <f ca="1">'FS_Detail(M)'!DA287</f>
        <v>-38959076.015492819</v>
      </c>
      <c r="DA39" s="168">
        <f ca="1">'FS_Detail(M)'!DB287</f>
        <v>-38773735.199214585</v>
      </c>
      <c r="DB39" s="168">
        <f ca="1">'FS_Detail(M)'!DC287</f>
        <v>-38506390.649859317</v>
      </c>
      <c r="DC39" s="168">
        <f ca="1">'FS_Detail(M)'!DD287</f>
        <v>-40950202.744290479</v>
      </c>
      <c r="DD39" s="168">
        <f ca="1">'FS_Detail(M)'!DE287</f>
        <v>-40691507.884877302</v>
      </c>
      <c r="DE39" s="168">
        <f ca="1">'FS_Detail(M)'!DF287</f>
        <v>-40423153.641116671</v>
      </c>
      <c r="DF39" s="168">
        <f ca="1">'FS_Detail(M)'!DG287</f>
        <v>-40162892.190716565</v>
      </c>
      <c r="DG39" s="168">
        <f ca="1">'FS_Detail(M)'!DH287</f>
        <v>-39916783.989989035</v>
      </c>
      <c r="DH39" s="168">
        <f ca="1">'FS_Detail(M)'!DI287</f>
        <v>-39623648.727474883</v>
      </c>
      <c r="DI39" s="168">
        <f ca="1">'FS_Detail(M)'!DJ287</f>
        <v>-42066641.032342024</v>
      </c>
      <c r="DJ39" s="168">
        <f ca="1">'FS_Detail(M)'!DK287</f>
        <v>-41771401.277737409</v>
      </c>
      <c r="DK39" s="168">
        <f ca="1">'FS_Detail(M)'!DL287</f>
        <v>-41470561.195579283</v>
      </c>
      <c r="DL39" s="168">
        <f ca="1">'FS_Detail(M)'!DM287</f>
        <v>-41164736.221694246</v>
      </c>
      <c r="DM39" s="168">
        <f ca="1">'FS_Detail(M)'!DN287</f>
        <v>-40859296.042987205</v>
      </c>
      <c r="DN39" s="168">
        <f ca="1">'FS_Detail(M)'!DO287</f>
        <v>-40548856.427051812</v>
      </c>
      <c r="DO39" s="168">
        <f ca="1">'FS_Detail(M)'!DP287</f>
        <v>-42949422.880293213</v>
      </c>
      <c r="DP39" s="168">
        <f ca="1">'FS_Detail(M)'!DQ287</f>
        <v>-42647449.254105046</v>
      </c>
      <c r="DQ39" s="168">
        <f ca="1">'FS_Detail(M)'!DR287</f>
        <v>-42335477.471661873</v>
      </c>
      <c r="DR39" s="168">
        <f ca="1">'FS_Detail(M)'!DS287</f>
        <v>-42013759.832628384</v>
      </c>
      <c r="DS39" s="168">
        <f ca="1">'FS_Detail(M)'!DT287</f>
        <v>-41681567.96634005</v>
      </c>
      <c r="DT39" s="168">
        <f ca="1">'FS_Detail(M)'!DU287</f>
        <v>-41344293.141653068</v>
      </c>
      <c r="DU39" s="168">
        <f ca="1">'FS_Detail(M)'!DV287</f>
        <v>-43711588.721792668</v>
      </c>
      <c r="DV39" s="168">
        <f ca="1">'FS_Detail(M)'!DW287</f>
        <v>-43370990.214855954</v>
      </c>
      <c r="DW39" s="168">
        <f ca="1">'FS_Detail(M)'!DX287</f>
        <v>-43025281.27593822</v>
      </c>
      <c r="DX39" s="168">
        <f ca="1">'FS_Detail(M)'!DY287</f>
        <v>-42674446.99961286</v>
      </c>
      <c r="DY39" s="168">
        <f ca="1">'FS_Detail(M)'!DZ287</f>
        <v>-42323829.968561374</v>
      </c>
      <c r="DZ39" s="168">
        <f ca="1">'FS_Detail(M)'!EA287</f>
        <v>-41968072.128066532</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566</v>
      </c>
      <c r="C40" s="231"/>
      <c r="D40" s="231"/>
      <c r="E40" s="231"/>
      <c r="F40" s="231"/>
      <c r="G40" s="231"/>
      <c r="H40" s="232"/>
      <c r="I40" s="978"/>
      <c r="K40" s="235">
        <f ca="1">SUM(K24,K34)</f>
        <v>311756669.63053203</v>
      </c>
      <c r="L40" s="235">
        <f t="shared" ref="L40:BW40" ca="1" si="30">SUM(L24,L34)</f>
        <v>312789317.55049396</v>
      </c>
      <c r="M40" s="235">
        <f t="shared" ca="1" si="30"/>
        <v>313811318.7559185</v>
      </c>
      <c r="N40" s="235">
        <f t="shared" ca="1" si="30"/>
        <v>298630183.08006048</v>
      </c>
      <c r="O40" s="235">
        <f t="shared" ca="1" si="30"/>
        <v>299567288.7812804</v>
      </c>
      <c r="P40" s="235">
        <f t="shared" ca="1" si="30"/>
        <v>300583847.83225679</v>
      </c>
      <c r="Q40" s="235">
        <f t="shared" ca="1" si="30"/>
        <v>295296566.39706337</v>
      </c>
      <c r="R40" s="235">
        <f t="shared" ca="1" si="30"/>
        <v>296197121.80428827</v>
      </c>
      <c r="S40" s="235">
        <f t="shared" ca="1" si="30"/>
        <v>297290425.32990789</v>
      </c>
      <c r="T40" s="235">
        <f t="shared" ca="1" si="30"/>
        <v>295199586.38958269</v>
      </c>
      <c r="U40" s="235">
        <f t="shared" ca="1" si="30"/>
        <v>296293420.01963973</v>
      </c>
      <c r="V40" s="235">
        <f t="shared" ca="1" si="30"/>
        <v>297030055.78433722</v>
      </c>
      <c r="W40" s="235">
        <f t="shared" ca="1" si="30"/>
        <v>291734310.17503923</v>
      </c>
      <c r="X40" s="235">
        <f t="shared" ca="1" si="30"/>
        <v>292798913.8208006</v>
      </c>
      <c r="Y40" s="235">
        <f t="shared" ca="1" si="30"/>
        <v>293734121.19945186</v>
      </c>
      <c r="Z40" s="235">
        <f t="shared" ca="1" si="30"/>
        <v>291561676.00821757</v>
      </c>
      <c r="AA40" s="235">
        <f t="shared" ca="1" si="30"/>
        <v>292517681.414469</v>
      </c>
      <c r="AB40" s="235">
        <f t="shared" ca="1" si="30"/>
        <v>293555085.75634456</v>
      </c>
      <c r="AC40" s="235">
        <f t="shared" ca="1" si="30"/>
        <v>288835567.04853904</v>
      </c>
      <c r="AD40" s="235">
        <f t="shared" ca="1" si="30"/>
        <v>289756040.75301301</v>
      </c>
      <c r="AE40" s="235">
        <f t="shared" ca="1" si="30"/>
        <v>290874046.16698515</v>
      </c>
      <c r="AF40" s="235">
        <f t="shared" ca="1" si="30"/>
        <v>288744629.73290378</v>
      </c>
      <c r="AG40" s="235">
        <f t="shared" ca="1" si="30"/>
        <v>289863147.62032741</v>
      </c>
      <c r="AH40" s="235">
        <f t="shared" ca="1" si="30"/>
        <v>290597106.66114759</v>
      </c>
      <c r="AI40" s="235">
        <f t="shared" ca="1" si="30"/>
        <v>290870735.77772844</v>
      </c>
      <c r="AJ40" s="235">
        <f t="shared" ca="1" si="30"/>
        <v>291998436.58106124</v>
      </c>
      <c r="AK40" s="235">
        <f t="shared" ca="1" si="30"/>
        <v>292971613.51862764</v>
      </c>
      <c r="AL40" s="235">
        <f t="shared" ca="1" si="30"/>
        <v>290924177.30674839</v>
      </c>
      <c r="AM40" s="235">
        <f t="shared" ca="1" si="30"/>
        <v>292077749.26345915</v>
      </c>
      <c r="AN40" s="235">
        <f t="shared" ca="1" si="30"/>
        <v>293156012.60911131</v>
      </c>
      <c r="AO40" s="235">
        <f t="shared" ca="1" si="30"/>
        <v>288378654.18319094</v>
      </c>
      <c r="AP40" s="235">
        <f t="shared" ca="1" si="30"/>
        <v>289537228.89337838</v>
      </c>
      <c r="AQ40" s="235">
        <f t="shared" ca="1" si="30"/>
        <v>289530767.92163634</v>
      </c>
      <c r="AR40" s="235">
        <f t="shared" ca="1" si="30"/>
        <v>286405075.11905622</v>
      </c>
      <c r="AS40" s="235">
        <f t="shared" ca="1" si="30"/>
        <v>286357241.30023891</v>
      </c>
      <c r="AT40" s="235">
        <f t="shared" ca="1" si="30"/>
        <v>285995653.25764728</v>
      </c>
      <c r="AU40" s="235">
        <f t="shared" ca="1" si="30"/>
        <v>280387745.40140474</v>
      </c>
      <c r="AV40" s="235">
        <f t="shared" ca="1" si="30"/>
        <v>281561770.24582613</v>
      </c>
      <c r="AW40" s="235">
        <f t="shared" ca="1" si="30"/>
        <v>282610149.53504914</v>
      </c>
      <c r="AX40" s="235">
        <f t="shared" ca="1" si="30"/>
        <v>280639090.90251446</v>
      </c>
      <c r="AY40" s="235">
        <f t="shared" ca="1" si="30"/>
        <v>281819821.05385554</v>
      </c>
      <c r="AZ40" s="235">
        <f t="shared" ca="1" si="30"/>
        <v>282950974.46523464</v>
      </c>
      <c r="BA40" s="235">
        <f t="shared" ca="1" si="30"/>
        <v>278206863.32059926</v>
      </c>
      <c r="BB40" s="235">
        <f t="shared" ca="1" si="30"/>
        <v>279420181.5159055</v>
      </c>
      <c r="BC40" s="235">
        <f t="shared" ca="1" si="30"/>
        <v>280638542.72016251</v>
      </c>
      <c r="BD40" s="235">
        <f t="shared" ca="1" si="30"/>
        <v>278476942.37559843</v>
      </c>
      <c r="BE40" s="235">
        <f t="shared" ca="1" si="30"/>
        <v>279698542.48604697</v>
      </c>
      <c r="BF40" s="235">
        <f t="shared" ca="1" si="30"/>
        <v>280547453.06615502</v>
      </c>
      <c r="BG40" s="235">
        <f t="shared" ca="1" si="30"/>
        <v>275837079.00478041</v>
      </c>
      <c r="BH40" s="235">
        <f t="shared" ca="1" si="30"/>
        <v>277053850.45752573</v>
      </c>
      <c r="BI40" s="235">
        <f t="shared" ca="1" si="30"/>
        <v>278142535.32278872</v>
      </c>
      <c r="BJ40" s="235">
        <f t="shared" ca="1" si="30"/>
        <v>276208478.96457833</v>
      </c>
      <c r="BK40" s="235">
        <f t="shared" ca="1" si="30"/>
        <v>277453538.41148013</v>
      </c>
      <c r="BL40" s="235">
        <f t="shared" ca="1" si="30"/>
        <v>278619518.22061062</v>
      </c>
      <c r="BM40" s="235">
        <f t="shared" ca="1" si="30"/>
        <v>273919091.67047334</v>
      </c>
      <c r="BN40" s="235">
        <f t="shared" ca="1" si="30"/>
        <v>275170363.39961708</v>
      </c>
      <c r="BO40" s="235">
        <f t="shared" ca="1" si="30"/>
        <v>276426226.98156309</v>
      </c>
      <c r="BP40" s="235">
        <f t="shared" ca="1" si="30"/>
        <v>274286958.11537218</v>
      </c>
      <c r="BQ40" s="235">
        <f t="shared" ca="1" si="30"/>
        <v>275546314.40595889</v>
      </c>
      <c r="BR40" s="235">
        <f t="shared" ca="1" si="30"/>
        <v>276438745.80169916</v>
      </c>
      <c r="BS40" s="235">
        <f t="shared" ca="1" si="30"/>
        <v>271867918.28400582</v>
      </c>
      <c r="BT40" s="235">
        <f t="shared" ca="1" si="30"/>
        <v>273123034.95074862</v>
      </c>
      <c r="BU40" s="235">
        <f t="shared" ca="1" si="30"/>
        <v>274247635.87395668</v>
      </c>
      <c r="BV40" s="235">
        <f t="shared" ca="1" si="30"/>
        <v>272501234.14013499</v>
      </c>
      <c r="BW40" s="235">
        <f t="shared" ca="1" si="30"/>
        <v>273786084.0267064</v>
      </c>
      <c r="BX40" s="235">
        <f t="shared" ref="BX40:DO40" ca="1" si="31">SUM(BX24,BX34)</f>
        <v>274989875.58859015</v>
      </c>
      <c r="BY40" s="235">
        <f t="shared" ca="1" si="31"/>
        <v>270494640.22750413</v>
      </c>
      <c r="BZ40" s="235">
        <f t="shared" ca="1" si="31"/>
        <v>271786768.55438381</v>
      </c>
      <c r="CA40" s="235">
        <f t="shared" ca="1" si="31"/>
        <v>273083604.49106258</v>
      </c>
      <c r="CB40" s="235">
        <f t="shared" ca="1" si="31"/>
        <v>271129537.11401039</v>
      </c>
      <c r="CC40" s="235">
        <f t="shared" ca="1" si="31"/>
        <v>272430615.49510193</v>
      </c>
      <c r="CD40" s="235">
        <f t="shared" ca="1" si="31"/>
        <v>273370460.367612</v>
      </c>
      <c r="CE40" s="235">
        <f t="shared" ca="1" si="31"/>
        <v>268706955.94991291</v>
      </c>
      <c r="CF40" s="235">
        <f t="shared" ca="1" si="31"/>
        <v>270003729.56878877</v>
      </c>
      <c r="CG40" s="235">
        <f t="shared" ca="1" si="31"/>
        <v>271167516.50205898</v>
      </c>
      <c r="CH40" s="235">
        <f t="shared" ca="1" si="31"/>
        <v>269452082.37444556</v>
      </c>
      <c r="CI40" s="235">
        <f t="shared" ca="1" si="31"/>
        <v>270779612.35573334</v>
      </c>
      <c r="CJ40" s="235">
        <f t="shared" ca="1" si="31"/>
        <v>272024061.5219906</v>
      </c>
      <c r="CK40" s="235">
        <f t="shared" ca="1" si="31"/>
        <v>267521972.61267629</v>
      </c>
      <c r="CL40" s="235">
        <f t="shared" ca="1" si="31"/>
        <v>268857251.90159953</v>
      </c>
      <c r="CM40" s="235">
        <f t="shared" ca="1" si="31"/>
        <v>270197361.30098456</v>
      </c>
      <c r="CN40" s="235">
        <f t="shared" ca="1" si="31"/>
        <v>268270684.57628554</v>
      </c>
      <c r="CO40" s="235">
        <f t="shared" ca="1" si="31"/>
        <v>269615335.18809259</v>
      </c>
      <c r="CP40" s="235">
        <f t="shared" ca="1" si="31"/>
        <v>270604365.52902186</v>
      </c>
      <c r="CQ40" s="235">
        <f t="shared" ca="1" si="31"/>
        <v>266141533.69144964</v>
      </c>
      <c r="CR40" s="235">
        <f t="shared" ca="1" si="31"/>
        <v>267482680.77435493</v>
      </c>
      <c r="CS40" s="235">
        <f t="shared" ca="1" si="31"/>
        <v>268688325.72944677</v>
      </c>
      <c r="CT40" s="235">
        <f t="shared" ca="1" si="31"/>
        <v>267006316.81536758</v>
      </c>
      <c r="CU40" s="235">
        <f t="shared" ca="1" si="31"/>
        <v>268379282.43095416</v>
      </c>
      <c r="CV40" s="235">
        <f t="shared" ca="1" si="31"/>
        <v>269667099.23812735</v>
      </c>
      <c r="CW40" s="235">
        <f t="shared" ca="1" si="31"/>
        <v>265197528.65246394</v>
      </c>
      <c r="CX40" s="235">
        <f t="shared" ca="1" si="31"/>
        <v>265938192.55476028</v>
      </c>
      <c r="CY40" s="235">
        <f t="shared" ca="1" si="31"/>
        <v>267281925.69285923</v>
      </c>
      <c r="CZ40" s="235">
        <f t="shared" ca="1" si="31"/>
        <v>265353544.31808773</v>
      </c>
      <c r="DA40" s="235">
        <f t="shared" ca="1" si="31"/>
        <v>266624708.13148737</v>
      </c>
      <c r="DB40" s="235">
        <f t="shared" ca="1" si="31"/>
        <v>267622805.12931475</v>
      </c>
      <c r="DC40" s="235">
        <f t="shared" ca="1" si="31"/>
        <v>263162104.49764261</v>
      </c>
      <c r="DD40" s="235">
        <f t="shared" ca="1" si="31"/>
        <v>264506984.43699414</v>
      </c>
      <c r="DE40" s="235">
        <f t="shared" ca="1" si="31"/>
        <v>265713463.5107235</v>
      </c>
      <c r="DF40" s="235">
        <f t="shared" ca="1" si="31"/>
        <v>264016826.83675775</v>
      </c>
      <c r="DG40" s="235">
        <f t="shared" ca="1" si="31"/>
        <v>265351704.0149799</v>
      </c>
      <c r="DH40" s="235">
        <f t="shared" ca="1" si="31"/>
        <v>266733608.25498867</v>
      </c>
      <c r="DI40" s="235">
        <f t="shared" ca="1" si="31"/>
        <v>262268017.84590569</v>
      </c>
      <c r="DJ40" s="235">
        <f t="shared" ca="1" si="31"/>
        <v>263653014.74708694</v>
      </c>
      <c r="DK40" s="235">
        <f t="shared" ca="1" si="31"/>
        <v>265043611.97582173</v>
      </c>
      <c r="DL40" s="235">
        <f t="shared" ca="1" si="31"/>
        <v>263145587.49486601</v>
      </c>
      <c r="DM40" s="235">
        <f t="shared" ca="1" si="31"/>
        <v>264541171.75266498</v>
      </c>
      <c r="DN40" s="235">
        <f t="shared" ca="1" si="31"/>
        <v>265592010.95727274</v>
      </c>
      <c r="DO40" s="235">
        <f t="shared" ca="1" si="31"/>
        <v>261166096.19662091</v>
      </c>
      <c r="DP40" s="235">
        <f t="shared" ref="DP40:EP40" ca="1" si="32">SUM(DP24,DP34)</f>
        <v>262558598.8690238</v>
      </c>
      <c r="DQ40" s="235">
        <f t="shared" ca="1" si="32"/>
        <v>263810081.56757984</v>
      </c>
      <c r="DR40" s="235">
        <f t="shared" ca="1" si="32"/>
        <v>262167272.70570427</v>
      </c>
      <c r="DS40" s="235">
        <f t="shared" ca="1" si="32"/>
        <v>263592593.04677981</v>
      </c>
      <c r="DT40" s="235">
        <f t="shared" ca="1" si="32"/>
        <v>265022996.34625405</v>
      </c>
      <c r="DU40" s="235">
        <f t="shared" ca="1" si="32"/>
        <v>260624616.25290397</v>
      </c>
      <c r="DV40" s="235">
        <f t="shared" ca="1" si="32"/>
        <v>262059356.10793704</v>
      </c>
      <c r="DW40" s="235">
        <f t="shared" ca="1" si="32"/>
        <v>263499206.39495108</v>
      </c>
      <c r="DX40" s="235">
        <f t="shared" ca="1" si="32"/>
        <v>261633689.55032906</v>
      </c>
      <c r="DY40" s="235">
        <f t="shared" ca="1" si="32"/>
        <v>263078844.53530496</v>
      </c>
      <c r="DZ40" s="235">
        <f t="shared" ca="1" si="32"/>
        <v>264184642.00666103</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567</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L16" activePane="bottomRight" state="frozen"/>
      <selection activeCell="M268" sqref="M268"/>
      <selection pane="topRight" activeCell="M268" sqref="M268"/>
      <selection pane="bottomLeft" activeCell="M268" sqref="M268"/>
      <selection pane="bottomRight" activeCell="L13" sqref="L13"/>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1229</v>
      </c>
      <c r="C13" s="148"/>
      <c r="D13" s="148"/>
      <c r="E13" s="148"/>
      <c r="F13" s="148"/>
      <c r="G13" s="148"/>
      <c r="H13" s="148">
        <f>'DSCR(선,중)'!$E$1</f>
        <v>3</v>
      </c>
      <c r="I13" s="209">
        <f>'A&amp;R'!M32</f>
        <v>46326</v>
      </c>
      <c r="J13" s="209">
        <f>EOMONTH(I13-1,'A&amp;R'!O32)</f>
        <v>47057</v>
      </c>
      <c r="K13" s="148"/>
      <c r="M13" s="2099">
        <f>ROUNDUP(DATEDIF($I13-1,M$6+1,"m")/$H13,)*(M$6&lt;=$J$13)</f>
        <v>0</v>
      </c>
      <c r="N13" s="2099">
        <f t="shared" ref="N13:BY13" si="0">ROUNDUP(DATEDIF($I13-1,N$6+1,"m")/$H13,)*(N$6&lt;=$J$13)</f>
        <v>1</v>
      </c>
      <c r="O13" s="2099">
        <f t="shared" si="0"/>
        <v>1</v>
      </c>
      <c r="P13" s="2099">
        <f t="shared" si="0"/>
        <v>1</v>
      </c>
      <c r="Q13" s="2099">
        <f t="shared" si="0"/>
        <v>2</v>
      </c>
      <c r="R13" s="2099">
        <f t="shared" si="0"/>
        <v>2</v>
      </c>
      <c r="S13" s="2099">
        <f t="shared" si="0"/>
        <v>2</v>
      </c>
      <c r="T13" s="2099">
        <f t="shared" si="0"/>
        <v>3</v>
      </c>
      <c r="U13" s="2099">
        <f t="shared" si="0"/>
        <v>3</v>
      </c>
      <c r="V13" s="2099">
        <f t="shared" si="0"/>
        <v>3</v>
      </c>
      <c r="W13" s="2099">
        <f t="shared" si="0"/>
        <v>4</v>
      </c>
      <c r="X13" s="2099">
        <f t="shared" si="0"/>
        <v>4</v>
      </c>
      <c r="Y13" s="2099">
        <f t="shared" si="0"/>
        <v>4</v>
      </c>
      <c r="Z13" s="2099">
        <f t="shared" si="0"/>
        <v>5</v>
      </c>
      <c r="AA13" s="2099">
        <f t="shared" si="0"/>
        <v>5</v>
      </c>
      <c r="AB13" s="2099">
        <f t="shared" si="0"/>
        <v>5</v>
      </c>
      <c r="AC13" s="2099">
        <f t="shared" si="0"/>
        <v>6</v>
      </c>
      <c r="AD13" s="2099">
        <f t="shared" si="0"/>
        <v>6</v>
      </c>
      <c r="AE13" s="2099">
        <f t="shared" si="0"/>
        <v>6</v>
      </c>
      <c r="AF13" s="2099">
        <f t="shared" si="0"/>
        <v>7</v>
      </c>
      <c r="AG13" s="2099">
        <f t="shared" si="0"/>
        <v>7</v>
      </c>
      <c r="AH13" s="2099">
        <f t="shared" si="0"/>
        <v>7</v>
      </c>
      <c r="AI13" s="2099">
        <f t="shared" si="0"/>
        <v>8</v>
      </c>
      <c r="AJ13" s="2099">
        <f t="shared" si="0"/>
        <v>8</v>
      </c>
      <c r="AK13" s="2099">
        <f t="shared" si="0"/>
        <v>8</v>
      </c>
      <c r="AL13" s="2099">
        <f t="shared" si="0"/>
        <v>0</v>
      </c>
      <c r="AM13" s="2099">
        <f t="shared" si="0"/>
        <v>0</v>
      </c>
      <c r="AN13" s="2099">
        <f t="shared" si="0"/>
        <v>0</v>
      </c>
      <c r="AO13" s="2099">
        <f t="shared" si="0"/>
        <v>0</v>
      </c>
      <c r="AP13" s="2099">
        <f t="shared" si="0"/>
        <v>0</v>
      </c>
      <c r="AQ13" s="2099">
        <f t="shared" si="0"/>
        <v>0</v>
      </c>
      <c r="AR13" s="2099">
        <f t="shared" si="0"/>
        <v>0</v>
      </c>
      <c r="AS13" s="2099">
        <f t="shared" si="0"/>
        <v>0</v>
      </c>
      <c r="AT13" s="2099">
        <f t="shared" si="0"/>
        <v>0</v>
      </c>
      <c r="AU13" s="2099">
        <f t="shared" si="0"/>
        <v>0</v>
      </c>
      <c r="AV13" s="2099">
        <f t="shared" si="0"/>
        <v>0</v>
      </c>
      <c r="AW13" s="2099">
        <f t="shared" si="0"/>
        <v>0</v>
      </c>
      <c r="AX13" s="2099">
        <f t="shared" si="0"/>
        <v>0</v>
      </c>
      <c r="AY13" s="2099">
        <f t="shared" si="0"/>
        <v>0</v>
      </c>
      <c r="AZ13" s="2099">
        <f t="shared" si="0"/>
        <v>0</v>
      </c>
      <c r="BA13" s="2099">
        <f t="shared" si="0"/>
        <v>0</v>
      </c>
      <c r="BB13" s="2099">
        <f t="shared" si="0"/>
        <v>0</v>
      </c>
      <c r="BC13" s="2099">
        <f t="shared" si="0"/>
        <v>0</v>
      </c>
      <c r="BD13" s="2099">
        <f t="shared" si="0"/>
        <v>0</v>
      </c>
      <c r="BE13" s="2099">
        <f t="shared" si="0"/>
        <v>0</v>
      </c>
      <c r="BF13" s="2099">
        <f t="shared" si="0"/>
        <v>0</v>
      </c>
      <c r="BG13" s="2099">
        <f t="shared" si="0"/>
        <v>0</v>
      </c>
      <c r="BH13" s="2099">
        <f t="shared" si="0"/>
        <v>0</v>
      </c>
      <c r="BI13" s="2099">
        <f t="shared" si="0"/>
        <v>0</v>
      </c>
      <c r="BJ13" s="2099">
        <f t="shared" si="0"/>
        <v>0</v>
      </c>
      <c r="BK13" s="2099">
        <f t="shared" si="0"/>
        <v>0</v>
      </c>
      <c r="BL13" s="2099">
        <f t="shared" si="0"/>
        <v>0</v>
      </c>
      <c r="BM13" s="2099">
        <f t="shared" si="0"/>
        <v>0</v>
      </c>
      <c r="BN13" s="2099">
        <f t="shared" si="0"/>
        <v>0</v>
      </c>
      <c r="BO13" s="2099">
        <f t="shared" si="0"/>
        <v>0</v>
      </c>
      <c r="BP13" s="2099">
        <f t="shared" si="0"/>
        <v>0</v>
      </c>
      <c r="BQ13" s="2099">
        <f t="shared" si="0"/>
        <v>0</v>
      </c>
      <c r="BR13" s="2099">
        <f t="shared" si="0"/>
        <v>0</v>
      </c>
      <c r="BS13" s="2099">
        <f t="shared" si="0"/>
        <v>0</v>
      </c>
      <c r="BT13" s="2099">
        <f t="shared" si="0"/>
        <v>0</v>
      </c>
      <c r="BU13" s="2099">
        <f t="shared" si="0"/>
        <v>0</v>
      </c>
      <c r="BV13" s="2099">
        <f t="shared" si="0"/>
        <v>0</v>
      </c>
      <c r="BW13" s="2099">
        <f t="shared" si="0"/>
        <v>0</v>
      </c>
      <c r="BX13" s="2099">
        <f t="shared" si="0"/>
        <v>0</v>
      </c>
      <c r="BY13" s="2099">
        <f t="shared" si="0"/>
        <v>0</v>
      </c>
      <c r="BZ13" s="2099">
        <f t="shared" ref="BZ13:EK13" si="1">ROUNDUP(DATEDIF($I13-1,BZ$6+1,"m")/$H13,)*(BZ$6&lt;=$J$13)</f>
        <v>0</v>
      </c>
      <c r="CA13" s="2099">
        <f t="shared" si="1"/>
        <v>0</v>
      </c>
      <c r="CB13" s="2099">
        <f t="shared" si="1"/>
        <v>0</v>
      </c>
      <c r="CC13" s="2099">
        <f t="shared" si="1"/>
        <v>0</v>
      </c>
      <c r="CD13" s="2099">
        <f t="shared" si="1"/>
        <v>0</v>
      </c>
      <c r="CE13" s="2099">
        <f t="shared" si="1"/>
        <v>0</v>
      </c>
      <c r="CF13" s="2099">
        <f t="shared" si="1"/>
        <v>0</v>
      </c>
      <c r="CG13" s="2099">
        <f t="shared" si="1"/>
        <v>0</v>
      </c>
      <c r="CH13" s="2099">
        <f t="shared" si="1"/>
        <v>0</v>
      </c>
      <c r="CI13" s="2099">
        <f t="shared" si="1"/>
        <v>0</v>
      </c>
      <c r="CJ13" s="2099">
        <f t="shared" si="1"/>
        <v>0</v>
      </c>
      <c r="CK13" s="2099">
        <f t="shared" si="1"/>
        <v>0</v>
      </c>
      <c r="CL13" s="2099">
        <f t="shared" si="1"/>
        <v>0</v>
      </c>
      <c r="CM13" s="2099">
        <f t="shared" si="1"/>
        <v>0</v>
      </c>
      <c r="CN13" s="2099">
        <f t="shared" si="1"/>
        <v>0</v>
      </c>
      <c r="CO13" s="2099">
        <f t="shared" si="1"/>
        <v>0</v>
      </c>
      <c r="CP13" s="2099">
        <f t="shared" si="1"/>
        <v>0</v>
      </c>
      <c r="CQ13" s="2099">
        <f t="shared" si="1"/>
        <v>0</v>
      </c>
      <c r="CR13" s="2099">
        <f t="shared" si="1"/>
        <v>0</v>
      </c>
      <c r="CS13" s="2099">
        <f t="shared" si="1"/>
        <v>0</v>
      </c>
      <c r="CT13" s="2099">
        <f t="shared" si="1"/>
        <v>0</v>
      </c>
      <c r="CU13" s="2099">
        <f t="shared" si="1"/>
        <v>0</v>
      </c>
      <c r="CV13" s="2099">
        <f t="shared" si="1"/>
        <v>0</v>
      </c>
      <c r="CW13" s="2099">
        <f t="shared" si="1"/>
        <v>0</v>
      </c>
      <c r="CX13" s="2099">
        <f t="shared" si="1"/>
        <v>0</v>
      </c>
      <c r="CY13" s="2099">
        <f t="shared" si="1"/>
        <v>0</v>
      </c>
      <c r="CZ13" s="2099">
        <f t="shared" si="1"/>
        <v>0</v>
      </c>
      <c r="DA13" s="2099">
        <f t="shared" si="1"/>
        <v>0</v>
      </c>
      <c r="DB13" s="2099">
        <f t="shared" si="1"/>
        <v>0</v>
      </c>
      <c r="DC13" s="2099">
        <f t="shared" si="1"/>
        <v>0</v>
      </c>
      <c r="DD13" s="2099">
        <f t="shared" si="1"/>
        <v>0</v>
      </c>
      <c r="DE13" s="2099">
        <f t="shared" si="1"/>
        <v>0</v>
      </c>
      <c r="DF13" s="2099">
        <f t="shared" si="1"/>
        <v>0</v>
      </c>
      <c r="DG13" s="2099">
        <f t="shared" si="1"/>
        <v>0</v>
      </c>
      <c r="DH13" s="2099">
        <f t="shared" si="1"/>
        <v>0</v>
      </c>
      <c r="DI13" s="2099">
        <f t="shared" si="1"/>
        <v>0</v>
      </c>
      <c r="DJ13" s="2099">
        <f t="shared" si="1"/>
        <v>0</v>
      </c>
      <c r="DK13" s="2099">
        <f t="shared" si="1"/>
        <v>0</v>
      </c>
      <c r="DL13" s="2099">
        <f t="shared" si="1"/>
        <v>0</v>
      </c>
      <c r="DM13" s="2099">
        <f t="shared" si="1"/>
        <v>0</v>
      </c>
      <c r="DN13" s="2099">
        <f t="shared" si="1"/>
        <v>0</v>
      </c>
      <c r="DO13" s="2099">
        <f t="shared" si="1"/>
        <v>0</v>
      </c>
      <c r="DP13" s="2099">
        <f t="shared" si="1"/>
        <v>0</v>
      </c>
      <c r="DQ13" s="2099">
        <f t="shared" si="1"/>
        <v>0</v>
      </c>
      <c r="DR13" s="2099">
        <f t="shared" si="1"/>
        <v>0</v>
      </c>
      <c r="DS13" s="2099">
        <f t="shared" si="1"/>
        <v>0</v>
      </c>
      <c r="DT13" s="2099">
        <f t="shared" si="1"/>
        <v>0</v>
      </c>
      <c r="DU13" s="2099">
        <f t="shared" si="1"/>
        <v>0</v>
      </c>
      <c r="DV13" s="2099">
        <f t="shared" si="1"/>
        <v>0</v>
      </c>
      <c r="DW13" s="2099">
        <f t="shared" si="1"/>
        <v>0</v>
      </c>
      <c r="DX13" s="2099">
        <f t="shared" si="1"/>
        <v>0</v>
      </c>
      <c r="DY13" s="2099">
        <f t="shared" si="1"/>
        <v>0</v>
      </c>
      <c r="DZ13" s="2099">
        <f t="shared" si="1"/>
        <v>0</v>
      </c>
      <c r="EA13" s="2099">
        <f t="shared" si="1"/>
        <v>0</v>
      </c>
      <c r="EB13" s="2099">
        <f t="shared" si="1"/>
        <v>0</v>
      </c>
      <c r="EC13" s="2099">
        <f t="shared" si="1"/>
        <v>0</v>
      </c>
      <c r="ED13" s="2099">
        <f t="shared" si="1"/>
        <v>0</v>
      </c>
      <c r="EE13" s="2099">
        <f t="shared" si="1"/>
        <v>0</v>
      </c>
      <c r="EF13" s="2099">
        <f t="shared" si="1"/>
        <v>0</v>
      </c>
      <c r="EG13" s="2099">
        <f t="shared" si="1"/>
        <v>0</v>
      </c>
      <c r="EH13" s="2099">
        <f t="shared" si="1"/>
        <v>0</v>
      </c>
      <c r="EI13" s="2099">
        <f t="shared" si="1"/>
        <v>0</v>
      </c>
      <c r="EJ13" s="2099">
        <f t="shared" si="1"/>
        <v>0</v>
      </c>
      <c r="EK13" s="2099">
        <f t="shared" si="1"/>
        <v>0</v>
      </c>
      <c r="EL13" s="2099">
        <f t="shared" ref="EL13:ER13" si="2">ROUNDUP(DATEDIF($I13-1,EL$6+1,"m")/$H13,)*(EL$6&lt;=$J$13)</f>
        <v>0</v>
      </c>
      <c r="EM13" s="2099">
        <f t="shared" si="2"/>
        <v>0</v>
      </c>
      <c r="EN13" s="2099">
        <f t="shared" si="2"/>
        <v>0</v>
      </c>
      <c r="EO13" s="2099">
        <f t="shared" si="2"/>
        <v>0</v>
      </c>
      <c r="EP13" s="2099">
        <f t="shared" si="2"/>
        <v>0</v>
      </c>
      <c r="EQ13" s="2099">
        <f t="shared" si="2"/>
        <v>0</v>
      </c>
      <c r="ER13" s="2099">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1672</v>
      </c>
      <c r="G21" s="2491">
        <f>'A&amp;R'!AE23/1000-'A&amp;R'!AE33/1000</f>
        <v>5105114.818</v>
      </c>
      <c r="H21" s="2491">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101"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2"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65" t="s">
        <v>73</v>
      </c>
      <c r="E27" s="2661"/>
      <c r="F27" s="2661"/>
      <c r="G27" s="2661"/>
      <c r="H27" s="2661"/>
      <c r="I27" s="2668"/>
      <c r="J27" s="2669"/>
      <c r="K27" s="2670">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65" t="s">
        <v>75</v>
      </c>
      <c r="E28" s="2661"/>
      <c r="F28" s="2661"/>
      <c r="G28" s="2661"/>
      <c r="H28" s="2661"/>
      <c r="I28" s="2668"/>
      <c r="J28" s="2669"/>
      <c r="K28" s="2670">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65" t="s">
        <v>78</v>
      </c>
      <c r="E29" s="2661"/>
      <c r="F29" s="2661"/>
      <c r="G29" s="2661"/>
      <c r="H29" s="2661"/>
      <c r="I29" s="2668"/>
      <c r="J29" s="2669"/>
      <c r="K29" s="2670">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2"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65" t="s">
        <v>83</v>
      </c>
      <c r="E31" s="2661"/>
      <c r="F31" s="2661"/>
      <c r="G31" s="2661"/>
      <c r="H31" s="2661"/>
      <c r="I31" s="2668"/>
      <c r="J31" s="2669"/>
      <c r="K31" s="2670">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2"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2"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2"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2"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2"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2"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63" t="s">
        <v>190</v>
      </c>
      <c r="E38" s="2664"/>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65" t="s">
        <v>191</v>
      </c>
      <c r="E39" s="2661"/>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65" t="s">
        <v>192</v>
      </c>
      <c r="E40" s="2661"/>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66" t="s">
        <v>533</v>
      </c>
      <c r="E41" s="2667"/>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8054528.5985801667</v>
      </c>
      <c r="M42" s="897">
        <f>SUM(M43,-M46)</f>
        <v>0</v>
      </c>
      <c r="N42" s="897">
        <f t="shared" ref="N42:BY42" ca="1" si="20">SUM(N43,-N46)</f>
        <v>-845712.51111449499</v>
      </c>
      <c r="O42" s="897">
        <f t="shared" ca="1" si="20"/>
        <v>-843912.30156966834</v>
      </c>
      <c r="P42" s="897">
        <f t="shared" ca="1" si="20"/>
        <v>-839974.97650099266</v>
      </c>
      <c r="Q42" s="897">
        <f t="shared" ca="1" si="20"/>
        <v>-797418.65036024025</v>
      </c>
      <c r="R42" s="897">
        <f t="shared" ca="1" si="20"/>
        <v>-793728.93717882782</v>
      </c>
      <c r="S42" s="897">
        <f t="shared" ca="1" si="20"/>
        <v>-789807.48506062594</v>
      </c>
      <c r="T42" s="897">
        <f t="shared" ca="1" si="20"/>
        <v>-804272.23436041933</v>
      </c>
      <c r="U42" s="897">
        <f t="shared" ca="1" si="20"/>
        <v>-800689.12620315922</v>
      </c>
      <c r="V42" s="897">
        <f t="shared" ca="1" si="20"/>
        <v>-796543.83603391435</v>
      </c>
      <c r="W42" s="897">
        <f t="shared" ca="1" si="20"/>
        <v>-801357.93197830045</v>
      </c>
      <c r="X42" s="897">
        <f t="shared" ca="1" si="20"/>
        <v>-797211.09567111335</v>
      </c>
      <c r="Y42" s="897">
        <f t="shared" ca="1" si="20"/>
        <v>-794106.08647122467</v>
      </c>
      <c r="Z42" s="897">
        <f t="shared" ca="1" si="20"/>
        <v>-808595.52294548973</v>
      </c>
      <c r="AA42" s="897">
        <f t="shared" ca="1" si="20"/>
        <v>-806659.26704625459</v>
      </c>
      <c r="AB42" s="897">
        <f t="shared" ca="1" si="20"/>
        <v>-802978.7198252572</v>
      </c>
      <c r="AC42" s="897">
        <f t="shared" ca="1" si="20"/>
        <v>-808034.40061415697</v>
      </c>
      <c r="AD42" s="897">
        <f t="shared" ca="1" si="20"/>
        <v>-804293.19247932592</v>
      </c>
      <c r="AE42" s="897">
        <f t="shared" ca="1" si="20"/>
        <v>-800314.57078225771</v>
      </c>
      <c r="AF42" s="897">
        <f t="shared" ca="1" si="20"/>
        <v>-813126.97464675945</v>
      </c>
      <c r="AG42" s="897">
        <f t="shared" ca="1" si="20"/>
        <v>-809489.40064211248</v>
      </c>
      <c r="AH42" s="897">
        <f t="shared" ca="1" si="20"/>
        <v>-805275.69248476264</v>
      </c>
      <c r="AI42" s="897">
        <f t="shared" ca="1" si="20"/>
        <v>-810205.81015840569</v>
      </c>
      <c r="AJ42" s="897">
        <f t="shared" ca="1" si="20"/>
        <v>-805990.60728682228</v>
      </c>
      <c r="AK42" s="897">
        <f t="shared" ca="1" si="20"/>
        <v>-802897.03438449884</v>
      </c>
      <c r="AL42" s="897">
        <f t="shared" ca="1" si="20"/>
        <v>-826479.42376120703</v>
      </c>
      <c r="AM42" s="897">
        <f t="shared" ca="1" si="20"/>
        <v>-824320.27230448916</v>
      </c>
      <c r="AN42" s="897">
        <f t="shared" ca="1" si="20"/>
        <v>-820532.55229744012</v>
      </c>
      <c r="AO42" s="897">
        <f t="shared" ca="1" si="20"/>
        <v>-825227.02595359646</v>
      </c>
      <c r="AP42" s="897">
        <f t="shared" ca="1" si="20"/>
        <v>-820913.15380737616</v>
      </c>
      <c r="AQ42" s="897">
        <f t="shared" ca="1" si="20"/>
        <v>-816818.93177674373</v>
      </c>
      <c r="AR42" s="897">
        <f t="shared" ca="1" si="20"/>
        <v>-829803.60657986428</v>
      </c>
      <c r="AS42" s="897">
        <f t="shared" ca="1" si="20"/>
        <v>-825475.14306933712</v>
      </c>
      <c r="AT42" s="897">
        <f t="shared" ca="1" si="20"/>
        <v>-824544.70029777091</v>
      </c>
      <c r="AU42" s="897">
        <f t="shared" ca="1" si="20"/>
        <v>-832383.98221329006</v>
      </c>
      <c r="AV42" s="897">
        <f t="shared" ca="1" si="20"/>
        <v>-831594.15977684583</v>
      </c>
      <c r="AW42" s="897">
        <f t="shared" ca="1" si="20"/>
        <v>-831699.50429525762</v>
      </c>
      <c r="AX42" s="897">
        <f t="shared" ca="1" si="20"/>
        <v>-847106.6149368179</v>
      </c>
      <c r="AY42" s="897">
        <f t="shared" ca="1" si="20"/>
        <v>-844774.28221357358</v>
      </c>
      <c r="AZ42" s="897">
        <f t="shared" ca="1" si="20"/>
        <v>-840770.73779735062</v>
      </c>
      <c r="BA42" s="897">
        <f t="shared" ca="1" si="20"/>
        <v>-845225.75193522987</v>
      </c>
      <c r="BB42" s="897">
        <f t="shared" ca="1" si="20"/>
        <v>-840844.25015552936</v>
      </c>
      <c r="BC42" s="897">
        <f t="shared" ca="1" si="20"/>
        <v>-836599.28121635108</v>
      </c>
      <c r="BD42" s="897">
        <f t="shared" ca="1" si="20"/>
        <v>-849490.50056554866</v>
      </c>
      <c r="BE42" s="897">
        <f t="shared" ca="1" si="20"/>
        <v>-845006.04725197726</v>
      </c>
      <c r="BF42" s="897">
        <f t="shared" ca="1" si="20"/>
        <v>-840506.72225023841</v>
      </c>
      <c r="BG42" s="897">
        <f t="shared" ca="1" si="20"/>
        <v>-845529.05264924793</v>
      </c>
      <c r="BH42" s="897">
        <f t="shared" ca="1" si="20"/>
        <v>-841020.28083778394</v>
      </c>
      <c r="BI42" s="897">
        <f t="shared" ca="1" si="20"/>
        <v>-837598.52015647967</v>
      </c>
      <c r="BJ42" s="897">
        <f t="shared" ca="1" si="20"/>
        <v>-850391.33967949986</v>
      </c>
      <c r="BK42" s="897">
        <f t="shared" ca="1" si="20"/>
        <v>-847897.03702108189</v>
      </c>
      <c r="BL42" s="897">
        <f t="shared" ca="1" si="20"/>
        <v>-843779.39590509317</v>
      </c>
      <c r="BM42" s="897">
        <f t="shared" ca="1" si="20"/>
        <v>-848149.55116910895</v>
      </c>
      <c r="BN42" s="897">
        <f t="shared" ca="1" si="20"/>
        <v>-843575.81752334023</v>
      </c>
      <c r="BO42" s="897">
        <f t="shared" ca="1" si="20"/>
        <v>-839232.73282107129</v>
      </c>
      <c r="BP42" s="897">
        <f t="shared" ca="1" si="20"/>
        <v>-852000</v>
      </c>
      <c r="BQ42" s="897">
        <f t="shared" ca="1" si="20"/>
        <v>-847408.14719769254</v>
      </c>
      <c r="BR42" s="897">
        <f t="shared" ca="1" si="20"/>
        <v>-842802.90149137843</v>
      </c>
      <c r="BS42" s="897">
        <f t="shared" ca="1" si="20"/>
        <v>-847771.39793542959</v>
      </c>
      <c r="BT42" s="897">
        <f t="shared" ca="1" si="20"/>
        <v>-843155.96516224672</v>
      </c>
      <c r="BU42" s="897">
        <f t="shared" ca="1" si="20"/>
        <v>-839610.72999903257</v>
      </c>
      <c r="BV42" s="897">
        <f t="shared" ca="1" si="20"/>
        <v>-798750</v>
      </c>
      <c r="BW42" s="897">
        <f t="shared" ca="1" si="20"/>
        <v>-796107.32672724791</v>
      </c>
      <c r="BX42" s="897">
        <f t="shared" ca="1" si="20"/>
        <v>-791888.33852216566</v>
      </c>
      <c r="BY42" s="897">
        <f t="shared" ca="1" si="20"/>
        <v>-795714.14095866936</v>
      </c>
      <c r="BZ42" s="897">
        <f t="shared" ref="BZ42:DT42" ca="1" si="21">SUM(BZ43,-BZ46)</f>
        <v>-791027.75994377735</v>
      </c>
      <c r="CA42" s="897">
        <f t="shared" ca="1" si="21"/>
        <v>-786577.79904255772</v>
      </c>
      <c r="CB42" s="897">
        <f t="shared" ca="1" si="21"/>
        <v>-798750</v>
      </c>
      <c r="CC42" s="897">
        <f t="shared" ca="1" si="21"/>
        <v>-794042.3902008757</v>
      </c>
      <c r="CD42" s="897">
        <f t="shared" ca="1" si="21"/>
        <v>-789321.04987317056</v>
      </c>
      <c r="CE42" s="897">
        <f t="shared" ca="1" si="21"/>
        <v>-793752.30415104621</v>
      </c>
      <c r="CF42" s="897">
        <f t="shared" ca="1" si="21"/>
        <v>-789018.59002713731</v>
      </c>
      <c r="CG42" s="897">
        <f t="shared" ca="1" si="21"/>
        <v>-785338.47363659088</v>
      </c>
      <c r="CH42" s="897">
        <f t="shared" ca="1" si="21"/>
        <v>-798001.45934248797</v>
      </c>
      <c r="CI42" s="897">
        <f t="shared" ca="1" si="21"/>
        <v>-795201.50321895932</v>
      </c>
      <c r="CJ42" s="897">
        <f t="shared" ca="1" si="21"/>
        <v>-790871.57879449346</v>
      </c>
      <c r="CK42" s="897">
        <f t="shared" ca="1" si="21"/>
        <v>-794609.89173749893</v>
      </c>
      <c r="CL42" s="897">
        <f t="shared" ca="1" si="21"/>
        <v>-789802.38342298183</v>
      </c>
      <c r="CM42" s="897">
        <f t="shared" ca="1" si="21"/>
        <v>-785237.19415230397</v>
      </c>
      <c r="CN42" s="897">
        <f t="shared" ca="1" si="21"/>
        <v>-797432.7409353765</v>
      </c>
      <c r="CO42" s="897">
        <f t="shared" ca="1" si="21"/>
        <v>-792602.63047358941</v>
      </c>
      <c r="CP42" s="897">
        <f t="shared" ca="1" si="21"/>
        <v>-787758.43218962208</v>
      </c>
      <c r="CQ42" s="897">
        <f t="shared" ca="1" si="21"/>
        <v>-792112.58537348895</v>
      </c>
      <c r="CR42" s="897">
        <f t="shared" ca="1" si="21"/>
        <v>-787255.14188662393</v>
      </c>
      <c r="CS42" s="897">
        <f t="shared" ca="1" si="21"/>
        <v>-783434.92418981937</v>
      </c>
      <c r="CT42" s="897">
        <f t="shared" ca="1" si="21"/>
        <v>-795515.97118031071</v>
      </c>
      <c r="CU42" s="897">
        <f t="shared" ca="1" si="21"/>
        <v>-792551.54142986843</v>
      </c>
      <c r="CV42" s="897">
        <f t="shared" ca="1" si="21"/>
        <v>-788102.83700760757</v>
      </c>
      <c r="CW42" s="897">
        <f t="shared" ca="1" si="21"/>
        <v>-791746.35317613371</v>
      </c>
      <c r="CX42" s="897">
        <f t="shared" ca="1" si="21"/>
        <v>-786809.63016076328</v>
      </c>
      <c r="CY42" s="897">
        <f t="shared" ca="1" si="21"/>
        <v>-782121.25783659832</v>
      </c>
      <c r="CZ42" s="897">
        <f t="shared" ca="1" si="21"/>
        <v>-794225.26540820708</v>
      </c>
      <c r="DA42" s="897">
        <f t="shared" ca="1" si="21"/>
        <v>-791307.79998962849</v>
      </c>
      <c r="DB42" s="897">
        <f t="shared" ca="1" si="21"/>
        <v>-786456.33836693014</v>
      </c>
      <c r="DC42" s="897">
        <f t="shared" ca="1" si="21"/>
        <v>-790643.06814589608</v>
      </c>
      <c r="DD42" s="897">
        <f t="shared" ca="1" si="21"/>
        <v>-786025.8381169599</v>
      </c>
      <c r="DE42" s="897">
        <f t="shared" ca="1" si="21"/>
        <v>-782182.481903387</v>
      </c>
      <c r="DF42" s="897">
        <f t="shared" ca="1" si="21"/>
        <v>-794260.61877585447</v>
      </c>
      <c r="DG42" s="897">
        <f t="shared" ca="1" si="21"/>
        <v>-791250.96857002343</v>
      </c>
      <c r="DH42" s="897">
        <f t="shared" ca="1" si="21"/>
        <v>-786803.08812854125</v>
      </c>
      <c r="DI42" s="897">
        <f t="shared" ca="1" si="21"/>
        <v>-790469.25285891001</v>
      </c>
      <c r="DJ42" s="897">
        <f t="shared" ca="1" si="21"/>
        <v>-785659.19123770553</v>
      </c>
      <c r="DK42" s="897">
        <f t="shared" ca="1" si="21"/>
        <v>-780699.65406124189</v>
      </c>
      <c r="DL42" s="897">
        <f t="shared" ca="1" si="21"/>
        <v>-792804.43553225358</v>
      </c>
      <c r="DM42" s="897">
        <f t="shared" ca="1" si="21"/>
        <v>-787836.06241408049</v>
      </c>
      <c r="DN42" s="897">
        <f t="shared" ca="1" si="21"/>
        <v>-782851.17068716604</v>
      </c>
      <c r="DO42" s="897">
        <f t="shared" ca="1" si="21"/>
        <v>-787105.29101756972</v>
      </c>
      <c r="DP42" s="897">
        <f t="shared" ca="1" si="21"/>
        <v>-782105.853789218</v>
      </c>
      <c r="DQ42" s="897">
        <f t="shared" ca="1" si="21"/>
        <v>-778111.92296600738</v>
      </c>
      <c r="DR42" s="897">
        <f t="shared" ca="1" si="21"/>
        <v>-790091.85787480371</v>
      </c>
      <c r="DS42" s="897">
        <f t="shared" ca="1" si="21"/>
        <v>-786909.67911496432</v>
      </c>
      <c r="DT42" s="897">
        <f t="shared" ca="1" si="21"/>
        <v>-782333.74717367033</v>
      </c>
      <c r="DU42" s="897">
        <f t="shared" ref="DU42:ER42" ca="1" si="22">SUM(DU43,-DU46)</f>
        <v>-785867.90349974355</v>
      </c>
      <c r="DV42" s="897">
        <f t="shared" ca="1" si="22"/>
        <v>-780784.94510110084</v>
      </c>
      <c r="DW42" s="897">
        <f t="shared" ca="1" si="22"/>
        <v>-775687.16140712879</v>
      </c>
      <c r="DX42" s="897">
        <f t="shared" ca="1" si="22"/>
        <v>-787589.99594222754</v>
      </c>
      <c r="DY42" s="897">
        <f t="shared" ca="1" si="22"/>
        <v>-782479.5639612088</v>
      </c>
      <c r="DZ42" s="897">
        <f t="shared" ca="1" si="22"/>
        <v>-777354.22655357886</v>
      </c>
      <c r="EA42" s="897">
        <f t="shared" ca="1" si="22"/>
        <v>-781537.53010866733</v>
      </c>
      <c r="EB42" s="897">
        <f t="shared" ca="1" si="22"/>
        <v>-776396.72066531517</v>
      </c>
      <c r="EC42" s="897">
        <f t="shared" ca="1" si="22"/>
        <v>104126452.34134734</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106636166.13192365</v>
      </c>
      <c r="L43" s="98"/>
      <c r="M43" s="162">
        <f t="shared" ref="M43:AR43" si="23">SUM(M44:M45)</f>
        <v>0</v>
      </c>
      <c r="N43" s="162">
        <f t="shared" ca="1" si="23"/>
        <v>29166.666666666672</v>
      </c>
      <c r="O43" s="162">
        <f t="shared" ca="1" si="23"/>
        <v>30966.876211493309</v>
      </c>
      <c r="P43" s="162">
        <f t="shared" ca="1" si="23"/>
        <v>34904.201280169007</v>
      </c>
      <c r="Q43" s="162">
        <f t="shared" ca="1" si="23"/>
        <v>29248.016306426394</v>
      </c>
      <c r="R43" s="162">
        <f t="shared" ca="1" si="23"/>
        <v>32937.729487838769</v>
      </c>
      <c r="S43" s="162">
        <f t="shared" ca="1" si="23"/>
        <v>36859.181606040664</v>
      </c>
      <c r="T43" s="162">
        <f t="shared" ca="1" si="23"/>
        <v>22394.432306247283</v>
      </c>
      <c r="U43" s="162">
        <f t="shared" ca="1" si="23"/>
        <v>25977.540463507408</v>
      </c>
      <c r="V43" s="162">
        <f t="shared" ca="1" si="23"/>
        <v>30122.830632752248</v>
      </c>
      <c r="W43" s="162">
        <f t="shared" ca="1" si="23"/>
        <v>25308.734688366192</v>
      </c>
      <c r="X43" s="162">
        <f t="shared" ca="1" si="23"/>
        <v>29455.570995553328</v>
      </c>
      <c r="Y43" s="162">
        <f t="shared" ca="1" si="23"/>
        <v>32560.580195441988</v>
      </c>
      <c r="Z43" s="162">
        <f t="shared" ca="1" si="23"/>
        <v>18071.143721176857</v>
      </c>
      <c r="AA43" s="162">
        <f t="shared" ca="1" si="23"/>
        <v>20007.399620412059</v>
      </c>
      <c r="AB43" s="162">
        <f t="shared" ca="1" si="23"/>
        <v>23687.946841409426</v>
      </c>
      <c r="AC43" s="162">
        <f t="shared" ca="1" si="23"/>
        <v>18632.266052509676</v>
      </c>
      <c r="AD43" s="162">
        <f t="shared" ca="1" si="23"/>
        <v>22373.474187340689</v>
      </c>
      <c r="AE43" s="162">
        <f t="shared" ca="1" si="23"/>
        <v>26352.095884408962</v>
      </c>
      <c r="AF43" s="162">
        <f t="shared" ca="1" si="23"/>
        <v>13539.692019907123</v>
      </c>
      <c r="AG43" s="162">
        <f t="shared" ca="1" si="23"/>
        <v>17177.266024554196</v>
      </c>
      <c r="AH43" s="162">
        <f t="shared" ca="1" si="23"/>
        <v>21390.974181904017</v>
      </c>
      <c r="AI43" s="162">
        <f t="shared" ca="1" si="23"/>
        <v>16460.856508260931</v>
      </c>
      <c r="AJ43" s="162">
        <f t="shared" ca="1" si="23"/>
        <v>20676.059379844351</v>
      </c>
      <c r="AK43" s="162">
        <f t="shared" ca="1" si="23"/>
        <v>23769.632282167804</v>
      </c>
      <c r="AL43" s="162">
        <f t="shared" ca="1" si="23"/>
        <v>25520.576238792997</v>
      </c>
      <c r="AM43" s="162">
        <f t="shared" ca="1" si="23"/>
        <v>27679.727695510843</v>
      </c>
      <c r="AN43" s="162">
        <f t="shared" ca="1" si="23"/>
        <v>31467.44770255989</v>
      </c>
      <c r="AO43" s="162">
        <f t="shared" ca="1" si="23"/>
        <v>26772.974046403589</v>
      </c>
      <c r="AP43" s="162">
        <f t="shared" ca="1" si="23"/>
        <v>31086.846192623805</v>
      </c>
      <c r="AQ43" s="162">
        <f t="shared" ca="1" si="23"/>
        <v>35181.068223256319</v>
      </c>
      <c r="AR43" s="162">
        <f t="shared" ca="1" si="23"/>
        <v>22196.393420135664</v>
      </c>
      <c r="AS43" s="162">
        <f t="shared" ref="AS43:BX43" ca="1" si="24">SUM(AS44:AS45)</f>
        <v>26524.85693066286</v>
      </c>
      <c r="AT43" s="162">
        <f t="shared" ca="1" si="24"/>
        <v>27455.299702229124</v>
      </c>
      <c r="AU43" s="162">
        <f t="shared" ca="1" si="24"/>
        <v>19616.017786709901</v>
      </c>
      <c r="AV43" s="162">
        <f t="shared" ca="1" si="24"/>
        <v>20405.840223154115</v>
      </c>
      <c r="AW43" s="162">
        <f t="shared" ca="1" si="24"/>
        <v>20300.495704742367</v>
      </c>
      <c r="AX43" s="162">
        <f t="shared" ca="1" si="24"/>
        <v>4893.3850631820578</v>
      </c>
      <c r="AY43" s="162">
        <f t="shared" ca="1" si="24"/>
        <v>7225.7177864264495</v>
      </c>
      <c r="AZ43" s="162">
        <f t="shared" ca="1" si="24"/>
        <v>11229.262202649335</v>
      </c>
      <c r="BA43" s="162">
        <f t="shared" ca="1" si="24"/>
        <v>6774.2480647701814</v>
      </c>
      <c r="BB43" s="162">
        <f t="shared" ca="1" si="24"/>
        <v>11155.749844470673</v>
      </c>
      <c r="BC43" s="162">
        <f t="shared" ca="1" si="24"/>
        <v>15400.718783648867</v>
      </c>
      <c r="BD43" s="162">
        <f t="shared" ca="1" si="24"/>
        <v>2509.4994344513516</v>
      </c>
      <c r="BE43" s="162">
        <f t="shared" ca="1" si="24"/>
        <v>6993.9527480227762</v>
      </c>
      <c r="BF43" s="162">
        <f t="shared" ca="1" si="24"/>
        <v>11493.277749761612</v>
      </c>
      <c r="BG43" s="162">
        <f t="shared" ca="1" si="24"/>
        <v>6470.9473507521179</v>
      </c>
      <c r="BH43" s="162">
        <f t="shared" ca="1" si="24"/>
        <v>10979.719162216012</v>
      </c>
      <c r="BI43" s="162">
        <f t="shared" ca="1" si="24"/>
        <v>14401.479843520356</v>
      </c>
      <c r="BJ43" s="162">
        <f t="shared" ca="1" si="24"/>
        <v>1608.6603205001609</v>
      </c>
      <c r="BK43" s="162">
        <f t="shared" ca="1" si="24"/>
        <v>4102.9629789180735</v>
      </c>
      <c r="BL43" s="162">
        <f t="shared" ca="1" si="24"/>
        <v>8220.6040949067847</v>
      </c>
      <c r="BM43" s="162">
        <f t="shared" ca="1" si="24"/>
        <v>3850.4488308910913</v>
      </c>
      <c r="BN43" s="162">
        <f t="shared" ca="1" si="24"/>
        <v>8424.182476659742</v>
      </c>
      <c r="BO43" s="162">
        <f t="shared" ca="1" si="24"/>
        <v>12767.26717892866</v>
      </c>
      <c r="BP43" s="162">
        <f t="shared" ca="1" si="24"/>
        <v>0</v>
      </c>
      <c r="BQ43" s="162">
        <f t="shared" ca="1" si="24"/>
        <v>4591.8528023074205</v>
      </c>
      <c r="BR43" s="162">
        <f t="shared" ca="1" si="24"/>
        <v>9197.0985086215715</v>
      </c>
      <c r="BS43" s="162">
        <f t="shared" ca="1" si="24"/>
        <v>4228.6020645703929</v>
      </c>
      <c r="BT43" s="162">
        <f t="shared" ca="1" si="24"/>
        <v>8844.0348377532518</v>
      </c>
      <c r="BU43" s="162">
        <f t="shared" ca="1" si="24"/>
        <v>12389.270000967386</v>
      </c>
      <c r="BV43" s="162">
        <f t="shared" ca="1" si="24"/>
        <v>0</v>
      </c>
      <c r="BW43" s="162">
        <f t="shared" ca="1" si="24"/>
        <v>2642.6732727521403</v>
      </c>
      <c r="BX43" s="162">
        <f t="shared" ca="1" si="24"/>
        <v>6861.6614778343783</v>
      </c>
      <c r="BY43" s="162">
        <f t="shared" ref="BY43:DD43" ca="1" si="25">SUM(BY44:BY45)</f>
        <v>3035.8590413306733</v>
      </c>
      <c r="BZ43" s="162">
        <f t="shared" ca="1" si="25"/>
        <v>7722.2400562226039</v>
      </c>
      <c r="CA43" s="162">
        <f t="shared" ca="1" si="25"/>
        <v>12172.200957442248</v>
      </c>
      <c r="CB43" s="162">
        <f t="shared" ca="1" si="25"/>
        <v>0</v>
      </c>
      <c r="CC43" s="162">
        <f t="shared" ca="1" si="25"/>
        <v>4707.6097991243096</v>
      </c>
      <c r="CD43" s="162">
        <f t="shared" ca="1" si="25"/>
        <v>9428.9501268293989</v>
      </c>
      <c r="CE43" s="162">
        <f t="shared" ca="1" si="25"/>
        <v>4997.695848953771</v>
      </c>
      <c r="CF43" s="162">
        <f t="shared" ca="1" si="25"/>
        <v>9731.4099728626497</v>
      </c>
      <c r="CG43" s="162">
        <f t="shared" ca="1" si="25"/>
        <v>13411.52636340911</v>
      </c>
      <c r="CH43" s="162">
        <f t="shared" ca="1" si="25"/>
        <v>748.54065751200972</v>
      </c>
      <c r="CI43" s="162">
        <f t="shared" ca="1" si="25"/>
        <v>3548.4967810406724</v>
      </c>
      <c r="CJ43" s="162">
        <f t="shared" ca="1" si="25"/>
        <v>7878.4212055065591</v>
      </c>
      <c r="CK43" s="162">
        <f t="shared" ca="1" si="25"/>
        <v>4140.1082625010431</v>
      </c>
      <c r="CL43" s="162">
        <f t="shared" ca="1" si="25"/>
        <v>8947.6165770181142</v>
      </c>
      <c r="CM43" s="162">
        <f t="shared" ca="1" si="25"/>
        <v>13512.805847695998</v>
      </c>
      <c r="CN43" s="162">
        <f t="shared" ca="1" si="25"/>
        <v>1317.2590646235481</v>
      </c>
      <c r="CO43" s="162">
        <f t="shared" ca="1" si="25"/>
        <v>6147.3695264106427</v>
      </c>
      <c r="CP43" s="162">
        <f t="shared" ca="1" si="25"/>
        <v>10991.56781037795</v>
      </c>
      <c r="CQ43" s="162">
        <f t="shared" ca="1" si="25"/>
        <v>6637.4146265110257</v>
      </c>
      <c r="CR43" s="162">
        <f t="shared" ca="1" si="25"/>
        <v>11494.85811337604</v>
      </c>
      <c r="CS43" s="162">
        <f t="shared" ca="1" si="25"/>
        <v>15315.075810180615</v>
      </c>
      <c r="CT43" s="162">
        <f t="shared" ca="1" si="25"/>
        <v>3234.0288196893343</v>
      </c>
      <c r="CU43" s="162">
        <f t="shared" ca="1" si="25"/>
        <v>6198.4585701315509</v>
      </c>
      <c r="CV43" s="162">
        <f t="shared" ca="1" si="25"/>
        <v>10647.162992392448</v>
      </c>
      <c r="CW43" s="162">
        <f t="shared" ca="1" si="25"/>
        <v>7003.6468238662419</v>
      </c>
      <c r="CX43" s="162">
        <f t="shared" ca="1" si="25"/>
        <v>11940.369839236771</v>
      </c>
      <c r="CY43" s="162">
        <f t="shared" ca="1" si="25"/>
        <v>16628.742163401683</v>
      </c>
      <c r="CZ43" s="162">
        <f t="shared" ca="1" si="25"/>
        <v>4524.7345917929515</v>
      </c>
      <c r="DA43" s="162">
        <f t="shared" ca="1" si="25"/>
        <v>7442.2000103715682</v>
      </c>
      <c r="DB43" s="162">
        <f t="shared" ca="1" si="25"/>
        <v>12293.661633069853</v>
      </c>
      <c r="DC43" s="162">
        <f t="shared" ca="1" si="25"/>
        <v>8106.9318541039238</v>
      </c>
      <c r="DD43" s="162">
        <f t="shared" ca="1" si="25"/>
        <v>12724.161883040084</v>
      </c>
      <c r="DE43" s="162">
        <f t="shared" ref="DE43:DT43" ca="1" si="26">SUM(DE44:DE45)</f>
        <v>16567.518096612952</v>
      </c>
      <c r="DF43" s="162">
        <f t="shared" ca="1" si="26"/>
        <v>4489.3812241455453</v>
      </c>
      <c r="DG43" s="162">
        <f t="shared" ca="1" si="26"/>
        <v>7499.0314299765587</v>
      </c>
      <c r="DH43" s="162">
        <f t="shared" ca="1" si="26"/>
        <v>11946.9118714587</v>
      </c>
      <c r="DI43" s="162">
        <f t="shared" ca="1" si="26"/>
        <v>8280.7471410900362</v>
      </c>
      <c r="DJ43" s="162">
        <f t="shared" ca="1" si="26"/>
        <v>13090.808762294453</v>
      </c>
      <c r="DK43" s="162">
        <f t="shared" ca="1" si="26"/>
        <v>18050.345938758077</v>
      </c>
      <c r="DL43" s="162">
        <f t="shared" ca="1" si="26"/>
        <v>5945.5644677463979</v>
      </c>
      <c r="DM43" s="162">
        <f t="shared" ca="1" si="26"/>
        <v>10913.937585919517</v>
      </c>
      <c r="DN43" s="162">
        <f t="shared" ca="1" si="26"/>
        <v>15898.829312834008</v>
      </c>
      <c r="DO43" s="162">
        <f t="shared" ca="1" si="26"/>
        <v>11644.708982430326</v>
      </c>
      <c r="DP43" s="162">
        <f t="shared" ca="1" si="26"/>
        <v>16644.146210781939</v>
      </c>
      <c r="DQ43" s="162">
        <f t="shared" ca="1" si="26"/>
        <v>20638.077033992646</v>
      </c>
      <c r="DR43" s="162">
        <f t="shared" ca="1" si="26"/>
        <v>8658.1421251962493</v>
      </c>
      <c r="DS43" s="162">
        <f t="shared" ca="1" si="26"/>
        <v>11840.320885035675</v>
      </c>
      <c r="DT43" s="162">
        <f t="shared" ca="1" si="26"/>
        <v>16416.252826329666</v>
      </c>
      <c r="DU43" s="162">
        <f t="shared" ref="DU43:ER43" ca="1" si="27">SUM(DU44:DU45)</f>
        <v>12882.096500256417</v>
      </c>
      <c r="DV43" s="162">
        <f t="shared" ca="1" si="27"/>
        <v>17965.054898899136</v>
      </c>
      <c r="DW43" s="162">
        <f t="shared" ca="1" si="27"/>
        <v>23062.838592871227</v>
      </c>
      <c r="DX43" s="162">
        <f t="shared" ca="1" si="27"/>
        <v>11160.004057772501</v>
      </c>
      <c r="DY43" s="162">
        <f t="shared" ca="1" si="27"/>
        <v>16270.436038791151</v>
      </c>
      <c r="DZ43" s="162">
        <f t="shared" ca="1" si="27"/>
        <v>21395.773446421106</v>
      </c>
      <c r="EA43" s="162">
        <f t="shared" ca="1" si="27"/>
        <v>17212.469891332705</v>
      </c>
      <c r="EB43" s="162">
        <f t="shared" ca="1" si="27"/>
        <v>22353.279334684805</v>
      </c>
      <c r="EC43" s="162">
        <f t="shared" ca="1" si="27"/>
        <v>104925202.34134734</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5">
        <v>3.5000000000000003E-2</v>
      </c>
      <c r="K44" s="168">
        <f ca="1">SUM(M44:ER44)</f>
        <v>1737468.0866062997</v>
      </c>
      <c r="L44" s="98"/>
      <c r="M44" s="908">
        <f>'CF(M)'!K122*'IS(M)'!$J44/12*Index!L$22</f>
        <v>0</v>
      </c>
      <c r="N44" s="908">
        <f ca="1">'CF(M)'!L122*'IS(M)'!$J44/12*Index!M$22</f>
        <v>29166.666666666672</v>
      </c>
      <c r="O44" s="908">
        <f ca="1">'CF(M)'!M122*'IS(M)'!$J44/12*Index!N$22</f>
        <v>30966.876211493309</v>
      </c>
      <c r="P44" s="908">
        <f ca="1">'CF(M)'!N122*'IS(M)'!$J44/12*Index!O$22</f>
        <v>34904.201280169007</v>
      </c>
      <c r="Q44" s="908">
        <f ca="1">'CF(M)'!O122*'IS(M)'!$J44/12*Index!P$22</f>
        <v>29248.016306426394</v>
      </c>
      <c r="R44" s="908">
        <f ca="1">'CF(M)'!P122*'IS(M)'!$J44/12*Index!Q$22</f>
        <v>32937.729487838769</v>
      </c>
      <c r="S44" s="908">
        <f ca="1">'CF(M)'!Q122*'IS(M)'!$J44/12*Index!R$22</f>
        <v>36859.181606040664</v>
      </c>
      <c r="T44" s="908">
        <f ca="1">'CF(M)'!R122*'IS(M)'!$J44/12*Index!S$22</f>
        <v>22394.432306247283</v>
      </c>
      <c r="U44" s="908">
        <f ca="1">'CF(M)'!S122*'IS(M)'!$J44/12*Index!T$22</f>
        <v>25977.540463507408</v>
      </c>
      <c r="V44" s="908">
        <f ca="1">'CF(M)'!T122*'IS(M)'!$J44/12*Index!U$22</f>
        <v>30122.830632752248</v>
      </c>
      <c r="W44" s="908">
        <f ca="1">'CF(M)'!U122*'IS(M)'!$J44/12*Index!V$22</f>
        <v>25308.734688366192</v>
      </c>
      <c r="X44" s="908">
        <f ca="1">'CF(M)'!V122*'IS(M)'!$J44/12*Index!W$22</f>
        <v>29455.570995553328</v>
      </c>
      <c r="Y44" s="908">
        <f ca="1">'CF(M)'!W122*'IS(M)'!$J44/12*Index!X$22</f>
        <v>32560.580195441988</v>
      </c>
      <c r="Z44" s="908">
        <f ca="1">'CF(M)'!X122*'IS(M)'!$J44/12*Index!Y$22</f>
        <v>18071.143721176857</v>
      </c>
      <c r="AA44" s="908">
        <f ca="1">'CF(M)'!Y122*'IS(M)'!$J44/12*Index!Z$22</f>
        <v>20007.399620412059</v>
      </c>
      <c r="AB44" s="908">
        <f ca="1">'CF(M)'!Z122*'IS(M)'!$J44/12*Index!AA$22</f>
        <v>23687.946841409426</v>
      </c>
      <c r="AC44" s="908">
        <f ca="1">'CF(M)'!AA122*'IS(M)'!$J44/12*Index!AB$22</f>
        <v>18632.266052509676</v>
      </c>
      <c r="AD44" s="908">
        <f ca="1">'CF(M)'!AB122*'IS(M)'!$J44/12*Index!AC$22</f>
        <v>22373.474187340689</v>
      </c>
      <c r="AE44" s="908">
        <f ca="1">'CF(M)'!AC122*'IS(M)'!$J44/12*Index!AD$22</f>
        <v>26352.095884408962</v>
      </c>
      <c r="AF44" s="908">
        <f ca="1">'CF(M)'!AD122*'IS(M)'!$J44/12*Index!AE$22</f>
        <v>13539.692019907123</v>
      </c>
      <c r="AG44" s="908">
        <f ca="1">'CF(M)'!AE122*'IS(M)'!$J44/12*Index!AF$22</f>
        <v>17177.266024554196</v>
      </c>
      <c r="AH44" s="908">
        <f ca="1">'CF(M)'!AF122*'IS(M)'!$J44/12*Index!AG$22</f>
        <v>21390.974181904017</v>
      </c>
      <c r="AI44" s="908">
        <f ca="1">'CF(M)'!AG122*'IS(M)'!$J44/12*Index!AH$22</f>
        <v>16460.856508260931</v>
      </c>
      <c r="AJ44" s="908">
        <f ca="1">'CF(M)'!AH122*'IS(M)'!$J44/12*Index!AI$22</f>
        <v>20676.059379844351</v>
      </c>
      <c r="AK44" s="908">
        <f ca="1">'CF(M)'!AI122*'IS(M)'!$J44/12*Index!AJ$22</f>
        <v>23769.632282167804</v>
      </c>
      <c r="AL44" s="908">
        <f ca="1">'CF(M)'!AJ122*'IS(M)'!$J44/12*Index!AK$22</f>
        <v>25520.576238792997</v>
      </c>
      <c r="AM44" s="908">
        <f ca="1">'CF(M)'!AK122*'IS(M)'!$J44/12*Index!AL$22</f>
        <v>27679.727695510843</v>
      </c>
      <c r="AN44" s="908">
        <f ca="1">'CF(M)'!AL122*'IS(M)'!$J44/12*Index!AM$22</f>
        <v>31467.44770255989</v>
      </c>
      <c r="AO44" s="908">
        <f ca="1">'CF(M)'!AM122*'IS(M)'!$J44/12*Index!AN$22</f>
        <v>26772.974046403589</v>
      </c>
      <c r="AP44" s="908">
        <f ca="1">'CF(M)'!AN122*'IS(M)'!$J44/12*Index!AO$22</f>
        <v>31086.846192623805</v>
      </c>
      <c r="AQ44" s="908">
        <f ca="1">'CF(M)'!AO122*'IS(M)'!$J44/12*Index!AP$22</f>
        <v>35181.068223256319</v>
      </c>
      <c r="AR44" s="908">
        <f ca="1">'CF(M)'!AP122*'IS(M)'!$J44/12*Index!AQ$22</f>
        <v>22196.393420135664</v>
      </c>
      <c r="AS44" s="908">
        <f ca="1">'CF(M)'!AQ122*'IS(M)'!$J44/12*Index!AR$22</f>
        <v>26524.85693066286</v>
      </c>
      <c r="AT44" s="908">
        <f ca="1">'CF(M)'!AR122*'IS(M)'!$J44/12*Index!AS$22</f>
        <v>27455.299702229124</v>
      </c>
      <c r="AU44" s="908">
        <f ca="1">'CF(M)'!AS122*'IS(M)'!$J44/12*Index!AT$22</f>
        <v>19616.017786709901</v>
      </c>
      <c r="AV44" s="908">
        <f ca="1">'CF(M)'!AT122*'IS(M)'!$J44/12*Index!AU$22</f>
        <v>20405.840223154115</v>
      </c>
      <c r="AW44" s="908">
        <f ca="1">'CF(M)'!AU122*'IS(M)'!$J44/12*Index!AV$22</f>
        <v>20300.495704742367</v>
      </c>
      <c r="AX44" s="908">
        <f ca="1">'CF(M)'!AV122*'IS(M)'!$J44/12*Index!AW$22</f>
        <v>4893.3850631820578</v>
      </c>
      <c r="AY44" s="908">
        <f ca="1">'CF(M)'!AW122*'IS(M)'!$J44/12*Index!AX$22</f>
        <v>7225.7177864264495</v>
      </c>
      <c r="AZ44" s="908">
        <f ca="1">'CF(M)'!AX122*'IS(M)'!$J44/12*Index!AY$22</f>
        <v>11229.262202649335</v>
      </c>
      <c r="BA44" s="908">
        <f ca="1">'CF(M)'!AY122*'IS(M)'!$J44/12*Index!AZ$22</f>
        <v>6774.2480647701814</v>
      </c>
      <c r="BB44" s="908">
        <f ca="1">'CF(M)'!AZ122*'IS(M)'!$J44/12*Index!BA$22</f>
        <v>11155.749844470673</v>
      </c>
      <c r="BC44" s="908">
        <f ca="1">'CF(M)'!BA122*'IS(M)'!$J44/12*Index!BB$22</f>
        <v>15400.718783648867</v>
      </c>
      <c r="BD44" s="908">
        <f ca="1">'CF(M)'!BB122*'IS(M)'!$J44/12*Index!BC$22</f>
        <v>2509.4994344513516</v>
      </c>
      <c r="BE44" s="908">
        <f ca="1">'CF(M)'!BC122*'IS(M)'!$J44/12*Index!BD$22</f>
        <v>6993.9527480227762</v>
      </c>
      <c r="BF44" s="908">
        <f ca="1">'CF(M)'!BD122*'IS(M)'!$J44/12*Index!BE$22</f>
        <v>11493.277749761612</v>
      </c>
      <c r="BG44" s="908">
        <f ca="1">'CF(M)'!BE122*'IS(M)'!$J44/12*Index!BF$22</f>
        <v>6470.9473507521179</v>
      </c>
      <c r="BH44" s="908">
        <f ca="1">'CF(M)'!BF122*'IS(M)'!$J44/12*Index!BG$22</f>
        <v>10979.719162216012</v>
      </c>
      <c r="BI44" s="908">
        <f ca="1">'CF(M)'!BG122*'IS(M)'!$J44/12*Index!BH$22</f>
        <v>14401.479843520356</v>
      </c>
      <c r="BJ44" s="908">
        <f ca="1">'CF(M)'!BH122*'IS(M)'!$J44/12*Index!BI$22</f>
        <v>1608.6603205001609</v>
      </c>
      <c r="BK44" s="908">
        <f ca="1">'CF(M)'!BI122*'IS(M)'!$J44/12*Index!BJ$22</f>
        <v>4102.9629789180735</v>
      </c>
      <c r="BL44" s="908">
        <f ca="1">'CF(M)'!BJ122*'IS(M)'!$J44/12*Index!BK$22</f>
        <v>8220.6040949067847</v>
      </c>
      <c r="BM44" s="908">
        <f ca="1">'CF(M)'!BK122*'IS(M)'!$J44/12*Index!BL$22</f>
        <v>3850.4488308910913</v>
      </c>
      <c r="BN44" s="908">
        <f ca="1">'CF(M)'!BL122*'IS(M)'!$J44/12*Index!BM$22</f>
        <v>8424.182476659742</v>
      </c>
      <c r="BO44" s="908">
        <f ca="1">'CF(M)'!BM122*'IS(M)'!$J44/12*Index!BN$22</f>
        <v>12767.26717892866</v>
      </c>
      <c r="BP44" s="908">
        <f ca="1">'CF(M)'!BN122*'IS(M)'!$J44/12*Index!BO$22</f>
        <v>0</v>
      </c>
      <c r="BQ44" s="908">
        <f ca="1">'CF(M)'!BO122*'IS(M)'!$J44/12*Index!BP$22</f>
        <v>4591.8528023074205</v>
      </c>
      <c r="BR44" s="908">
        <f ca="1">'CF(M)'!BP122*'IS(M)'!$J44/12*Index!BQ$22</f>
        <v>9197.0985086215715</v>
      </c>
      <c r="BS44" s="908">
        <f ca="1">'CF(M)'!BQ122*'IS(M)'!$J44/12*Index!BR$22</f>
        <v>4228.6020645703929</v>
      </c>
      <c r="BT44" s="908">
        <f ca="1">'CF(M)'!BR122*'IS(M)'!$J44/12*Index!BS$22</f>
        <v>8844.0348377532518</v>
      </c>
      <c r="BU44" s="908">
        <f ca="1">'CF(M)'!BS122*'IS(M)'!$J44/12*Index!BT$22</f>
        <v>12389.270000967386</v>
      </c>
      <c r="BV44" s="908">
        <f ca="1">'CF(M)'!BT122*'IS(M)'!$J44/12*Index!BU$22</f>
        <v>0</v>
      </c>
      <c r="BW44" s="908">
        <f ca="1">'CF(M)'!BU122*'IS(M)'!$J44/12*Index!BV$22</f>
        <v>2642.6732727521403</v>
      </c>
      <c r="BX44" s="908">
        <f ca="1">'CF(M)'!BV122*'IS(M)'!$J44/12*Index!BW$22</f>
        <v>6861.6614778343783</v>
      </c>
      <c r="BY44" s="908">
        <f ca="1">'CF(M)'!BW122*'IS(M)'!$J44/12*Index!BX$22</f>
        <v>3035.8590413306733</v>
      </c>
      <c r="BZ44" s="908">
        <f ca="1">'CF(M)'!BX122*'IS(M)'!$J44/12*Index!BY$22</f>
        <v>7722.2400562226039</v>
      </c>
      <c r="CA44" s="908">
        <f ca="1">'CF(M)'!BY122*'IS(M)'!$J44/12*Index!BZ$22</f>
        <v>12172.200957442248</v>
      </c>
      <c r="CB44" s="908">
        <f ca="1">'CF(M)'!BZ122*'IS(M)'!$J44/12*Index!CA$22</f>
        <v>0</v>
      </c>
      <c r="CC44" s="908">
        <f ca="1">'CF(M)'!CA122*'IS(M)'!$J44/12*Index!CB$22</f>
        <v>4707.6097991243096</v>
      </c>
      <c r="CD44" s="908">
        <f ca="1">'CF(M)'!CB122*'IS(M)'!$J44/12*Index!CC$22</f>
        <v>9428.9501268293989</v>
      </c>
      <c r="CE44" s="908">
        <f ca="1">'CF(M)'!CC122*'IS(M)'!$J44/12*Index!CD$22</f>
        <v>4997.695848953771</v>
      </c>
      <c r="CF44" s="908">
        <f ca="1">'CF(M)'!CD122*'IS(M)'!$J44/12*Index!CE$22</f>
        <v>9731.4099728626497</v>
      </c>
      <c r="CG44" s="908">
        <f ca="1">'CF(M)'!CE122*'IS(M)'!$J44/12*Index!CF$22</f>
        <v>13411.52636340911</v>
      </c>
      <c r="CH44" s="908">
        <f ca="1">'CF(M)'!CF122*'IS(M)'!$J44/12*Index!CG$22</f>
        <v>748.54065751200972</v>
      </c>
      <c r="CI44" s="908">
        <f ca="1">'CF(M)'!CG122*'IS(M)'!$J44/12*Index!CH$22</f>
        <v>3548.4967810406724</v>
      </c>
      <c r="CJ44" s="908">
        <f ca="1">'CF(M)'!CH122*'IS(M)'!$J44/12*Index!CI$22</f>
        <v>7878.4212055065591</v>
      </c>
      <c r="CK44" s="908">
        <f ca="1">'CF(M)'!CI122*'IS(M)'!$J44/12*Index!CJ$22</f>
        <v>4140.1082625010431</v>
      </c>
      <c r="CL44" s="908">
        <f ca="1">'CF(M)'!CJ122*'IS(M)'!$J44/12*Index!CK$22</f>
        <v>8947.6165770181142</v>
      </c>
      <c r="CM44" s="908">
        <f ca="1">'CF(M)'!CK122*'IS(M)'!$J44/12*Index!CL$22</f>
        <v>13512.805847695998</v>
      </c>
      <c r="CN44" s="908">
        <f ca="1">'CF(M)'!CL122*'IS(M)'!$J44/12*Index!CM$22</f>
        <v>1317.2590646235481</v>
      </c>
      <c r="CO44" s="908">
        <f ca="1">'CF(M)'!CM122*'IS(M)'!$J44/12*Index!CN$22</f>
        <v>6147.3695264106427</v>
      </c>
      <c r="CP44" s="908">
        <f ca="1">'CF(M)'!CN122*'IS(M)'!$J44/12*Index!CO$22</f>
        <v>10991.56781037795</v>
      </c>
      <c r="CQ44" s="908">
        <f ca="1">'CF(M)'!CO122*'IS(M)'!$J44/12*Index!CP$22</f>
        <v>6637.4146265110257</v>
      </c>
      <c r="CR44" s="908">
        <f ca="1">'CF(M)'!CP122*'IS(M)'!$J44/12*Index!CQ$22</f>
        <v>11494.85811337604</v>
      </c>
      <c r="CS44" s="908">
        <f ca="1">'CF(M)'!CQ122*'IS(M)'!$J44/12*Index!CR$22</f>
        <v>15315.075810180615</v>
      </c>
      <c r="CT44" s="908">
        <f ca="1">'CF(M)'!CR122*'IS(M)'!$J44/12*Index!CS$22</f>
        <v>3234.0288196893343</v>
      </c>
      <c r="CU44" s="908">
        <f ca="1">'CF(M)'!CS122*'IS(M)'!$J44/12*Index!CT$22</f>
        <v>6198.4585701315509</v>
      </c>
      <c r="CV44" s="908">
        <f ca="1">'CF(M)'!CT122*'IS(M)'!$J44/12*Index!CU$22</f>
        <v>10647.162992392448</v>
      </c>
      <c r="CW44" s="908">
        <f ca="1">'CF(M)'!CU122*'IS(M)'!$J44/12*Index!CV$22</f>
        <v>7003.6468238662419</v>
      </c>
      <c r="CX44" s="908">
        <f ca="1">'CF(M)'!CV122*'IS(M)'!$J44/12*Index!CW$22</f>
        <v>11940.369839236771</v>
      </c>
      <c r="CY44" s="908">
        <f ca="1">'CF(M)'!CW122*'IS(M)'!$J44/12*Index!CX$22</f>
        <v>16628.742163401683</v>
      </c>
      <c r="CZ44" s="908">
        <f ca="1">'CF(M)'!CX122*'IS(M)'!$J44/12*Index!CY$22</f>
        <v>4524.7345917929515</v>
      </c>
      <c r="DA44" s="908">
        <f ca="1">'CF(M)'!CY122*'IS(M)'!$J44/12*Index!CZ$22</f>
        <v>7442.2000103715682</v>
      </c>
      <c r="DB44" s="908">
        <f ca="1">'CF(M)'!CZ122*'IS(M)'!$J44/12*Index!DA$22</f>
        <v>12293.661633069853</v>
      </c>
      <c r="DC44" s="908">
        <f ca="1">'CF(M)'!DA122*'IS(M)'!$J44/12*Index!DB$22</f>
        <v>8106.9318541039238</v>
      </c>
      <c r="DD44" s="908">
        <f ca="1">'CF(M)'!DB122*'IS(M)'!$J44/12*Index!DC$22</f>
        <v>12724.161883040084</v>
      </c>
      <c r="DE44" s="908">
        <f ca="1">'CF(M)'!DC122*'IS(M)'!$J44/12*Index!DD$22</f>
        <v>16567.518096612952</v>
      </c>
      <c r="DF44" s="908">
        <f ca="1">'CF(M)'!DD122*'IS(M)'!$J44/12*Index!DE$22</f>
        <v>4489.3812241455453</v>
      </c>
      <c r="DG44" s="908">
        <f ca="1">'CF(M)'!DE122*'IS(M)'!$J44/12*Index!DF$22</f>
        <v>7499.0314299765587</v>
      </c>
      <c r="DH44" s="908">
        <f ca="1">'CF(M)'!DF122*'IS(M)'!$J44/12*Index!DG$22</f>
        <v>11946.9118714587</v>
      </c>
      <c r="DI44" s="908">
        <f ca="1">'CF(M)'!DG122*'IS(M)'!$J44/12*Index!DH$22</f>
        <v>8280.7471410900362</v>
      </c>
      <c r="DJ44" s="908">
        <f ca="1">'CF(M)'!DH122*'IS(M)'!$J44/12*Index!DI$22</f>
        <v>13090.808762294453</v>
      </c>
      <c r="DK44" s="908">
        <f ca="1">'CF(M)'!DI122*'IS(M)'!$J44/12*Index!DJ$22</f>
        <v>18050.345938758077</v>
      </c>
      <c r="DL44" s="908">
        <f ca="1">'CF(M)'!DJ122*'IS(M)'!$J44/12*Index!DK$22</f>
        <v>5945.5644677463979</v>
      </c>
      <c r="DM44" s="908">
        <f ca="1">'CF(M)'!DK122*'IS(M)'!$J44/12*Index!DL$22</f>
        <v>10913.937585919517</v>
      </c>
      <c r="DN44" s="908">
        <f ca="1">'CF(M)'!DL122*'IS(M)'!$J44/12*Index!DM$22</f>
        <v>15898.829312834008</v>
      </c>
      <c r="DO44" s="908">
        <f ca="1">'CF(M)'!DM122*'IS(M)'!$J44/12*Index!DN$22</f>
        <v>11644.708982430326</v>
      </c>
      <c r="DP44" s="908">
        <f ca="1">'CF(M)'!DN122*'IS(M)'!$J44/12*Index!DO$22</f>
        <v>16644.146210781939</v>
      </c>
      <c r="DQ44" s="908">
        <f ca="1">'CF(M)'!DO122*'IS(M)'!$J44/12*Index!DP$22</f>
        <v>20638.077033992646</v>
      </c>
      <c r="DR44" s="908">
        <f ca="1">'CF(M)'!DP122*'IS(M)'!$J44/12*Index!DQ$22</f>
        <v>8658.1421251962493</v>
      </c>
      <c r="DS44" s="908">
        <f ca="1">'CF(M)'!DQ122*'IS(M)'!$J44/12*Index!DR$22</f>
        <v>11840.320885035675</v>
      </c>
      <c r="DT44" s="908">
        <f ca="1">'CF(M)'!DR122*'IS(M)'!$J44/12*Index!DS$22</f>
        <v>16416.252826329666</v>
      </c>
      <c r="DU44" s="908">
        <f ca="1">'CF(M)'!DS122*'IS(M)'!$J44/12*Index!DT$22</f>
        <v>12882.096500256417</v>
      </c>
      <c r="DV44" s="908">
        <f ca="1">'CF(M)'!DT122*'IS(M)'!$J44/12*Index!DU$22</f>
        <v>17965.054898899136</v>
      </c>
      <c r="DW44" s="908">
        <f ca="1">'CF(M)'!DU122*'IS(M)'!$J44/12*Index!DV$22</f>
        <v>23062.838592871227</v>
      </c>
      <c r="DX44" s="908">
        <f ca="1">'CF(M)'!DV122*'IS(M)'!$J44/12*Index!DW$22</f>
        <v>11160.004057772501</v>
      </c>
      <c r="DY44" s="908">
        <f ca="1">'CF(M)'!DW122*'IS(M)'!$J44/12*Index!DX$22</f>
        <v>16270.436038791151</v>
      </c>
      <c r="DZ44" s="908">
        <f ca="1">'CF(M)'!DX122*'IS(M)'!$J44/12*Index!DY$22</f>
        <v>21395.773446421106</v>
      </c>
      <c r="EA44" s="908">
        <f ca="1">'CF(M)'!DY122*'IS(M)'!$J44/12*Index!DZ$22</f>
        <v>17212.469891332705</v>
      </c>
      <c r="EB44" s="908">
        <f ca="1">'CF(M)'!DZ122*'IS(M)'!$J44/12*Index!EA$22</f>
        <v>22353.279334684805</v>
      </c>
      <c r="EC44" s="908">
        <f ca="1">'CF(M)'!EA122*'IS(M)'!$J44/12*Index!EB$22</f>
        <v>26504.29602997893</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29166.666666666672</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9"/>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50"/>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617</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115985534.7744409</v>
      </c>
      <c r="M55" s="897">
        <f t="shared" ref="M55:AR55" si="36">M17+M42</f>
        <v>0</v>
      </c>
      <c r="N55" s="897">
        <f t="shared" ca="1" si="36"/>
        <v>-97823.001845480525</v>
      </c>
      <c r="O55" s="897">
        <f t="shared" ca="1" si="36"/>
        <v>-86797.551769403624</v>
      </c>
      <c r="P55" s="897">
        <f t="shared" ca="1" si="36"/>
        <v>-273570.23737572774</v>
      </c>
      <c r="Q55" s="897">
        <f t="shared" ca="1" si="36"/>
        <v>-135471.16962013184</v>
      </c>
      <c r="R55" s="897">
        <f t="shared" ca="1" si="36"/>
        <v>-62905.423188719316</v>
      </c>
      <c r="S55" s="897">
        <f t="shared" ca="1" si="36"/>
        <v>-20103.892470517545</v>
      </c>
      <c r="T55" s="897">
        <f t="shared" ca="1" si="36"/>
        <v>-169321.76270656078</v>
      </c>
      <c r="U55" s="897">
        <f t="shared" ca="1" si="36"/>
        <v>6229.5365756994579</v>
      </c>
      <c r="V55" s="897">
        <f t="shared" ca="1" si="36"/>
        <v>10919.785932444269</v>
      </c>
      <c r="W55" s="897">
        <f t="shared" ca="1" si="36"/>
        <v>6650.6491755581228</v>
      </c>
      <c r="X55" s="897">
        <f t="shared" ca="1" si="36"/>
        <v>10797.485482745222</v>
      </c>
      <c r="Y55" s="897">
        <f t="shared" ca="1" si="36"/>
        <v>-6243.4498173660832</v>
      </c>
      <c r="Z55" s="897">
        <f t="shared" ca="1" si="36"/>
        <v>-20765.338665894</v>
      </c>
      <c r="AA55" s="897">
        <f t="shared" ca="1" si="36"/>
        <v>-20518.41547212773</v>
      </c>
      <c r="AB55" s="897">
        <f t="shared" ca="1" si="36"/>
        <v>-212315.62919300527</v>
      </c>
      <c r="AC55" s="897">
        <f t="shared" ca="1" si="36"/>
        <v>-119439.99982668983</v>
      </c>
      <c r="AD55" s="897">
        <f t="shared" ca="1" si="36"/>
        <v>-45100.857610608917</v>
      </c>
      <c r="AE55" s="897">
        <f t="shared" ca="1" si="36"/>
        <v>-1270.1553485407494</v>
      </c>
      <c r="AF55" s="897">
        <f t="shared" ca="1" si="36"/>
        <v>-152204.50817269878</v>
      </c>
      <c r="AG55" s="897">
        <f t="shared" ca="1" si="36"/>
        <v>27700.461735073128</v>
      </c>
      <c r="AH55" s="897">
        <f t="shared" ca="1" si="36"/>
        <v>32472.753059610608</v>
      </c>
      <c r="AI55" s="897">
        <f t="shared" ca="1" si="36"/>
        <v>28101.218553154962</v>
      </c>
      <c r="AJ55" s="897">
        <f t="shared" ca="1" si="36"/>
        <v>32316.421424738364</v>
      </c>
      <c r="AK55" s="897">
        <f t="shared" ca="1" si="36"/>
        <v>14760.401214561891</v>
      </c>
      <c r="AL55" s="897">
        <f t="shared" ca="1" si="36"/>
        <v>11728.872604188975</v>
      </c>
      <c r="AM55" s="897">
        <f t="shared" ca="1" si="36"/>
        <v>-8493.1350746985991</v>
      </c>
      <c r="AN55" s="897">
        <f t="shared" ca="1" si="36"/>
        <v>-28791.093711196561</v>
      </c>
      <c r="AO55" s="897">
        <f t="shared" ca="1" si="36"/>
        <v>35361.957293929881</v>
      </c>
      <c r="AP55" s="897">
        <f t="shared" ca="1" si="36"/>
        <v>-32708.24620063114</v>
      </c>
      <c r="AQ55" s="897">
        <f t="shared" ca="1" si="36"/>
        <v>12234.358409126289</v>
      </c>
      <c r="AR55" s="897">
        <f t="shared" ca="1" si="36"/>
        <v>39493.862215795321</v>
      </c>
      <c r="AS55" s="897">
        <f t="shared" ref="AS55:BX55" ca="1" si="37">AS17+AS42</f>
        <v>-1019235.9883100316</v>
      </c>
      <c r="AT55" s="897">
        <f t="shared" ca="1" si="37"/>
        <v>-991365.15970006085</v>
      </c>
      <c r="AU55" s="897">
        <f t="shared" ca="1" si="37"/>
        <v>-1063693.779439081</v>
      </c>
      <c r="AV55" s="897">
        <f t="shared" ca="1" si="37"/>
        <v>-994505.56448046758</v>
      </c>
      <c r="AW55" s="897">
        <f t="shared" ca="1" si="37"/>
        <v>-1015776.7419391919</v>
      </c>
      <c r="AX55" s="897">
        <f t="shared" ca="1" si="37"/>
        <v>51730.133156550233</v>
      </c>
      <c r="AY55" s="897">
        <f t="shared" ca="1" si="37"/>
        <v>60178.037785149529</v>
      </c>
      <c r="AZ55" s="897">
        <f t="shared" ca="1" si="37"/>
        <v>62397.180978790973</v>
      </c>
      <c r="BA55" s="897">
        <f t="shared" ca="1" si="37"/>
        <v>55482.781216153526</v>
      </c>
      <c r="BB55" s="897">
        <f t="shared" ca="1" si="37"/>
        <v>13325.409007358598</v>
      </c>
      <c r="BC55" s="897">
        <f t="shared" ca="1" si="37"/>
        <v>59439.970090140007</v>
      </c>
      <c r="BD55" s="897">
        <f t="shared" ca="1" si="37"/>
        <v>87183.866573169129</v>
      </c>
      <c r="BE55" s="897">
        <f t="shared" ca="1" si="37"/>
        <v>92226.875523985713</v>
      </c>
      <c r="BF55" s="897">
        <f t="shared" ca="1" si="37"/>
        <v>96726.200525724562</v>
      </c>
      <c r="BG55" s="897">
        <f t="shared" ca="1" si="37"/>
        <v>95123.78975282365</v>
      </c>
      <c r="BH55" s="897">
        <f t="shared" ca="1" si="37"/>
        <v>99632.561564287636</v>
      </c>
      <c r="BI55" s="897">
        <f t="shared" ca="1" si="37"/>
        <v>103054.3222455919</v>
      </c>
      <c r="BJ55" s="897">
        <f t="shared" ca="1" si="37"/>
        <v>90030.025941683562</v>
      </c>
      <c r="BK55" s="897">
        <f t="shared" ca="1" si="37"/>
        <v>98722.716979287914</v>
      </c>
      <c r="BL55" s="897">
        <f t="shared" ca="1" si="37"/>
        <v>107552.74092771485</v>
      </c>
      <c r="BM55" s="897">
        <f t="shared" ca="1" si="37"/>
        <v>115950.18322129082</v>
      </c>
      <c r="BN55" s="897">
        <f t="shared" ca="1" si="37"/>
        <v>44475.397396963672</v>
      </c>
      <c r="BO55" s="897">
        <f t="shared" ca="1" si="37"/>
        <v>91734.814046425861</v>
      </c>
      <c r="BP55" s="897">
        <f t="shared" ca="1" si="37"/>
        <v>121247.67172926839</v>
      </c>
      <c r="BQ55" s="897">
        <f t="shared" ca="1" si="37"/>
        <v>125839.52453157585</v>
      </c>
      <c r="BR55" s="897">
        <f t="shared" ca="1" si="37"/>
        <v>130444.77023788996</v>
      </c>
      <c r="BS55" s="897">
        <f t="shared" ca="1" si="37"/>
        <v>128981.69141060009</v>
      </c>
      <c r="BT55" s="897">
        <f t="shared" ca="1" si="37"/>
        <v>133597.12418378296</v>
      </c>
      <c r="BU55" s="897">
        <f t="shared" ca="1" si="37"/>
        <v>137142.35934699711</v>
      </c>
      <c r="BV55" s="897">
        <f t="shared" ca="1" si="37"/>
        <v>177705.09967445058</v>
      </c>
      <c r="BW55" s="897">
        <f t="shared" ca="1" si="37"/>
        <v>186701.121035869</v>
      </c>
      <c r="BX55" s="897">
        <f t="shared" ca="1" si="37"/>
        <v>195750.30164420069</v>
      </c>
      <c r="BY55" s="897">
        <f t="shared" ref="BY55:DD55" ca="1" si="38">BY17+BY42</f>
        <v>205011.28670422814</v>
      </c>
      <c r="BZ55" s="897">
        <f t="shared" ca="1" si="38"/>
        <v>131747.9352622719</v>
      </c>
      <c r="CA55" s="897">
        <f t="shared" ca="1" si="38"/>
        <v>180187.13640936487</v>
      </c>
      <c r="CB55" s="897">
        <f t="shared" ca="1" si="38"/>
        <v>211352.0634352382</v>
      </c>
      <c r="CC55" s="897">
        <f t="shared" ca="1" si="38"/>
        <v>216059.6732343625</v>
      </c>
      <c r="CD55" s="897">
        <f t="shared" ca="1" si="38"/>
        <v>220781.01356206764</v>
      </c>
      <c r="CE55" s="897">
        <f t="shared" ca="1" si="38"/>
        <v>219942.81234137225</v>
      </c>
      <c r="CF55" s="897">
        <f t="shared" ca="1" si="38"/>
        <v>224676.52646528115</v>
      </c>
      <c r="CG55" s="897">
        <f t="shared" ca="1" si="38"/>
        <v>228356.64285582758</v>
      </c>
      <c r="CH55" s="897">
        <f t="shared" ca="1" si="38"/>
        <v>215329.02848234447</v>
      </c>
      <c r="CI55" s="897">
        <f t="shared" ca="1" si="38"/>
        <v>224641.16639675584</v>
      </c>
      <c r="CJ55" s="897">
        <f t="shared" ca="1" si="38"/>
        <v>233922.03803455248</v>
      </c>
      <c r="CK55" s="897">
        <f t="shared" ca="1" si="38"/>
        <v>243597.68227549153</v>
      </c>
      <c r="CL55" s="897">
        <f t="shared" ca="1" si="38"/>
        <v>168506.71482173936</v>
      </c>
      <c r="CM55" s="897">
        <f t="shared" ca="1" si="38"/>
        <v>218160.8753444372</v>
      </c>
      <c r="CN55" s="897">
        <f t="shared" ca="1" si="38"/>
        <v>250385.88474426302</v>
      </c>
      <c r="CO55" s="897">
        <f t="shared" ca="1" si="38"/>
        <v>255215.99520605011</v>
      </c>
      <c r="CP55" s="897">
        <f t="shared" ca="1" si="38"/>
        <v>260060.19349001744</v>
      </c>
      <c r="CQ55" s="897">
        <f t="shared" ca="1" si="38"/>
        <v>259388.91968976031</v>
      </c>
      <c r="CR55" s="897">
        <f t="shared" ca="1" si="38"/>
        <v>264246.36317662534</v>
      </c>
      <c r="CS55" s="897">
        <f t="shared" ca="1" si="38"/>
        <v>268066.58087342989</v>
      </c>
      <c r="CT55" s="897">
        <f t="shared" ca="1" si="38"/>
        <v>255554.11583006405</v>
      </c>
      <c r="CU55" s="897">
        <f t="shared" ca="1" si="38"/>
        <v>265193.53191616153</v>
      </c>
      <c r="CV55" s="897">
        <f t="shared" ca="1" si="38"/>
        <v>274716.95723208622</v>
      </c>
      <c r="CW55" s="897">
        <f t="shared" ca="1" si="38"/>
        <v>284822.74717710307</v>
      </c>
      <c r="CX55" s="897">
        <f t="shared" ca="1" si="38"/>
        <v>207863.53252999741</v>
      </c>
      <c r="CY55" s="897">
        <f t="shared" ca="1" si="38"/>
        <v>258768.10038748267</v>
      </c>
      <c r="CZ55" s="897">
        <f t="shared" ca="1" si="38"/>
        <v>-344781.59968822647</v>
      </c>
      <c r="DA55" s="897">
        <f t="shared" ca="1" si="38"/>
        <v>258287.63611439813</v>
      </c>
      <c r="DB55" s="897">
        <f t="shared" ca="1" si="38"/>
        <v>263139.09773709648</v>
      </c>
      <c r="DC55" s="897">
        <f t="shared" ca="1" si="38"/>
        <v>185340.81627823121</v>
      </c>
      <c r="DD55" s="897">
        <f t="shared" ca="1" si="38"/>
        <v>267344.54935526638</v>
      </c>
      <c r="DE55" s="897">
        <f t="shared" ref="DE55:DT55" ca="1" si="39">DE17+DE42</f>
        <v>271187.90556883928</v>
      </c>
      <c r="DF55" s="897">
        <f t="shared" ca="1" si="39"/>
        <v>258694.85941317712</v>
      </c>
      <c r="DG55" s="897">
        <f t="shared" ca="1" si="39"/>
        <v>268354.24376063177</v>
      </c>
      <c r="DH55" s="897">
        <f t="shared" ca="1" si="39"/>
        <v>260261.45040010335</v>
      </c>
      <c r="DI55" s="897">
        <f t="shared" ca="1" si="39"/>
        <v>246108.2007275325</v>
      </c>
      <c r="DJ55" s="897">
        <f t="shared" ca="1" si="39"/>
        <v>293135.26251414791</v>
      </c>
      <c r="DK55" s="897">
        <f t="shared" ca="1" si="39"/>
        <v>272007.69513285963</v>
      </c>
      <c r="DL55" s="897">
        <f t="shared" ca="1" si="39"/>
        <v>295239.75460461585</v>
      </c>
      <c r="DM55" s="897">
        <f t="shared" ca="1" si="39"/>
        <v>300840.08215812442</v>
      </c>
      <c r="DN55" s="897">
        <f t="shared" ca="1" si="39"/>
        <v>305824.97388503887</v>
      </c>
      <c r="DO55" s="897">
        <f t="shared" ca="1" si="39"/>
        <v>305440.17870704003</v>
      </c>
      <c r="DP55" s="897">
        <f t="shared" ca="1" si="39"/>
        <v>310439.61593539175</v>
      </c>
      <c r="DQ55" s="897">
        <f t="shared" ca="1" si="39"/>
        <v>314433.54675860237</v>
      </c>
      <c r="DR55" s="897">
        <f t="shared" ca="1" si="39"/>
        <v>301973.62618816784</v>
      </c>
      <c r="DS55" s="897">
        <f t="shared" ca="1" si="39"/>
        <v>311971.78244317137</v>
      </c>
      <c r="DT55" s="897">
        <f t="shared" ca="1" si="39"/>
        <v>321717.63903348858</v>
      </c>
      <c r="DU55" s="897">
        <f t="shared" ref="DU55:ER55" ca="1" si="40">DU17+DU42</f>
        <v>332191.86628833658</v>
      </c>
      <c r="DV55" s="897">
        <f t="shared" ca="1" si="40"/>
        <v>337274.82468697929</v>
      </c>
      <c r="DW55" s="897">
        <f t="shared" ca="1" si="40"/>
        <v>347704.41986039735</v>
      </c>
      <c r="DX55" s="897">
        <f t="shared" ca="1" si="40"/>
        <v>340598.50693671266</v>
      </c>
      <c r="DY55" s="897">
        <f t="shared" ca="1" si="40"/>
        <v>345708.9389177314</v>
      </c>
      <c r="DZ55" s="897">
        <f t="shared" ca="1" si="40"/>
        <v>350834.27632536134</v>
      </c>
      <c r="EA55" s="897">
        <f t="shared" ca="1" si="40"/>
        <v>350617.03105148801</v>
      </c>
      <c r="EB55" s="897">
        <f t="shared" ca="1" si="40"/>
        <v>355757.84049484017</v>
      </c>
      <c r="EC55" s="897">
        <f t="shared" ca="1" si="40"/>
        <v>105258606.9025075</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115985534.7744409</v>
      </c>
      <c r="M57" s="903">
        <f>M55-M56</f>
        <v>0</v>
      </c>
      <c r="N57" s="903">
        <f t="shared" ref="N57:BY57" ca="1" si="41">N55-N56</f>
        <v>-97823.001845480525</v>
      </c>
      <c r="O57" s="903">
        <f t="shared" ca="1" si="41"/>
        <v>-86797.551769403624</v>
      </c>
      <c r="P57" s="903">
        <f t="shared" ca="1" si="41"/>
        <v>-273570.23737572774</v>
      </c>
      <c r="Q57" s="903">
        <f t="shared" ca="1" si="41"/>
        <v>-135471.16962013184</v>
      </c>
      <c r="R57" s="903">
        <f t="shared" ca="1" si="41"/>
        <v>-62905.423188719316</v>
      </c>
      <c r="S57" s="903">
        <f t="shared" ca="1" si="41"/>
        <v>-20103.892470517545</v>
      </c>
      <c r="T57" s="903">
        <f t="shared" ca="1" si="41"/>
        <v>-169321.76270656078</v>
      </c>
      <c r="U57" s="903">
        <f t="shared" ca="1" si="41"/>
        <v>6229.5365756994579</v>
      </c>
      <c r="V57" s="903">
        <f t="shared" ca="1" si="41"/>
        <v>10919.785932444269</v>
      </c>
      <c r="W57" s="903">
        <f t="shared" ca="1" si="41"/>
        <v>6650.6491755581228</v>
      </c>
      <c r="X57" s="903">
        <f t="shared" ca="1" si="41"/>
        <v>10797.485482745222</v>
      </c>
      <c r="Y57" s="903">
        <f t="shared" ca="1" si="41"/>
        <v>-6243.4498173660832</v>
      </c>
      <c r="Z57" s="903">
        <f t="shared" ca="1" si="41"/>
        <v>-20765.338665894</v>
      </c>
      <c r="AA57" s="903">
        <f t="shared" ca="1" si="41"/>
        <v>-20518.41547212773</v>
      </c>
      <c r="AB57" s="903">
        <f t="shared" ca="1" si="41"/>
        <v>-212315.62919300527</v>
      </c>
      <c r="AC57" s="903">
        <f t="shared" ca="1" si="41"/>
        <v>-119439.99982668983</v>
      </c>
      <c r="AD57" s="903">
        <f t="shared" ca="1" si="41"/>
        <v>-45100.857610608917</v>
      </c>
      <c r="AE57" s="903">
        <f t="shared" ca="1" si="41"/>
        <v>-1270.1553485407494</v>
      </c>
      <c r="AF57" s="903">
        <f t="shared" ca="1" si="41"/>
        <v>-152204.50817269878</v>
      </c>
      <c r="AG57" s="903">
        <f t="shared" ca="1" si="41"/>
        <v>27700.461735073128</v>
      </c>
      <c r="AH57" s="903">
        <f t="shared" ca="1" si="41"/>
        <v>32472.753059610608</v>
      </c>
      <c r="AI57" s="903">
        <f t="shared" ca="1" si="41"/>
        <v>28101.218553154962</v>
      </c>
      <c r="AJ57" s="903">
        <f t="shared" ca="1" si="41"/>
        <v>32316.421424738364</v>
      </c>
      <c r="AK57" s="903">
        <f t="shared" ca="1" si="41"/>
        <v>14760.401214561891</v>
      </c>
      <c r="AL57" s="903">
        <f t="shared" ca="1" si="41"/>
        <v>11728.872604188975</v>
      </c>
      <c r="AM57" s="903">
        <f t="shared" ca="1" si="41"/>
        <v>-8493.1350746985991</v>
      </c>
      <c r="AN57" s="903">
        <f t="shared" ca="1" si="41"/>
        <v>-28791.093711196561</v>
      </c>
      <c r="AO57" s="903">
        <f t="shared" ca="1" si="41"/>
        <v>35361.957293929881</v>
      </c>
      <c r="AP57" s="903">
        <f t="shared" ca="1" si="41"/>
        <v>-32708.24620063114</v>
      </c>
      <c r="AQ57" s="903">
        <f t="shared" ca="1" si="41"/>
        <v>12234.358409126289</v>
      </c>
      <c r="AR57" s="903">
        <f t="shared" ca="1" si="41"/>
        <v>39493.862215795321</v>
      </c>
      <c r="AS57" s="903">
        <f t="shared" ca="1" si="41"/>
        <v>-1019235.9883100316</v>
      </c>
      <c r="AT57" s="903">
        <f t="shared" ca="1" si="41"/>
        <v>-991365.15970006085</v>
      </c>
      <c r="AU57" s="903">
        <f t="shared" ca="1" si="41"/>
        <v>-1063693.779439081</v>
      </c>
      <c r="AV57" s="903">
        <f t="shared" ca="1" si="41"/>
        <v>-994505.56448046758</v>
      </c>
      <c r="AW57" s="903">
        <f t="shared" ca="1" si="41"/>
        <v>-1015776.7419391919</v>
      </c>
      <c r="AX57" s="903">
        <f t="shared" ca="1" si="41"/>
        <v>51730.133156550233</v>
      </c>
      <c r="AY57" s="903">
        <f t="shared" ca="1" si="41"/>
        <v>60178.037785149529</v>
      </c>
      <c r="AZ57" s="903">
        <f t="shared" ca="1" si="41"/>
        <v>62397.180978790973</v>
      </c>
      <c r="BA57" s="903">
        <f t="shared" ca="1" si="41"/>
        <v>55482.781216153526</v>
      </c>
      <c r="BB57" s="903">
        <f t="shared" ca="1" si="41"/>
        <v>13325.409007358598</v>
      </c>
      <c r="BC57" s="903">
        <f t="shared" ca="1" si="41"/>
        <v>59439.970090140007</v>
      </c>
      <c r="BD57" s="903">
        <f t="shared" ca="1" si="41"/>
        <v>87183.866573169129</v>
      </c>
      <c r="BE57" s="903">
        <f t="shared" ca="1" si="41"/>
        <v>92226.875523985713</v>
      </c>
      <c r="BF57" s="903">
        <f t="shared" ca="1" si="41"/>
        <v>96726.200525724562</v>
      </c>
      <c r="BG57" s="903">
        <f t="shared" ca="1" si="41"/>
        <v>95123.78975282365</v>
      </c>
      <c r="BH57" s="903">
        <f t="shared" ca="1" si="41"/>
        <v>99632.561564287636</v>
      </c>
      <c r="BI57" s="903">
        <f t="shared" ca="1" si="41"/>
        <v>103054.3222455919</v>
      </c>
      <c r="BJ57" s="903">
        <f t="shared" ca="1" si="41"/>
        <v>90030.025941683562</v>
      </c>
      <c r="BK57" s="903">
        <f t="shared" ca="1" si="41"/>
        <v>98722.716979287914</v>
      </c>
      <c r="BL57" s="903">
        <f t="shared" ca="1" si="41"/>
        <v>107552.74092771485</v>
      </c>
      <c r="BM57" s="903">
        <f t="shared" ca="1" si="41"/>
        <v>115950.18322129082</v>
      </c>
      <c r="BN57" s="903">
        <f t="shared" ca="1" si="41"/>
        <v>44475.397396963672</v>
      </c>
      <c r="BO57" s="903">
        <f t="shared" ca="1" si="41"/>
        <v>91734.814046425861</v>
      </c>
      <c r="BP57" s="903">
        <f t="shared" ca="1" si="41"/>
        <v>121247.67172926839</v>
      </c>
      <c r="BQ57" s="903">
        <f t="shared" ca="1" si="41"/>
        <v>125839.52453157585</v>
      </c>
      <c r="BR57" s="903">
        <f t="shared" ca="1" si="41"/>
        <v>130444.77023788996</v>
      </c>
      <c r="BS57" s="903">
        <f t="shared" ca="1" si="41"/>
        <v>128981.69141060009</v>
      </c>
      <c r="BT57" s="903">
        <f t="shared" ca="1" si="41"/>
        <v>133597.12418378296</v>
      </c>
      <c r="BU57" s="903">
        <f t="shared" ca="1" si="41"/>
        <v>137142.35934699711</v>
      </c>
      <c r="BV57" s="903">
        <f t="shared" ca="1" si="41"/>
        <v>177705.09967445058</v>
      </c>
      <c r="BW57" s="903">
        <f t="shared" ca="1" si="41"/>
        <v>186701.121035869</v>
      </c>
      <c r="BX57" s="903">
        <f t="shared" ca="1" si="41"/>
        <v>195750.30164420069</v>
      </c>
      <c r="BY57" s="903">
        <f t="shared" ca="1" si="41"/>
        <v>205011.28670422814</v>
      </c>
      <c r="BZ57" s="903">
        <f t="shared" ref="BZ57:DT57" ca="1" si="42">BZ55-BZ56</f>
        <v>131747.9352622719</v>
      </c>
      <c r="CA57" s="903">
        <f t="shared" ca="1" si="42"/>
        <v>180187.13640936487</v>
      </c>
      <c r="CB57" s="903">
        <f t="shared" ca="1" si="42"/>
        <v>211352.0634352382</v>
      </c>
      <c r="CC57" s="903">
        <f t="shared" ca="1" si="42"/>
        <v>216059.6732343625</v>
      </c>
      <c r="CD57" s="903">
        <f t="shared" ca="1" si="42"/>
        <v>220781.01356206764</v>
      </c>
      <c r="CE57" s="903">
        <f t="shared" ca="1" si="42"/>
        <v>219942.81234137225</v>
      </c>
      <c r="CF57" s="903">
        <f t="shared" ca="1" si="42"/>
        <v>224676.52646528115</v>
      </c>
      <c r="CG57" s="903">
        <f t="shared" ca="1" si="42"/>
        <v>228356.64285582758</v>
      </c>
      <c r="CH57" s="903">
        <f t="shared" ca="1" si="42"/>
        <v>215329.02848234447</v>
      </c>
      <c r="CI57" s="903">
        <f t="shared" ca="1" si="42"/>
        <v>224641.16639675584</v>
      </c>
      <c r="CJ57" s="903">
        <f t="shared" ca="1" si="42"/>
        <v>233922.03803455248</v>
      </c>
      <c r="CK57" s="903">
        <f t="shared" ca="1" si="42"/>
        <v>243597.68227549153</v>
      </c>
      <c r="CL57" s="903">
        <f t="shared" ca="1" si="42"/>
        <v>168506.71482173936</v>
      </c>
      <c r="CM57" s="903">
        <f t="shared" ca="1" si="42"/>
        <v>218160.8753444372</v>
      </c>
      <c r="CN57" s="903">
        <f t="shared" ca="1" si="42"/>
        <v>250385.88474426302</v>
      </c>
      <c r="CO57" s="903">
        <f t="shared" ca="1" si="42"/>
        <v>255215.99520605011</v>
      </c>
      <c r="CP57" s="903">
        <f t="shared" ca="1" si="42"/>
        <v>260060.19349001744</v>
      </c>
      <c r="CQ57" s="903">
        <f t="shared" ca="1" si="42"/>
        <v>259388.91968976031</v>
      </c>
      <c r="CR57" s="903">
        <f t="shared" ca="1" si="42"/>
        <v>264246.36317662534</v>
      </c>
      <c r="CS57" s="903">
        <f t="shared" ca="1" si="42"/>
        <v>268066.58087342989</v>
      </c>
      <c r="CT57" s="903">
        <f t="shared" ca="1" si="42"/>
        <v>255554.11583006405</v>
      </c>
      <c r="CU57" s="903">
        <f t="shared" ca="1" si="42"/>
        <v>265193.53191616153</v>
      </c>
      <c r="CV57" s="903">
        <f t="shared" ca="1" si="42"/>
        <v>274716.95723208622</v>
      </c>
      <c r="CW57" s="903">
        <f t="shared" ca="1" si="42"/>
        <v>284822.74717710307</v>
      </c>
      <c r="CX57" s="903">
        <f t="shared" ca="1" si="42"/>
        <v>207863.53252999741</v>
      </c>
      <c r="CY57" s="903">
        <f t="shared" ca="1" si="42"/>
        <v>258768.10038748267</v>
      </c>
      <c r="CZ57" s="903">
        <f t="shared" ca="1" si="42"/>
        <v>-344781.59968822647</v>
      </c>
      <c r="DA57" s="903">
        <f t="shared" ca="1" si="42"/>
        <v>258287.63611439813</v>
      </c>
      <c r="DB57" s="903">
        <f t="shared" ca="1" si="42"/>
        <v>263139.09773709648</v>
      </c>
      <c r="DC57" s="903">
        <f t="shared" ca="1" si="42"/>
        <v>185340.81627823121</v>
      </c>
      <c r="DD57" s="903">
        <f t="shared" ca="1" si="42"/>
        <v>267344.54935526638</v>
      </c>
      <c r="DE57" s="903">
        <f t="shared" ca="1" si="42"/>
        <v>271187.90556883928</v>
      </c>
      <c r="DF57" s="903">
        <f t="shared" ca="1" si="42"/>
        <v>258694.85941317712</v>
      </c>
      <c r="DG57" s="903">
        <f t="shared" ca="1" si="42"/>
        <v>268354.24376063177</v>
      </c>
      <c r="DH57" s="903">
        <f t="shared" ca="1" si="42"/>
        <v>260261.45040010335</v>
      </c>
      <c r="DI57" s="903">
        <f t="shared" ca="1" si="42"/>
        <v>246108.2007275325</v>
      </c>
      <c r="DJ57" s="903">
        <f t="shared" ca="1" si="42"/>
        <v>293135.26251414791</v>
      </c>
      <c r="DK57" s="903">
        <f t="shared" ca="1" si="42"/>
        <v>272007.69513285963</v>
      </c>
      <c r="DL57" s="903">
        <f t="shared" ca="1" si="42"/>
        <v>295239.75460461585</v>
      </c>
      <c r="DM57" s="903">
        <f t="shared" ca="1" si="42"/>
        <v>300840.08215812442</v>
      </c>
      <c r="DN57" s="903">
        <f t="shared" ca="1" si="42"/>
        <v>305824.97388503887</v>
      </c>
      <c r="DO57" s="903">
        <f t="shared" ca="1" si="42"/>
        <v>305440.17870704003</v>
      </c>
      <c r="DP57" s="903">
        <f t="shared" ca="1" si="42"/>
        <v>310439.61593539175</v>
      </c>
      <c r="DQ57" s="903">
        <f t="shared" ca="1" si="42"/>
        <v>314433.54675860237</v>
      </c>
      <c r="DR57" s="903">
        <f t="shared" ca="1" si="42"/>
        <v>301973.62618816784</v>
      </c>
      <c r="DS57" s="903">
        <f t="shared" ca="1" si="42"/>
        <v>311971.78244317137</v>
      </c>
      <c r="DT57" s="903">
        <f t="shared" ca="1" si="42"/>
        <v>321717.63903348858</v>
      </c>
      <c r="DU57" s="903">
        <f t="shared" ref="DU57:ER57" ca="1" si="43">DU55-DU56</f>
        <v>332191.86628833658</v>
      </c>
      <c r="DV57" s="903">
        <f t="shared" ca="1" si="43"/>
        <v>337274.82468697929</v>
      </c>
      <c r="DW57" s="903">
        <f t="shared" ca="1" si="43"/>
        <v>347704.41986039735</v>
      </c>
      <c r="DX57" s="903">
        <f t="shared" ca="1" si="43"/>
        <v>340598.50693671266</v>
      </c>
      <c r="DY57" s="903">
        <f t="shared" ca="1" si="43"/>
        <v>345708.9389177314</v>
      </c>
      <c r="DZ57" s="903">
        <f t="shared" ca="1" si="43"/>
        <v>350834.27632536134</v>
      </c>
      <c r="EA57" s="903">
        <f t="shared" ca="1" si="43"/>
        <v>350617.03105148801</v>
      </c>
      <c r="EB57" s="903">
        <f t="shared" ca="1" si="43"/>
        <v>355757.84049484017</v>
      </c>
      <c r="EC57" s="903">
        <f t="shared" ca="1" si="43"/>
        <v>105258606.9025075</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11086836.729123591</v>
      </c>
      <c r="L62" s="98"/>
      <c r="M62" s="908">
        <f t="shared" ref="M62:AR62" si="49">M57-M45</f>
        <v>0</v>
      </c>
      <c r="N62" s="908">
        <f t="shared" ca="1" si="49"/>
        <v>-97823.001845480525</v>
      </c>
      <c r="O62" s="908">
        <f t="shared" ca="1" si="49"/>
        <v>-86797.551769403624</v>
      </c>
      <c r="P62" s="908">
        <f t="shared" ca="1" si="49"/>
        <v>-273570.23737572774</v>
      </c>
      <c r="Q62" s="908">
        <f t="shared" ca="1" si="49"/>
        <v>-135471.16962013184</v>
      </c>
      <c r="R62" s="908">
        <f t="shared" ca="1" si="49"/>
        <v>-62905.423188719316</v>
      </c>
      <c r="S62" s="908">
        <f t="shared" ca="1" si="49"/>
        <v>-20103.892470517545</v>
      </c>
      <c r="T62" s="908">
        <f t="shared" ca="1" si="49"/>
        <v>-169321.76270656078</v>
      </c>
      <c r="U62" s="908">
        <f t="shared" ca="1" si="49"/>
        <v>6229.5365756994579</v>
      </c>
      <c r="V62" s="908">
        <f t="shared" ca="1" si="49"/>
        <v>10919.785932444269</v>
      </c>
      <c r="W62" s="908">
        <f t="shared" ca="1" si="49"/>
        <v>6650.6491755581228</v>
      </c>
      <c r="X62" s="908">
        <f t="shared" ca="1" si="49"/>
        <v>10797.485482745222</v>
      </c>
      <c r="Y62" s="908">
        <f t="shared" ca="1" si="49"/>
        <v>-6243.4498173660832</v>
      </c>
      <c r="Z62" s="908">
        <f t="shared" ca="1" si="49"/>
        <v>-20765.338665894</v>
      </c>
      <c r="AA62" s="908">
        <f t="shared" ca="1" si="49"/>
        <v>-20518.41547212773</v>
      </c>
      <c r="AB62" s="908">
        <f t="shared" ca="1" si="49"/>
        <v>-212315.62919300527</v>
      </c>
      <c r="AC62" s="908">
        <f t="shared" ca="1" si="49"/>
        <v>-119439.99982668983</v>
      </c>
      <c r="AD62" s="908">
        <f t="shared" ca="1" si="49"/>
        <v>-45100.857610608917</v>
      </c>
      <c r="AE62" s="908">
        <f t="shared" ca="1" si="49"/>
        <v>-1270.1553485407494</v>
      </c>
      <c r="AF62" s="908">
        <f t="shared" ca="1" si="49"/>
        <v>-152204.50817269878</v>
      </c>
      <c r="AG62" s="908">
        <f t="shared" ca="1" si="49"/>
        <v>27700.461735073128</v>
      </c>
      <c r="AH62" s="908">
        <f t="shared" ca="1" si="49"/>
        <v>32472.753059610608</v>
      </c>
      <c r="AI62" s="908">
        <f t="shared" ca="1" si="49"/>
        <v>28101.218553154962</v>
      </c>
      <c r="AJ62" s="908">
        <f t="shared" ca="1" si="49"/>
        <v>32316.421424738364</v>
      </c>
      <c r="AK62" s="908">
        <f t="shared" ca="1" si="49"/>
        <v>14760.401214561891</v>
      </c>
      <c r="AL62" s="908">
        <f t="shared" ca="1" si="49"/>
        <v>11728.872604188975</v>
      </c>
      <c r="AM62" s="908">
        <f t="shared" ca="1" si="49"/>
        <v>-8493.1350746985991</v>
      </c>
      <c r="AN62" s="908">
        <f t="shared" ca="1" si="49"/>
        <v>-28791.093711196561</v>
      </c>
      <c r="AO62" s="908">
        <f t="shared" ca="1" si="49"/>
        <v>35361.957293929881</v>
      </c>
      <c r="AP62" s="908">
        <f t="shared" ca="1" si="49"/>
        <v>-32708.24620063114</v>
      </c>
      <c r="AQ62" s="908">
        <f t="shared" ca="1" si="49"/>
        <v>12234.358409126289</v>
      </c>
      <c r="AR62" s="908">
        <f t="shared" ca="1" si="49"/>
        <v>39493.862215795321</v>
      </c>
      <c r="AS62" s="908">
        <f t="shared" ref="AS62:BX62" ca="1" si="50">AS57-AS45</f>
        <v>-1019235.9883100316</v>
      </c>
      <c r="AT62" s="908">
        <f t="shared" ca="1" si="50"/>
        <v>-991365.15970006085</v>
      </c>
      <c r="AU62" s="908">
        <f t="shared" ca="1" si="50"/>
        <v>-1063693.779439081</v>
      </c>
      <c r="AV62" s="908">
        <f t="shared" ca="1" si="50"/>
        <v>-994505.56448046758</v>
      </c>
      <c r="AW62" s="908">
        <f t="shared" ca="1" si="50"/>
        <v>-1015776.7419391919</v>
      </c>
      <c r="AX62" s="908">
        <f t="shared" ca="1" si="50"/>
        <v>51730.133156550233</v>
      </c>
      <c r="AY62" s="908">
        <f t="shared" ca="1" si="50"/>
        <v>60178.037785149529</v>
      </c>
      <c r="AZ62" s="908">
        <f t="shared" ca="1" si="50"/>
        <v>62397.180978790973</v>
      </c>
      <c r="BA62" s="908">
        <f t="shared" ca="1" si="50"/>
        <v>55482.781216153526</v>
      </c>
      <c r="BB62" s="908">
        <f t="shared" ca="1" si="50"/>
        <v>13325.409007358598</v>
      </c>
      <c r="BC62" s="908">
        <f t="shared" ca="1" si="50"/>
        <v>59439.970090140007</v>
      </c>
      <c r="BD62" s="908">
        <f t="shared" ca="1" si="50"/>
        <v>87183.866573169129</v>
      </c>
      <c r="BE62" s="908">
        <f t="shared" ca="1" si="50"/>
        <v>92226.875523985713</v>
      </c>
      <c r="BF62" s="908">
        <f t="shared" ca="1" si="50"/>
        <v>96726.200525724562</v>
      </c>
      <c r="BG62" s="908">
        <f t="shared" ca="1" si="50"/>
        <v>95123.78975282365</v>
      </c>
      <c r="BH62" s="908">
        <f t="shared" ca="1" si="50"/>
        <v>99632.561564287636</v>
      </c>
      <c r="BI62" s="908">
        <f t="shared" ca="1" si="50"/>
        <v>103054.3222455919</v>
      </c>
      <c r="BJ62" s="908">
        <f t="shared" ca="1" si="50"/>
        <v>90030.025941683562</v>
      </c>
      <c r="BK62" s="908">
        <f t="shared" ca="1" si="50"/>
        <v>98722.716979287914</v>
      </c>
      <c r="BL62" s="908">
        <f t="shared" ca="1" si="50"/>
        <v>107552.74092771485</v>
      </c>
      <c r="BM62" s="908">
        <f t="shared" ca="1" si="50"/>
        <v>115950.18322129082</v>
      </c>
      <c r="BN62" s="908">
        <f t="shared" ca="1" si="50"/>
        <v>44475.397396963672</v>
      </c>
      <c r="BO62" s="908">
        <f t="shared" ca="1" si="50"/>
        <v>91734.814046425861</v>
      </c>
      <c r="BP62" s="908">
        <f t="shared" ca="1" si="50"/>
        <v>121247.67172926839</v>
      </c>
      <c r="BQ62" s="908">
        <f t="shared" ca="1" si="50"/>
        <v>125839.52453157585</v>
      </c>
      <c r="BR62" s="908">
        <f t="shared" ca="1" si="50"/>
        <v>130444.77023788996</v>
      </c>
      <c r="BS62" s="908">
        <f t="shared" ca="1" si="50"/>
        <v>128981.69141060009</v>
      </c>
      <c r="BT62" s="908">
        <f t="shared" ca="1" si="50"/>
        <v>133597.12418378296</v>
      </c>
      <c r="BU62" s="908">
        <f t="shared" ca="1" si="50"/>
        <v>137142.35934699711</v>
      </c>
      <c r="BV62" s="908">
        <f t="shared" ca="1" si="50"/>
        <v>177705.09967445058</v>
      </c>
      <c r="BW62" s="908">
        <f t="shared" ca="1" si="50"/>
        <v>186701.121035869</v>
      </c>
      <c r="BX62" s="908">
        <f t="shared" ca="1" si="50"/>
        <v>195750.30164420069</v>
      </c>
      <c r="BY62" s="908">
        <f t="shared" ref="BY62:DD62" ca="1" si="51">BY57-BY45</f>
        <v>205011.28670422814</v>
      </c>
      <c r="BZ62" s="908">
        <f t="shared" ca="1" si="51"/>
        <v>131747.9352622719</v>
      </c>
      <c r="CA62" s="908">
        <f t="shared" ca="1" si="51"/>
        <v>180187.13640936487</v>
      </c>
      <c r="CB62" s="908">
        <f t="shared" ca="1" si="51"/>
        <v>211352.0634352382</v>
      </c>
      <c r="CC62" s="908">
        <f t="shared" ca="1" si="51"/>
        <v>216059.6732343625</v>
      </c>
      <c r="CD62" s="908">
        <f t="shared" ca="1" si="51"/>
        <v>220781.01356206764</v>
      </c>
      <c r="CE62" s="908">
        <f t="shared" ca="1" si="51"/>
        <v>219942.81234137225</v>
      </c>
      <c r="CF62" s="908">
        <f t="shared" ca="1" si="51"/>
        <v>224676.52646528115</v>
      </c>
      <c r="CG62" s="908">
        <f t="shared" ca="1" si="51"/>
        <v>228356.64285582758</v>
      </c>
      <c r="CH62" s="908">
        <f t="shared" ca="1" si="51"/>
        <v>215329.02848234447</v>
      </c>
      <c r="CI62" s="908">
        <f t="shared" ca="1" si="51"/>
        <v>224641.16639675584</v>
      </c>
      <c r="CJ62" s="908">
        <f t="shared" ca="1" si="51"/>
        <v>233922.03803455248</v>
      </c>
      <c r="CK62" s="908">
        <f t="shared" ca="1" si="51"/>
        <v>243597.68227549153</v>
      </c>
      <c r="CL62" s="908">
        <f t="shared" ca="1" si="51"/>
        <v>168506.71482173936</v>
      </c>
      <c r="CM62" s="908">
        <f t="shared" ca="1" si="51"/>
        <v>218160.8753444372</v>
      </c>
      <c r="CN62" s="908">
        <f t="shared" ca="1" si="51"/>
        <v>250385.88474426302</v>
      </c>
      <c r="CO62" s="908">
        <f t="shared" ca="1" si="51"/>
        <v>255215.99520605011</v>
      </c>
      <c r="CP62" s="908">
        <f t="shared" ca="1" si="51"/>
        <v>260060.19349001744</v>
      </c>
      <c r="CQ62" s="908">
        <f t="shared" ca="1" si="51"/>
        <v>259388.91968976031</v>
      </c>
      <c r="CR62" s="908">
        <f t="shared" ca="1" si="51"/>
        <v>264246.36317662534</v>
      </c>
      <c r="CS62" s="908">
        <f t="shared" ca="1" si="51"/>
        <v>268066.58087342989</v>
      </c>
      <c r="CT62" s="908">
        <f t="shared" ca="1" si="51"/>
        <v>255554.11583006405</v>
      </c>
      <c r="CU62" s="908">
        <f t="shared" ca="1" si="51"/>
        <v>265193.53191616153</v>
      </c>
      <c r="CV62" s="908">
        <f t="shared" ca="1" si="51"/>
        <v>274716.95723208622</v>
      </c>
      <c r="CW62" s="908">
        <f t="shared" ca="1" si="51"/>
        <v>284822.74717710307</v>
      </c>
      <c r="CX62" s="908">
        <f t="shared" ca="1" si="51"/>
        <v>207863.53252999741</v>
      </c>
      <c r="CY62" s="908">
        <f t="shared" ca="1" si="51"/>
        <v>258768.10038748267</v>
      </c>
      <c r="CZ62" s="908">
        <f t="shared" ca="1" si="51"/>
        <v>-344781.59968822647</v>
      </c>
      <c r="DA62" s="908">
        <f t="shared" ca="1" si="51"/>
        <v>258287.63611439813</v>
      </c>
      <c r="DB62" s="908">
        <f t="shared" ca="1" si="51"/>
        <v>263139.09773709648</v>
      </c>
      <c r="DC62" s="908">
        <f t="shared" ca="1" si="51"/>
        <v>185340.81627823121</v>
      </c>
      <c r="DD62" s="908">
        <f t="shared" ca="1" si="51"/>
        <v>267344.54935526638</v>
      </c>
      <c r="DE62" s="908">
        <f t="shared" ref="DE62:DT62" ca="1" si="52">DE57-DE45</f>
        <v>271187.90556883928</v>
      </c>
      <c r="DF62" s="908">
        <f t="shared" ca="1" si="52"/>
        <v>258694.85941317712</v>
      </c>
      <c r="DG62" s="908">
        <f t="shared" ca="1" si="52"/>
        <v>268354.24376063177</v>
      </c>
      <c r="DH62" s="908">
        <f t="shared" ca="1" si="52"/>
        <v>260261.45040010335</v>
      </c>
      <c r="DI62" s="908">
        <f t="shared" ca="1" si="52"/>
        <v>246108.2007275325</v>
      </c>
      <c r="DJ62" s="908">
        <f t="shared" ca="1" si="52"/>
        <v>293135.26251414791</v>
      </c>
      <c r="DK62" s="908">
        <f t="shared" ca="1" si="52"/>
        <v>272007.69513285963</v>
      </c>
      <c r="DL62" s="908">
        <f t="shared" ca="1" si="52"/>
        <v>295239.75460461585</v>
      </c>
      <c r="DM62" s="908">
        <f t="shared" ca="1" si="52"/>
        <v>300840.08215812442</v>
      </c>
      <c r="DN62" s="908">
        <f t="shared" ca="1" si="52"/>
        <v>305824.97388503887</v>
      </c>
      <c r="DO62" s="908">
        <f t="shared" ca="1" si="52"/>
        <v>305440.17870704003</v>
      </c>
      <c r="DP62" s="908">
        <f t="shared" ca="1" si="52"/>
        <v>310439.61593539175</v>
      </c>
      <c r="DQ62" s="908">
        <f t="shared" ca="1" si="52"/>
        <v>314433.54675860237</v>
      </c>
      <c r="DR62" s="908">
        <f t="shared" ca="1" si="52"/>
        <v>301973.62618816784</v>
      </c>
      <c r="DS62" s="908">
        <f t="shared" ca="1" si="52"/>
        <v>311971.78244317137</v>
      </c>
      <c r="DT62" s="908">
        <f t="shared" ca="1" si="52"/>
        <v>321717.63903348858</v>
      </c>
      <c r="DU62" s="908">
        <f t="shared" ref="DU62:ER62" ca="1" si="53">DU57-DU45</f>
        <v>332191.86628833658</v>
      </c>
      <c r="DV62" s="908">
        <f t="shared" ca="1" si="53"/>
        <v>337274.82468697929</v>
      </c>
      <c r="DW62" s="908">
        <f t="shared" ca="1" si="53"/>
        <v>347704.41986039735</v>
      </c>
      <c r="DX62" s="908">
        <f t="shared" ca="1" si="53"/>
        <v>340598.50693671266</v>
      </c>
      <c r="DY62" s="908">
        <f t="shared" ca="1" si="53"/>
        <v>345708.9389177314</v>
      </c>
      <c r="DZ62" s="908">
        <f t="shared" ca="1" si="53"/>
        <v>350834.27632536134</v>
      </c>
      <c r="EA62" s="908">
        <f t="shared" ca="1" si="53"/>
        <v>350617.03105148801</v>
      </c>
      <c r="EB62" s="908">
        <f t="shared" ca="1" si="53"/>
        <v>355757.84049484017</v>
      </c>
      <c r="EC62" s="908">
        <f t="shared" ca="1" si="53"/>
        <v>359908.85719014704</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1075</v>
      </c>
      <c r="D64" s="993"/>
      <c r="E64" s="993"/>
      <c r="F64" s="993"/>
      <c r="G64" s="993"/>
      <c r="H64" s="993"/>
      <c r="I64" s="994"/>
      <c r="J64" s="995"/>
      <c r="K64" s="996">
        <f ca="1">SUM(K62:K63)</f>
        <v>45263706.729123592</v>
      </c>
      <c r="L64" s="98"/>
      <c r="M64" s="171">
        <f>SUM(M62:M63)</f>
        <v>0</v>
      </c>
      <c r="N64" s="171">
        <f t="shared" ref="N64:BY64" ca="1" si="59">SUM(N62:N63)</f>
        <v>186984.24815451948</v>
      </c>
      <c r="O64" s="171">
        <f t="shared" ca="1" si="59"/>
        <v>198009.69823059638</v>
      </c>
      <c r="P64" s="171">
        <f t="shared" ca="1" si="59"/>
        <v>11237.012624272262</v>
      </c>
      <c r="Q64" s="171">
        <f t="shared" ca="1" si="59"/>
        <v>149336.08037986816</v>
      </c>
      <c r="R64" s="171">
        <f t="shared" ca="1" si="59"/>
        <v>221901.82681128068</v>
      </c>
      <c r="S64" s="171">
        <f t="shared" ca="1" si="59"/>
        <v>264703.35752948245</v>
      </c>
      <c r="T64" s="171">
        <f t="shared" ca="1" si="59"/>
        <v>115485.48729343922</v>
      </c>
      <c r="U64" s="171">
        <f t="shared" ca="1" si="59"/>
        <v>291036.78657569946</v>
      </c>
      <c r="V64" s="171">
        <f t="shared" ca="1" si="59"/>
        <v>295727.03593244427</v>
      </c>
      <c r="W64" s="171">
        <f t="shared" ca="1" si="59"/>
        <v>291457.89917555812</v>
      </c>
      <c r="X64" s="171">
        <f t="shared" ca="1" si="59"/>
        <v>295604.73548274522</v>
      </c>
      <c r="Y64" s="171">
        <f t="shared" ca="1" si="59"/>
        <v>278563.80018263392</v>
      </c>
      <c r="Z64" s="171">
        <f t="shared" ca="1" si="59"/>
        <v>264041.911334106</v>
      </c>
      <c r="AA64" s="171">
        <f t="shared" ca="1" si="59"/>
        <v>264288.83452787227</v>
      </c>
      <c r="AB64" s="171">
        <f t="shared" ca="1" si="59"/>
        <v>72491.620806994732</v>
      </c>
      <c r="AC64" s="171">
        <f t="shared" ca="1" si="59"/>
        <v>165367.25017331017</v>
      </c>
      <c r="AD64" s="171">
        <f t="shared" ca="1" si="59"/>
        <v>239706.39238939108</v>
      </c>
      <c r="AE64" s="171">
        <f t="shared" ca="1" si="59"/>
        <v>283537.09465145925</v>
      </c>
      <c r="AF64" s="171">
        <f t="shared" ca="1" si="59"/>
        <v>132602.74182730122</v>
      </c>
      <c r="AG64" s="171">
        <f t="shared" ca="1" si="59"/>
        <v>312507.71173507313</v>
      </c>
      <c r="AH64" s="171">
        <f t="shared" ca="1" si="59"/>
        <v>317280.00305961061</v>
      </c>
      <c r="AI64" s="171">
        <f t="shared" ca="1" si="59"/>
        <v>312908.46855315496</v>
      </c>
      <c r="AJ64" s="171">
        <f t="shared" ca="1" si="59"/>
        <v>317123.67142473836</v>
      </c>
      <c r="AK64" s="171">
        <f t="shared" ca="1" si="59"/>
        <v>299567.65121456189</v>
      </c>
      <c r="AL64" s="171">
        <f t="shared" ca="1" si="59"/>
        <v>296536.12260418897</v>
      </c>
      <c r="AM64" s="171">
        <f t="shared" ca="1" si="59"/>
        <v>276314.1149253014</v>
      </c>
      <c r="AN64" s="171">
        <f t="shared" ca="1" si="59"/>
        <v>256016.15628880344</v>
      </c>
      <c r="AO64" s="171">
        <f t="shared" ca="1" si="59"/>
        <v>320169.20729392988</v>
      </c>
      <c r="AP64" s="171">
        <f t="shared" ca="1" si="59"/>
        <v>252099.00379936886</v>
      </c>
      <c r="AQ64" s="171">
        <f t="shared" ca="1" si="59"/>
        <v>297041.60840912629</v>
      </c>
      <c r="AR64" s="171">
        <f t="shared" ca="1" si="59"/>
        <v>324301.11221579532</v>
      </c>
      <c r="AS64" s="171">
        <f t="shared" ca="1" si="59"/>
        <v>-734428.73831003159</v>
      </c>
      <c r="AT64" s="171">
        <f t="shared" ca="1" si="59"/>
        <v>-706557.90970006085</v>
      </c>
      <c r="AU64" s="171">
        <f t="shared" ca="1" si="59"/>
        <v>-778886.52943908097</v>
      </c>
      <c r="AV64" s="171">
        <f t="shared" ca="1" si="59"/>
        <v>-709698.31448046758</v>
      </c>
      <c r="AW64" s="171">
        <f t="shared" ca="1" si="59"/>
        <v>-730969.49193919194</v>
      </c>
      <c r="AX64" s="171">
        <f t="shared" ca="1" si="59"/>
        <v>336537.38315655023</v>
      </c>
      <c r="AY64" s="171">
        <f t="shared" ca="1" si="59"/>
        <v>344985.28778514953</v>
      </c>
      <c r="AZ64" s="171">
        <f t="shared" ca="1" si="59"/>
        <v>347204.43097879097</v>
      </c>
      <c r="BA64" s="171">
        <f t="shared" ca="1" si="59"/>
        <v>340290.03121615353</v>
      </c>
      <c r="BB64" s="171">
        <f t="shared" ca="1" si="59"/>
        <v>298132.6590073586</v>
      </c>
      <c r="BC64" s="171">
        <f t="shared" ca="1" si="59"/>
        <v>344247.22009014001</v>
      </c>
      <c r="BD64" s="171">
        <f t="shared" ca="1" si="59"/>
        <v>371991.11657316913</v>
      </c>
      <c r="BE64" s="171">
        <f t="shared" ca="1" si="59"/>
        <v>377034.12552398571</v>
      </c>
      <c r="BF64" s="171">
        <f t="shared" ca="1" si="59"/>
        <v>381533.45052572456</v>
      </c>
      <c r="BG64" s="171">
        <f t="shared" ca="1" si="59"/>
        <v>379931.03975282365</v>
      </c>
      <c r="BH64" s="171">
        <f t="shared" ca="1" si="59"/>
        <v>384439.81156428764</v>
      </c>
      <c r="BI64" s="171">
        <f t="shared" ca="1" si="59"/>
        <v>387861.5722455919</v>
      </c>
      <c r="BJ64" s="171">
        <f t="shared" ca="1" si="59"/>
        <v>374837.27594168356</v>
      </c>
      <c r="BK64" s="171">
        <f t="shared" ca="1" si="59"/>
        <v>383529.96697928791</v>
      </c>
      <c r="BL64" s="171">
        <f t="shared" ca="1" si="59"/>
        <v>392359.99092771485</v>
      </c>
      <c r="BM64" s="171">
        <f t="shared" ca="1" si="59"/>
        <v>400757.43322129082</v>
      </c>
      <c r="BN64" s="171">
        <f t="shared" ca="1" si="59"/>
        <v>329282.64739696367</v>
      </c>
      <c r="BO64" s="171">
        <f t="shared" ca="1" si="59"/>
        <v>376542.06404642586</v>
      </c>
      <c r="BP64" s="171">
        <f t="shared" ca="1" si="59"/>
        <v>406054.92172926839</v>
      </c>
      <c r="BQ64" s="171">
        <f t="shared" ca="1" si="59"/>
        <v>410646.77453157585</v>
      </c>
      <c r="BR64" s="171">
        <f t="shared" ca="1" si="59"/>
        <v>415252.02023788996</v>
      </c>
      <c r="BS64" s="171">
        <f t="shared" ca="1" si="59"/>
        <v>413788.94141060009</v>
      </c>
      <c r="BT64" s="171">
        <f t="shared" ca="1" si="59"/>
        <v>418404.37418378296</v>
      </c>
      <c r="BU64" s="171">
        <f t="shared" ca="1" si="59"/>
        <v>421949.60934699711</v>
      </c>
      <c r="BV64" s="171">
        <f t="shared" ca="1" si="59"/>
        <v>462512.34967445058</v>
      </c>
      <c r="BW64" s="171">
        <f t="shared" ca="1" si="59"/>
        <v>471508.371035869</v>
      </c>
      <c r="BX64" s="171">
        <f t="shared" ca="1" si="59"/>
        <v>480557.55164420069</v>
      </c>
      <c r="BY64" s="171">
        <f t="shared" ca="1" si="59"/>
        <v>489818.53670422814</v>
      </c>
      <c r="BZ64" s="171">
        <f t="shared" ref="BZ64:EK64" ca="1" si="60">SUM(BZ62:BZ63)</f>
        <v>416555.1852622719</v>
      </c>
      <c r="CA64" s="171">
        <f t="shared" ca="1" si="60"/>
        <v>464994.38640936487</v>
      </c>
      <c r="CB64" s="171">
        <f t="shared" ca="1" si="60"/>
        <v>496159.3134352382</v>
      </c>
      <c r="CC64" s="171">
        <f t="shared" ca="1" si="60"/>
        <v>500866.9232343625</v>
      </c>
      <c r="CD64" s="171">
        <f t="shared" ca="1" si="60"/>
        <v>505588.26356206764</v>
      </c>
      <c r="CE64" s="171">
        <f t="shared" ca="1" si="60"/>
        <v>504750.06234137225</v>
      </c>
      <c r="CF64" s="171">
        <f t="shared" ca="1" si="60"/>
        <v>509483.77646528115</v>
      </c>
      <c r="CG64" s="171">
        <f t="shared" ca="1" si="60"/>
        <v>513163.89285582758</v>
      </c>
      <c r="CH64" s="171">
        <f t="shared" ca="1" si="60"/>
        <v>500136.27848234447</v>
      </c>
      <c r="CI64" s="171">
        <f t="shared" ca="1" si="60"/>
        <v>509448.41639675584</v>
      </c>
      <c r="CJ64" s="171">
        <f t="shared" ca="1" si="60"/>
        <v>518729.28803455248</v>
      </c>
      <c r="CK64" s="171">
        <f t="shared" ca="1" si="60"/>
        <v>528404.93227549153</v>
      </c>
      <c r="CL64" s="171">
        <f t="shared" ca="1" si="60"/>
        <v>453313.96482173936</v>
      </c>
      <c r="CM64" s="171">
        <f t="shared" ca="1" si="60"/>
        <v>502968.1253444372</v>
      </c>
      <c r="CN64" s="171">
        <f t="shared" ca="1" si="60"/>
        <v>535193.13474426302</v>
      </c>
      <c r="CO64" s="171">
        <f t="shared" ca="1" si="60"/>
        <v>540023.24520605011</v>
      </c>
      <c r="CP64" s="171">
        <f t="shared" ca="1" si="60"/>
        <v>544867.44349001744</v>
      </c>
      <c r="CQ64" s="171">
        <f t="shared" ca="1" si="60"/>
        <v>544196.16968976031</v>
      </c>
      <c r="CR64" s="171">
        <f t="shared" ca="1" si="60"/>
        <v>549053.61317662534</v>
      </c>
      <c r="CS64" s="171">
        <f t="shared" ca="1" si="60"/>
        <v>552873.83087342989</v>
      </c>
      <c r="CT64" s="171">
        <f t="shared" ca="1" si="60"/>
        <v>540361.36583006405</v>
      </c>
      <c r="CU64" s="171">
        <f t="shared" ca="1" si="60"/>
        <v>550000.78191616153</v>
      </c>
      <c r="CV64" s="171">
        <f t="shared" ca="1" si="60"/>
        <v>559524.20723208622</v>
      </c>
      <c r="CW64" s="171">
        <f t="shared" ca="1" si="60"/>
        <v>569629.99717710307</v>
      </c>
      <c r="CX64" s="171">
        <f t="shared" ca="1" si="60"/>
        <v>492670.78252999741</v>
      </c>
      <c r="CY64" s="171">
        <f t="shared" ca="1" si="60"/>
        <v>543575.35038748267</v>
      </c>
      <c r="CZ64" s="171">
        <f t="shared" ca="1" si="60"/>
        <v>-59974.349688226474</v>
      </c>
      <c r="DA64" s="171">
        <f t="shared" ca="1" si="60"/>
        <v>543094.88611439813</v>
      </c>
      <c r="DB64" s="171">
        <f t="shared" ca="1" si="60"/>
        <v>547946.34773709648</v>
      </c>
      <c r="DC64" s="171">
        <f t="shared" ca="1" si="60"/>
        <v>470148.06627823121</v>
      </c>
      <c r="DD64" s="171">
        <f t="shared" ca="1" si="60"/>
        <v>552151.79935526638</v>
      </c>
      <c r="DE64" s="171">
        <f t="shared" ca="1" si="60"/>
        <v>555995.15556883928</v>
      </c>
      <c r="DF64" s="171">
        <f t="shared" ca="1" si="60"/>
        <v>543502.10941317712</v>
      </c>
      <c r="DG64" s="171">
        <f t="shared" ca="1" si="60"/>
        <v>553161.49376063177</v>
      </c>
      <c r="DH64" s="171">
        <f t="shared" ca="1" si="60"/>
        <v>545068.70040010335</v>
      </c>
      <c r="DI64" s="171">
        <f t="shared" ca="1" si="60"/>
        <v>530915.4507275325</v>
      </c>
      <c r="DJ64" s="171">
        <f t="shared" ca="1" si="60"/>
        <v>577942.51251414791</v>
      </c>
      <c r="DK64" s="171">
        <f t="shared" ca="1" si="60"/>
        <v>556814.94513285963</v>
      </c>
      <c r="DL64" s="171">
        <f t="shared" ca="1" si="60"/>
        <v>580047.00460461585</v>
      </c>
      <c r="DM64" s="171">
        <f t="shared" ca="1" si="60"/>
        <v>585647.33215812442</v>
      </c>
      <c r="DN64" s="171">
        <f t="shared" ca="1" si="60"/>
        <v>590632.22388503887</v>
      </c>
      <c r="DO64" s="171">
        <f t="shared" ca="1" si="60"/>
        <v>590247.42870704003</v>
      </c>
      <c r="DP64" s="171">
        <f t="shared" ca="1" si="60"/>
        <v>595246.86593539175</v>
      </c>
      <c r="DQ64" s="171">
        <f t="shared" ca="1" si="60"/>
        <v>599240.79675860237</v>
      </c>
      <c r="DR64" s="171">
        <f t="shared" ca="1" si="60"/>
        <v>586780.87618816784</v>
      </c>
      <c r="DS64" s="171">
        <f t="shared" ca="1" si="60"/>
        <v>596779.03244317137</v>
      </c>
      <c r="DT64" s="171">
        <f t="shared" ca="1" si="60"/>
        <v>606524.88903348858</v>
      </c>
      <c r="DU64" s="171">
        <f t="shared" ca="1" si="60"/>
        <v>616999.11628833658</v>
      </c>
      <c r="DV64" s="171">
        <f t="shared" ca="1" si="60"/>
        <v>622082.07468697929</v>
      </c>
      <c r="DW64" s="171">
        <f t="shared" ca="1" si="60"/>
        <v>632511.66986039735</v>
      </c>
      <c r="DX64" s="171">
        <f t="shared" ca="1" si="60"/>
        <v>625405.75693671266</v>
      </c>
      <c r="DY64" s="171">
        <f t="shared" ca="1" si="60"/>
        <v>630516.1889177314</v>
      </c>
      <c r="DZ64" s="171">
        <f t="shared" ca="1" si="60"/>
        <v>635641.52632536134</v>
      </c>
      <c r="EA64" s="171">
        <f t="shared" ca="1" si="60"/>
        <v>635424.28105148801</v>
      </c>
      <c r="EB64" s="171">
        <f t="shared" ca="1" si="60"/>
        <v>640565.09049484017</v>
      </c>
      <c r="EC64" s="171">
        <f t="shared" ca="1" si="60"/>
        <v>644716.10719014704</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51" t="s">
        <v>573</v>
      </c>
      <c r="D65" s="1752"/>
      <c r="E65" s="1752"/>
      <c r="F65" s="1752"/>
      <c r="G65" s="1752"/>
      <c r="H65" s="1752"/>
      <c r="I65" s="1753"/>
      <c r="J65" s="1754"/>
      <c r="K65" s="1755">
        <f>SUM(M65:ER65)</f>
        <v>3939952.0316274604</v>
      </c>
      <c r="L65" s="98"/>
      <c r="M65" s="1761">
        <f>SUMIF('IS(FY)'!$M$54:$DW$54,M$60,'IS(FY)'!$M$78:$DW$78)*'A&amp;R'!$F$102</f>
        <v>0</v>
      </c>
      <c r="N65" s="1761">
        <f>SUMIF('IS(FY)'!$M$54:$DW$54,N$60,'IS(FY)'!$M$78:$DW$78)*'A&amp;R'!$F$102</f>
        <v>0</v>
      </c>
      <c r="O65" s="1761">
        <f>SUMIF('IS(FY)'!$M$54:$DW$54,O$60,'IS(FY)'!$M$78:$DW$78)*'A&amp;R'!$F$102</f>
        <v>0</v>
      </c>
      <c r="P65" s="1761">
        <f>SUMIF('IS(FY)'!$M$54:$DW$54,P$60,'IS(FY)'!$M$78:$DW$78)*'A&amp;R'!$F$102</f>
        <v>0</v>
      </c>
      <c r="Q65" s="1761">
        <f>SUMIF('IS(FY)'!$M$54:$DW$54,Q$60,'IS(FY)'!$M$78:$DW$78)*'A&amp;R'!$F$102</f>
        <v>0</v>
      </c>
      <c r="R65" s="1761">
        <f>SUMIF('IS(FY)'!$M$54:$DW$54,R$60,'IS(FY)'!$M$78:$DW$78)*'A&amp;R'!$F$102</f>
        <v>0</v>
      </c>
      <c r="S65" s="1761">
        <f>SUMIF('IS(FY)'!$M$54:$DW$54,S$60,'IS(FY)'!$M$78:$DW$78)*'A&amp;R'!$F$102</f>
        <v>2237827.7762699807</v>
      </c>
      <c r="T65" s="1761">
        <f>SUMIF('IS(FY)'!$M$54:$DW$54,T$60,'IS(FY)'!$M$78:$DW$78)*'A&amp;R'!$F$102</f>
        <v>0</v>
      </c>
      <c r="U65" s="1761">
        <f>SUMIF('IS(FY)'!$M$54:$DW$54,U$60,'IS(FY)'!$M$78:$DW$78)*'A&amp;R'!$F$102</f>
        <v>0</v>
      </c>
      <c r="V65" s="1761">
        <f>SUMIF('IS(FY)'!$M$54:$DW$54,V$60,'IS(FY)'!$M$78:$DW$78)*'A&amp;R'!$F$102</f>
        <v>0</v>
      </c>
      <c r="W65" s="1761">
        <f>SUMIF('IS(FY)'!$M$54:$DW$54,W$60,'IS(FY)'!$M$78:$DW$78)*'A&amp;R'!$F$102</f>
        <v>0</v>
      </c>
      <c r="X65" s="1761">
        <f>SUMIF('IS(FY)'!$M$54:$DW$54,X$60,'IS(FY)'!$M$78:$DW$78)*'A&amp;R'!$F$102</f>
        <v>0</v>
      </c>
      <c r="Y65" s="1761">
        <f>SUMIF('IS(FY)'!$M$54:$DW$54,Y$60,'IS(FY)'!$M$78:$DW$78)*'A&amp;R'!$F$102</f>
        <v>1702124.2553574797</v>
      </c>
      <c r="Z65" s="1761">
        <f>SUMIF('IS(FY)'!$M$54:$DW$54,Z$60,'IS(FY)'!$M$78:$DW$78)*'A&amp;R'!$F$102</f>
        <v>0</v>
      </c>
      <c r="AA65" s="1761">
        <f>SUMIF('IS(FY)'!$M$54:$DW$54,AA$60,'IS(FY)'!$M$78:$DW$78)*'A&amp;R'!$F$102</f>
        <v>0</v>
      </c>
      <c r="AB65" s="1761">
        <f>SUMIF('IS(FY)'!$M$54:$DW$54,AB$60,'IS(FY)'!$M$78:$DW$78)*'A&amp;R'!$F$102</f>
        <v>0</v>
      </c>
      <c r="AC65" s="1761">
        <f>SUMIF('IS(FY)'!$M$54:$DW$54,AC$60,'IS(FY)'!$M$78:$DW$78)*'A&amp;R'!$F$102</f>
        <v>0</v>
      </c>
      <c r="AD65" s="1761">
        <f>SUMIF('IS(FY)'!$M$54:$DW$54,AD$60,'IS(FY)'!$M$78:$DW$78)*'A&amp;R'!$F$102</f>
        <v>0</v>
      </c>
      <c r="AE65" s="1761">
        <f>SUMIF('IS(FY)'!$M$54:$DW$54,AE$60,'IS(FY)'!$M$78:$DW$78)*'A&amp;R'!$F$102</f>
        <v>0</v>
      </c>
      <c r="AF65" s="1761">
        <f>SUMIF('IS(FY)'!$M$54:$DW$54,AF$60,'IS(FY)'!$M$78:$DW$78)*'A&amp;R'!$F$102</f>
        <v>0</v>
      </c>
      <c r="AG65" s="1761">
        <f>SUMIF('IS(FY)'!$M$54:$DW$54,AG$60,'IS(FY)'!$M$78:$DW$78)*'A&amp;R'!$F$102</f>
        <v>0</v>
      </c>
      <c r="AH65" s="1761">
        <f>SUMIF('IS(FY)'!$M$54:$DW$54,AH$60,'IS(FY)'!$M$78:$DW$78)*'A&amp;R'!$F$102</f>
        <v>0</v>
      </c>
      <c r="AI65" s="1761">
        <f>SUMIF('IS(FY)'!$M$54:$DW$54,AI$60,'IS(FY)'!$M$78:$DW$78)*'A&amp;R'!$F$102</f>
        <v>0</v>
      </c>
      <c r="AJ65" s="1761">
        <f>SUMIF('IS(FY)'!$M$54:$DW$54,AJ$60,'IS(FY)'!$M$78:$DW$78)*'A&amp;R'!$F$102</f>
        <v>0</v>
      </c>
      <c r="AK65" s="1761">
        <f>SUMIF('IS(FY)'!$M$54:$DW$54,AK$60,'IS(FY)'!$M$78:$DW$78)*'A&amp;R'!$F$102</f>
        <v>0</v>
      </c>
      <c r="AL65" s="1761">
        <f>SUMIF('IS(FY)'!$M$54:$DW$54,AL$60,'IS(FY)'!$M$78:$DW$78)*'A&amp;R'!$F$102</f>
        <v>0</v>
      </c>
      <c r="AM65" s="1761">
        <f>SUMIF('IS(FY)'!$M$54:$DW$54,AM$60,'IS(FY)'!$M$78:$DW$78)*'A&amp;R'!$F$102</f>
        <v>0</v>
      </c>
      <c r="AN65" s="1761">
        <f>SUMIF('IS(FY)'!$M$54:$DW$54,AN$60,'IS(FY)'!$M$78:$DW$78)*'A&amp;R'!$F$102</f>
        <v>0</v>
      </c>
      <c r="AO65" s="1761">
        <f>SUMIF('IS(FY)'!$M$54:$DW$54,AO$60,'IS(FY)'!$M$78:$DW$78)*'A&amp;R'!$F$102</f>
        <v>0</v>
      </c>
      <c r="AP65" s="1761">
        <f>SUMIF('IS(FY)'!$M$54:$DW$54,AP$60,'IS(FY)'!$M$78:$DW$78)*'A&amp;R'!$F$102</f>
        <v>0</v>
      </c>
      <c r="AQ65" s="1761">
        <f>SUMIF('IS(FY)'!$M$54:$DW$54,AQ$60,'IS(FY)'!$M$78:$DW$78)*'A&amp;R'!$F$102</f>
        <v>0</v>
      </c>
      <c r="AR65" s="1761">
        <f>SUMIF('IS(FY)'!$M$54:$DW$54,AR$60,'IS(FY)'!$M$78:$DW$78)*'A&amp;R'!$F$102</f>
        <v>0</v>
      </c>
      <c r="AS65" s="1761">
        <f>SUMIF('IS(FY)'!$M$54:$DW$54,AS$60,'IS(FY)'!$M$78:$DW$78)*'A&amp;R'!$F$102</f>
        <v>0</v>
      </c>
      <c r="AT65" s="1761">
        <f>SUMIF('IS(FY)'!$M$54:$DW$54,AT$60,'IS(FY)'!$M$78:$DW$78)*'A&amp;R'!$F$102</f>
        <v>0</v>
      </c>
      <c r="AU65" s="1761">
        <f>SUMIF('IS(FY)'!$M$54:$DW$54,AU$60,'IS(FY)'!$M$78:$DW$78)*'A&amp;R'!$F$102</f>
        <v>0</v>
      </c>
      <c r="AV65" s="1761">
        <f>SUMIF('IS(FY)'!$M$54:$DW$54,AV$60,'IS(FY)'!$M$78:$DW$78)*'A&amp;R'!$F$102</f>
        <v>0</v>
      </c>
      <c r="AW65" s="1761">
        <f>SUMIF('IS(FY)'!$M$54:$DW$54,AW$60,'IS(FY)'!$M$78:$DW$78)*'A&amp;R'!$F$102</f>
        <v>0</v>
      </c>
      <c r="AX65" s="1761">
        <f>SUMIF('IS(FY)'!$M$54:$DW$54,AX$60,'IS(FY)'!$M$78:$DW$78)*'A&amp;R'!$F$102</f>
        <v>0</v>
      </c>
      <c r="AY65" s="1761">
        <f>SUMIF('IS(FY)'!$M$54:$DW$54,AY$60,'IS(FY)'!$M$78:$DW$78)*'A&amp;R'!$F$102</f>
        <v>0</v>
      </c>
      <c r="AZ65" s="1761">
        <f>SUMIF('IS(FY)'!$M$54:$DW$54,AZ$60,'IS(FY)'!$M$78:$DW$78)*'A&amp;R'!$F$102</f>
        <v>0</v>
      </c>
      <c r="BA65" s="1761">
        <f>SUMIF('IS(FY)'!$M$54:$DW$54,BA$60,'IS(FY)'!$M$78:$DW$78)*'A&amp;R'!$F$102</f>
        <v>0</v>
      </c>
      <c r="BB65" s="1761">
        <f>SUMIF('IS(FY)'!$M$54:$DW$54,BB$60,'IS(FY)'!$M$78:$DW$78)*'A&amp;R'!$F$102</f>
        <v>0</v>
      </c>
      <c r="BC65" s="1761">
        <f>SUMIF('IS(FY)'!$M$54:$DW$54,BC$60,'IS(FY)'!$M$78:$DW$78)*'A&amp;R'!$F$102</f>
        <v>0</v>
      </c>
      <c r="BD65" s="1761">
        <f>SUMIF('IS(FY)'!$M$54:$DW$54,BD$60,'IS(FY)'!$M$78:$DW$78)*'A&amp;R'!$F$102</f>
        <v>0</v>
      </c>
      <c r="BE65" s="1761">
        <f>SUMIF('IS(FY)'!$M$54:$DW$54,BE$60,'IS(FY)'!$M$78:$DW$78)*'A&amp;R'!$F$102</f>
        <v>0</v>
      </c>
      <c r="BF65" s="1761">
        <f>SUMIF('IS(FY)'!$M$54:$DW$54,BF$60,'IS(FY)'!$M$78:$DW$78)*'A&amp;R'!$F$102</f>
        <v>0</v>
      </c>
      <c r="BG65" s="1761">
        <f>SUMIF('IS(FY)'!$M$54:$DW$54,BG$60,'IS(FY)'!$M$78:$DW$78)*'A&amp;R'!$F$102</f>
        <v>0</v>
      </c>
      <c r="BH65" s="1761">
        <f>SUMIF('IS(FY)'!$M$54:$DW$54,BH$60,'IS(FY)'!$M$78:$DW$78)*'A&amp;R'!$F$102</f>
        <v>0</v>
      </c>
      <c r="BI65" s="1761">
        <f>SUMIF('IS(FY)'!$M$54:$DW$54,BI$60,'IS(FY)'!$M$78:$DW$78)*'A&amp;R'!$F$102</f>
        <v>0</v>
      </c>
      <c r="BJ65" s="1761">
        <f>SUMIF('IS(FY)'!$M$54:$DW$54,BJ$60,'IS(FY)'!$M$78:$DW$78)*'A&amp;R'!$F$102</f>
        <v>0</v>
      </c>
      <c r="BK65" s="1761">
        <f>SUMIF('IS(FY)'!$M$54:$DW$54,BK$60,'IS(FY)'!$M$78:$DW$78)*'A&amp;R'!$F$102</f>
        <v>0</v>
      </c>
      <c r="BL65" s="1761">
        <f>SUMIF('IS(FY)'!$M$54:$DW$54,BL$60,'IS(FY)'!$M$78:$DW$78)*'A&amp;R'!$F$102</f>
        <v>0</v>
      </c>
      <c r="BM65" s="1761">
        <f>SUMIF('IS(FY)'!$M$54:$DW$54,BM$60,'IS(FY)'!$M$78:$DW$78)*'A&amp;R'!$F$102</f>
        <v>0</v>
      </c>
      <c r="BN65" s="1761">
        <f>SUMIF('IS(FY)'!$M$54:$DW$54,BN$60,'IS(FY)'!$M$78:$DW$78)*'A&amp;R'!$F$102</f>
        <v>0</v>
      </c>
      <c r="BO65" s="1761">
        <f>SUMIF('IS(FY)'!$M$54:$DW$54,BO$60,'IS(FY)'!$M$78:$DW$78)*'A&amp;R'!$F$102</f>
        <v>0</v>
      </c>
      <c r="BP65" s="1761">
        <f>SUMIF('IS(FY)'!$M$54:$DW$54,BP$60,'IS(FY)'!$M$78:$DW$78)*'A&amp;R'!$F$102</f>
        <v>0</v>
      </c>
      <c r="BQ65" s="1761">
        <f>SUMIF('IS(FY)'!$M$54:$DW$54,BQ$60,'IS(FY)'!$M$78:$DW$78)*'A&amp;R'!$F$102</f>
        <v>0</v>
      </c>
      <c r="BR65" s="1761">
        <f>SUMIF('IS(FY)'!$M$54:$DW$54,BR$60,'IS(FY)'!$M$78:$DW$78)*'A&amp;R'!$F$102</f>
        <v>0</v>
      </c>
      <c r="BS65" s="1761">
        <f>SUMIF('IS(FY)'!$M$54:$DW$54,BS$60,'IS(FY)'!$M$78:$DW$78)*'A&amp;R'!$F$102</f>
        <v>0</v>
      </c>
      <c r="BT65" s="1761">
        <f>SUMIF('IS(FY)'!$M$54:$DW$54,BT$60,'IS(FY)'!$M$78:$DW$78)*'A&amp;R'!$F$102</f>
        <v>0</v>
      </c>
      <c r="BU65" s="1761">
        <f>SUMIF('IS(FY)'!$M$54:$DW$54,BU$60,'IS(FY)'!$M$78:$DW$78)*'A&amp;R'!$F$102</f>
        <v>0</v>
      </c>
      <c r="BV65" s="1761">
        <f>SUMIF('IS(FY)'!$M$54:$DW$54,BV$60,'IS(FY)'!$M$78:$DW$78)*'A&amp;R'!$F$102</f>
        <v>0</v>
      </c>
      <c r="BW65" s="1761">
        <f>SUMIF('IS(FY)'!$M$54:$DW$54,BW$60,'IS(FY)'!$M$78:$DW$78)*'A&amp;R'!$F$102</f>
        <v>0</v>
      </c>
      <c r="BX65" s="1761">
        <f>SUMIF('IS(FY)'!$M$54:$DW$54,BX$60,'IS(FY)'!$M$78:$DW$78)*'A&amp;R'!$F$102</f>
        <v>0</v>
      </c>
      <c r="BY65" s="1761">
        <f>SUMIF('IS(FY)'!$M$54:$DW$54,BY$60,'IS(FY)'!$M$78:$DW$78)*'A&amp;R'!$F$102</f>
        <v>0</v>
      </c>
      <c r="BZ65" s="1761">
        <f>SUMIF('IS(FY)'!$M$54:$DW$54,BZ$60,'IS(FY)'!$M$78:$DW$78)*'A&amp;R'!$F$102</f>
        <v>0</v>
      </c>
      <c r="CA65" s="1761">
        <f>SUMIF('IS(FY)'!$M$54:$DW$54,CA$60,'IS(FY)'!$M$78:$DW$78)*'A&amp;R'!$F$102</f>
        <v>0</v>
      </c>
      <c r="CB65" s="1761">
        <f>SUMIF('IS(FY)'!$M$54:$DW$54,CB$60,'IS(FY)'!$M$78:$DW$78)*'A&amp;R'!$F$102</f>
        <v>0</v>
      </c>
      <c r="CC65" s="1761">
        <f>SUMIF('IS(FY)'!$M$54:$DW$54,CC$60,'IS(FY)'!$M$78:$DW$78)*'A&amp;R'!$F$102</f>
        <v>0</v>
      </c>
      <c r="CD65" s="1761">
        <f>SUMIF('IS(FY)'!$M$54:$DW$54,CD$60,'IS(FY)'!$M$78:$DW$78)*'A&amp;R'!$F$102</f>
        <v>0</v>
      </c>
      <c r="CE65" s="1761">
        <f>SUMIF('IS(FY)'!$M$54:$DW$54,CE$60,'IS(FY)'!$M$78:$DW$78)*'A&amp;R'!$F$102</f>
        <v>0</v>
      </c>
      <c r="CF65" s="1761">
        <f>SUMIF('IS(FY)'!$M$54:$DW$54,CF$60,'IS(FY)'!$M$78:$DW$78)*'A&amp;R'!$F$102</f>
        <v>0</v>
      </c>
      <c r="CG65" s="1761">
        <f>SUMIF('IS(FY)'!$M$54:$DW$54,CG$60,'IS(FY)'!$M$78:$DW$78)*'A&amp;R'!$F$102</f>
        <v>0</v>
      </c>
      <c r="CH65" s="1761">
        <f>SUMIF('IS(FY)'!$M$54:$DW$54,CH$60,'IS(FY)'!$M$78:$DW$78)*'A&amp;R'!$F$102</f>
        <v>0</v>
      </c>
      <c r="CI65" s="1761">
        <f>SUMIF('IS(FY)'!$M$54:$DW$54,CI$60,'IS(FY)'!$M$78:$DW$78)*'A&amp;R'!$F$102</f>
        <v>0</v>
      </c>
      <c r="CJ65" s="1761">
        <f>SUMIF('IS(FY)'!$M$54:$DW$54,CJ$60,'IS(FY)'!$M$78:$DW$78)*'A&amp;R'!$F$102</f>
        <v>0</v>
      </c>
      <c r="CK65" s="1761">
        <f>SUMIF('IS(FY)'!$M$54:$DW$54,CK$60,'IS(FY)'!$M$78:$DW$78)*'A&amp;R'!$F$102</f>
        <v>0</v>
      </c>
      <c r="CL65" s="1761">
        <f>SUMIF('IS(FY)'!$M$54:$DW$54,CL$60,'IS(FY)'!$M$78:$DW$78)*'A&amp;R'!$F$102</f>
        <v>0</v>
      </c>
      <c r="CM65" s="1761">
        <f>SUMIF('IS(FY)'!$M$54:$DW$54,CM$60,'IS(FY)'!$M$78:$DW$78)*'A&amp;R'!$F$102</f>
        <v>0</v>
      </c>
      <c r="CN65" s="1761">
        <f>SUMIF('IS(FY)'!$M$54:$DW$54,CN$60,'IS(FY)'!$M$78:$DW$78)*'A&amp;R'!$F$102</f>
        <v>0</v>
      </c>
      <c r="CO65" s="1761">
        <f>SUMIF('IS(FY)'!$M$54:$DW$54,CO$60,'IS(FY)'!$M$78:$DW$78)*'A&amp;R'!$F$102</f>
        <v>0</v>
      </c>
      <c r="CP65" s="1761">
        <f>SUMIF('IS(FY)'!$M$54:$DW$54,CP$60,'IS(FY)'!$M$78:$DW$78)*'A&amp;R'!$F$102</f>
        <v>0</v>
      </c>
      <c r="CQ65" s="1761">
        <f>SUMIF('IS(FY)'!$M$54:$DW$54,CQ$60,'IS(FY)'!$M$78:$DW$78)*'A&amp;R'!$F$102</f>
        <v>0</v>
      </c>
      <c r="CR65" s="1761">
        <f>SUMIF('IS(FY)'!$M$54:$DW$54,CR$60,'IS(FY)'!$M$78:$DW$78)*'A&amp;R'!$F$102</f>
        <v>0</v>
      </c>
      <c r="CS65" s="1761">
        <f>SUMIF('IS(FY)'!$M$54:$DW$54,CS$60,'IS(FY)'!$M$78:$DW$78)*'A&amp;R'!$F$102</f>
        <v>0</v>
      </c>
      <c r="CT65" s="1761">
        <f>SUMIF('IS(FY)'!$M$54:$DW$54,CT$60,'IS(FY)'!$M$78:$DW$78)*'A&amp;R'!$F$102</f>
        <v>0</v>
      </c>
      <c r="CU65" s="1761">
        <f>SUMIF('IS(FY)'!$M$54:$DW$54,CU$60,'IS(FY)'!$M$78:$DW$78)*'A&amp;R'!$F$102</f>
        <v>0</v>
      </c>
      <c r="CV65" s="1761">
        <f>SUMIF('IS(FY)'!$M$54:$DW$54,CV$60,'IS(FY)'!$M$78:$DW$78)*'A&amp;R'!$F$102</f>
        <v>0</v>
      </c>
      <c r="CW65" s="1761">
        <f>SUMIF('IS(FY)'!$M$54:$DW$54,CW$60,'IS(FY)'!$M$78:$DW$78)*'A&amp;R'!$F$102</f>
        <v>0</v>
      </c>
      <c r="CX65" s="1761">
        <f>SUMIF('IS(FY)'!$M$54:$DW$54,CX$60,'IS(FY)'!$M$78:$DW$78)*'A&amp;R'!$F$102</f>
        <v>0</v>
      </c>
      <c r="CY65" s="1761">
        <f>SUMIF('IS(FY)'!$M$54:$DW$54,CY$60,'IS(FY)'!$M$78:$DW$78)*'A&amp;R'!$F$102</f>
        <v>0</v>
      </c>
      <c r="CZ65" s="1761">
        <f>SUMIF('IS(FY)'!$M$54:$DW$54,CZ$60,'IS(FY)'!$M$78:$DW$78)*'A&amp;R'!$F$102</f>
        <v>0</v>
      </c>
      <c r="DA65" s="1761">
        <f>SUMIF('IS(FY)'!$M$54:$DW$54,DA$60,'IS(FY)'!$M$78:$DW$78)*'A&amp;R'!$F$102</f>
        <v>0</v>
      </c>
      <c r="DB65" s="1761">
        <f>SUMIF('IS(FY)'!$M$54:$DW$54,DB$60,'IS(FY)'!$M$78:$DW$78)*'A&amp;R'!$F$102</f>
        <v>0</v>
      </c>
      <c r="DC65" s="1761">
        <f>SUMIF('IS(FY)'!$M$54:$DW$54,DC$60,'IS(FY)'!$M$78:$DW$78)*'A&amp;R'!$F$102</f>
        <v>0</v>
      </c>
      <c r="DD65" s="1761">
        <f>SUMIF('IS(FY)'!$M$54:$DW$54,DD$60,'IS(FY)'!$M$78:$DW$78)*'A&amp;R'!$F$102</f>
        <v>0</v>
      </c>
      <c r="DE65" s="1761">
        <f>SUMIF('IS(FY)'!$M$54:$DW$54,DE$60,'IS(FY)'!$M$78:$DW$78)*'A&amp;R'!$F$102</f>
        <v>0</v>
      </c>
      <c r="DF65" s="1761">
        <f>SUMIF('IS(FY)'!$M$54:$DW$54,DF$60,'IS(FY)'!$M$78:$DW$78)*'A&amp;R'!$F$102</f>
        <v>0</v>
      </c>
      <c r="DG65" s="1761">
        <f>SUMIF('IS(FY)'!$M$54:$DW$54,DG$60,'IS(FY)'!$M$78:$DW$78)*'A&amp;R'!$F$102</f>
        <v>0</v>
      </c>
      <c r="DH65" s="1761">
        <f>SUMIF('IS(FY)'!$M$54:$DW$54,DH$60,'IS(FY)'!$M$78:$DW$78)*'A&amp;R'!$F$102</f>
        <v>0</v>
      </c>
      <c r="DI65" s="1761">
        <f>SUMIF('IS(FY)'!$M$54:$DW$54,DI$60,'IS(FY)'!$M$78:$DW$78)*'A&amp;R'!$F$102</f>
        <v>0</v>
      </c>
      <c r="DJ65" s="1761">
        <f>SUMIF('IS(FY)'!$M$54:$DW$54,DJ$60,'IS(FY)'!$M$78:$DW$78)*'A&amp;R'!$F$102</f>
        <v>0</v>
      </c>
      <c r="DK65" s="1761">
        <f>SUMIF('IS(FY)'!$M$54:$DW$54,DK$60,'IS(FY)'!$M$78:$DW$78)*'A&amp;R'!$F$102</f>
        <v>0</v>
      </c>
      <c r="DL65" s="1761">
        <f>SUMIF('IS(FY)'!$M$54:$DW$54,DL$60,'IS(FY)'!$M$78:$DW$78)*'A&amp;R'!$F$102</f>
        <v>0</v>
      </c>
      <c r="DM65" s="1761">
        <f>SUMIF('IS(FY)'!$M$54:$DW$54,DM$60,'IS(FY)'!$M$78:$DW$78)*'A&amp;R'!$F$102</f>
        <v>0</v>
      </c>
      <c r="DN65" s="1761">
        <f>SUMIF('IS(FY)'!$M$54:$DW$54,DN$60,'IS(FY)'!$M$78:$DW$78)*'A&amp;R'!$F$102</f>
        <v>0</v>
      </c>
      <c r="DO65" s="1761">
        <f>SUMIF('IS(FY)'!$M$54:$DW$54,DO$60,'IS(FY)'!$M$78:$DW$78)*'A&amp;R'!$F$102</f>
        <v>0</v>
      </c>
      <c r="DP65" s="1761">
        <f>SUMIF('IS(FY)'!$M$54:$DW$54,DP$60,'IS(FY)'!$M$78:$DW$78)*'A&amp;R'!$F$102</f>
        <v>0</v>
      </c>
      <c r="DQ65" s="1761">
        <f>SUMIF('IS(FY)'!$M$54:$DW$54,DQ$60,'IS(FY)'!$M$78:$DW$78)*'A&amp;R'!$F$102</f>
        <v>0</v>
      </c>
      <c r="DR65" s="1761">
        <f>SUMIF('IS(FY)'!$M$54:$DW$54,DR$60,'IS(FY)'!$M$78:$DW$78)*'A&amp;R'!$F$102</f>
        <v>0</v>
      </c>
      <c r="DS65" s="1761">
        <f>SUMIF('IS(FY)'!$M$54:$DW$54,DS$60,'IS(FY)'!$M$78:$DW$78)*'A&amp;R'!$F$102</f>
        <v>0</v>
      </c>
      <c r="DT65" s="1761">
        <f>SUMIF('IS(FY)'!$M$54:$DW$54,DT$60,'IS(FY)'!$M$78:$DW$78)*'A&amp;R'!$F$102</f>
        <v>0</v>
      </c>
      <c r="DU65" s="1761">
        <f>SUMIF('IS(FY)'!$M$54:$DW$54,DU$60,'IS(FY)'!$M$78:$DW$78)*'A&amp;R'!$F$102</f>
        <v>0</v>
      </c>
      <c r="DV65" s="1761">
        <f>SUMIF('IS(FY)'!$M$54:$DW$54,DV$60,'IS(FY)'!$M$78:$DW$78)*'A&amp;R'!$F$102</f>
        <v>0</v>
      </c>
      <c r="DW65" s="1761">
        <f>SUMIF('IS(FY)'!$M$54:$DW$54,DW$60,'IS(FY)'!$M$78:$DW$78)*'A&amp;R'!$F$102</f>
        <v>0</v>
      </c>
      <c r="DX65" s="1761">
        <f>SUMIF('IS(FY)'!$M$54:$DW$54,DX$60,'IS(FY)'!$M$78:$DW$78)*'A&amp;R'!$F$102</f>
        <v>0</v>
      </c>
      <c r="DY65" s="1761">
        <f>SUMIF('IS(FY)'!$M$54:$DW$54,DY$60,'IS(FY)'!$M$78:$DW$78)*'A&amp;R'!$F$102</f>
        <v>0</v>
      </c>
      <c r="DZ65" s="1761">
        <f>SUMIF('IS(FY)'!$M$54:$DW$54,DZ$60,'IS(FY)'!$M$78:$DW$78)*'A&amp;R'!$F$102</f>
        <v>0</v>
      </c>
      <c r="EA65" s="1761">
        <f>SUMIF('IS(FY)'!$M$54:$DW$54,EA$60,'IS(FY)'!$M$78:$DW$78)*'A&amp;R'!$F$102</f>
        <v>0</v>
      </c>
      <c r="EB65" s="1761">
        <f>SUMIF('IS(FY)'!$M$54:$DW$54,EB$60,'IS(FY)'!$M$78:$DW$78)*'A&amp;R'!$F$102</f>
        <v>0</v>
      </c>
      <c r="EC65" s="1761">
        <f>SUMIF('IS(FY)'!$M$54:$DW$54,EC$60,'IS(FY)'!$M$78:$DW$78)*'A&amp;R'!$F$102</f>
        <v>0</v>
      </c>
      <c r="ED65" s="1761">
        <f>SUMIF('IS(FY)'!$M$54:$DW$54,ED$60,'IS(FY)'!$M$78:$DW$78)*'A&amp;R'!$F$102</f>
        <v>0</v>
      </c>
      <c r="EE65" s="1761">
        <f>SUMIF('IS(FY)'!$M$54:$DW$54,EE$60,'IS(FY)'!$M$78:$DW$78)*'A&amp;R'!$F$102</f>
        <v>0</v>
      </c>
      <c r="EF65" s="1761">
        <f>SUMIF('IS(FY)'!$M$54:$DW$54,EF$60,'IS(FY)'!$M$78:$DW$78)*'A&amp;R'!$F$102</f>
        <v>0</v>
      </c>
      <c r="EG65" s="1761">
        <f>SUMIF('IS(FY)'!$M$54:$DW$54,EG$60,'IS(FY)'!$M$78:$DW$78)*'A&amp;R'!$F$102</f>
        <v>0</v>
      </c>
      <c r="EH65" s="1761">
        <f>SUMIF('IS(FY)'!$M$54:$DW$54,EH$60,'IS(FY)'!$M$78:$DW$78)*'A&amp;R'!$F$102</f>
        <v>0</v>
      </c>
      <c r="EI65" s="1761">
        <f>SUMIF('IS(FY)'!$M$54:$DW$54,EI$60,'IS(FY)'!$M$78:$DW$78)*'A&amp;R'!$F$102</f>
        <v>0</v>
      </c>
      <c r="EJ65" s="1761">
        <f>SUMIF('IS(FY)'!$M$54:$DW$54,EJ$60,'IS(FY)'!$M$78:$DW$78)*'A&amp;R'!$F$102</f>
        <v>0</v>
      </c>
      <c r="EK65" s="1761">
        <f>SUMIF('IS(FY)'!$M$54:$DW$54,EK$60,'IS(FY)'!$M$78:$DW$78)*'A&amp;R'!$F$102</f>
        <v>0</v>
      </c>
      <c r="EL65" s="1761">
        <f>SUMIF('IS(FY)'!$M$54:$DW$54,EL$60,'IS(FY)'!$M$78:$DW$78)*'A&amp;R'!$F$102</f>
        <v>0</v>
      </c>
      <c r="EM65" s="1761">
        <f>SUMIF('IS(FY)'!$M$54:$DW$54,EM$60,'IS(FY)'!$M$78:$DW$78)*'A&amp;R'!$F$102</f>
        <v>0</v>
      </c>
      <c r="EN65" s="1761">
        <f>SUMIF('IS(FY)'!$M$54:$DW$54,EN$60,'IS(FY)'!$M$78:$DW$78)*'A&amp;R'!$F$102</f>
        <v>0</v>
      </c>
      <c r="EO65" s="1761">
        <f>SUMIF('IS(FY)'!$M$54:$DW$54,EO$60,'IS(FY)'!$M$78:$DW$78)*'A&amp;R'!$F$102</f>
        <v>0</v>
      </c>
      <c r="EP65" s="1761">
        <f>SUMIF('IS(FY)'!$M$54:$DW$54,EP$60,'IS(FY)'!$M$78:$DW$78)*'A&amp;R'!$F$102</f>
        <v>0</v>
      </c>
      <c r="EQ65" s="1761">
        <f>SUMIF('IS(FY)'!$M$54:$DW$54,EQ$60,'IS(FY)'!$M$78:$DW$78)*'A&amp;R'!$F$102</f>
        <v>0</v>
      </c>
      <c r="ER65" s="1761">
        <f>SUMIF('IS(FY)'!$M$54:$DW$54,ER$60,'IS(FY)'!$M$78:$DW$78)*'A&amp;R'!$F$102</f>
        <v>0</v>
      </c>
    </row>
    <row r="66" spans="2:148" ht="11.25" customHeight="1">
      <c r="B66" s="218"/>
      <c r="C66" s="1756" t="s">
        <v>1073</v>
      </c>
      <c r="D66" s="1757"/>
      <c r="E66" s="1757"/>
      <c r="F66" s="1757"/>
      <c r="G66" s="1757"/>
      <c r="H66" s="1757"/>
      <c r="I66" s="1758"/>
      <c r="J66" s="1759"/>
      <c r="K66" s="1760"/>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10617214.70108342</v>
      </c>
      <c r="O66" s="184">
        <f ca="1">'CF(M)'!N121+'CF(M)'!N14+'CF(M)'!N54+'CF(M)'!N68+'CF(M)'!N71+'CF(M)'!N74+'CF(M)'!N77+'CF(M)'!N80+'CF(M)'!N83+'CF(M)'!N86+'CF(M)'!N89+'CF(M)'!N92+'CF(M)'!N115+'CF(M)'!N96+'CF(M)'!N111+'CF(M)'!N101+'CF(M)'!N106</f>
        <v>11967154.724629374</v>
      </c>
      <c r="P66" s="184">
        <f ca="1">'CF(M)'!O121+'CF(M)'!O14+'CF(M)'!O54+'CF(M)'!O68+'CF(M)'!O71+'CF(M)'!O74+'CF(M)'!O77+'CF(M)'!O80+'CF(M)'!O83+'CF(M)'!O86+'CF(M)'!O89+'CF(M)'!O92+'CF(M)'!O115+'CF(M)'!O96+'CF(M)'!O111+'CF(M)'!O101+'CF(M)'!O106</f>
        <v>10027891.305060478</v>
      </c>
      <c r="Q66" s="184">
        <f ca="1">'CF(M)'!P121+'CF(M)'!P14+'CF(M)'!P54+'CF(M)'!P68+'CF(M)'!P71+'CF(M)'!P74+'CF(M)'!P77+'CF(M)'!P80+'CF(M)'!P83+'CF(M)'!P86+'CF(M)'!P89+'CF(M)'!P92+'CF(M)'!P115+'CF(M)'!P96+'CF(M)'!P111+'CF(M)'!P101+'CF(M)'!P106</f>
        <v>11292935.824401861</v>
      </c>
      <c r="R66" s="184">
        <f ca="1">'CF(M)'!Q121+'CF(M)'!Q14+'CF(M)'!Q54+'CF(M)'!Q68+'CF(M)'!Q71+'CF(M)'!Q74+'CF(M)'!Q77+'CF(M)'!Q80+'CF(M)'!Q83+'CF(M)'!Q86+'CF(M)'!Q89+'CF(M)'!Q92+'CF(M)'!Q115+'CF(M)'!Q96+'CF(M)'!Q111+'CF(M)'!Q101+'CF(M)'!Q106</f>
        <v>12637433.693499656</v>
      </c>
      <c r="S66" s="184">
        <f ca="1">'CF(M)'!R121+'CF(M)'!R14+'CF(M)'!R54+'CF(M)'!R68+'CF(M)'!R71+'CF(M)'!R74+'CF(M)'!R77+'CF(M)'!R80+'CF(M)'!R83+'CF(M)'!R86+'CF(M)'!R89+'CF(M)'!R92+'CF(M)'!R115+'CF(M)'!R96+'CF(M)'!R111+'CF(M)'!R101+'CF(M)'!R106</f>
        <v>10948091.076427639</v>
      </c>
      <c r="T66" s="184">
        <f ca="1">'CF(M)'!S121+'CF(M)'!S14+'CF(M)'!S54+'CF(M)'!S68+'CF(M)'!S71+'CF(M)'!S74+'CF(M)'!S77+'CF(M)'!S80+'CF(M)'!S83+'CF(M)'!S86+'CF(M)'!S89+'CF(M)'!S92+'CF(M)'!S115+'CF(M)'!S96+'CF(M)'!S111+'CF(M)'!S101+'CF(M)'!S106</f>
        <v>8906585.3017739672</v>
      </c>
      <c r="U66" s="184">
        <f ca="1">'CF(M)'!T121+'CF(M)'!T14+'CF(M)'!T54+'CF(M)'!T68+'CF(M)'!T71+'CF(M)'!T74+'CF(M)'!T77+'CF(M)'!T80+'CF(M)'!T83+'CF(M)'!T86+'CF(M)'!T89+'CF(M)'!T92+'CF(M)'!T115+'CF(M)'!T96+'CF(M)'!T111+'CF(M)'!T101+'CF(M)'!T106</f>
        <v>10327827.645515056</v>
      </c>
      <c r="V66" s="184">
        <f ca="1">'CF(M)'!U121+'CF(M)'!U14+'CF(M)'!U54+'CF(M)'!U68+'CF(M)'!U71+'CF(M)'!U74+'CF(M)'!U77+'CF(M)'!U80+'CF(M)'!U83+'CF(M)'!U86+'CF(M)'!U89+'CF(M)'!U92+'CF(M)'!U115+'CF(M)'!U96+'CF(M)'!U111+'CF(M)'!U101+'CF(M)'!U106</f>
        <v>8677280.4645826928</v>
      </c>
      <c r="W66" s="184">
        <f ca="1">'CF(M)'!V121+'CF(M)'!V14+'CF(M)'!V54+'CF(M)'!V68+'CF(M)'!V71+'CF(M)'!V74+'CF(M)'!V77+'CF(M)'!V80+'CF(M)'!V83+'CF(M)'!V86+'CF(M)'!V89+'CF(M)'!V92+'CF(M)'!V115+'CF(M)'!V96+'CF(M)'!V111+'CF(M)'!V101+'CF(M)'!V106</f>
        <v>10099052.912761141</v>
      </c>
      <c r="X66" s="184">
        <f ca="1">'CF(M)'!W121+'CF(M)'!W14+'CF(M)'!W54+'CF(M)'!W68+'CF(M)'!W71+'CF(M)'!W74+'CF(M)'!W77+'CF(M)'!W80+'CF(M)'!W83+'CF(M)'!W86+'CF(M)'!W89+'CF(M)'!W92+'CF(M)'!W115+'CF(M)'!W96+'CF(M)'!W111+'CF(M)'!W101+'CF(M)'!W106</f>
        <v>11163627.495580109</v>
      </c>
      <c r="Y66" s="184">
        <f ca="1">'CF(M)'!X121+'CF(M)'!X14+'CF(M)'!X54+'CF(M)'!X68+'CF(M)'!X71+'CF(M)'!X74+'CF(M)'!X77+'CF(M)'!X80+'CF(M)'!X83+'CF(M)'!X86+'CF(M)'!X89+'CF(M)'!X92+'CF(M)'!X115+'CF(M)'!X96+'CF(M)'!X111+'CF(M)'!X101+'CF(M)'!X106</f>
        <v>9465820.7044034936</v>
      </c>
      <c r="Z66" s="184">
        <f ca="1">'CF(M)'!Y121+'CF(M)'!Y14+'CF(M)'!Y54+'CF(M)'!Y68+'CF(M)'!Y71+'CF(M)'!Y74+'CF(M)'!Y77+'CF(M)'!Y80+'CF(M)'!Y83+'CF(M)'!Y86+'CF(M)'!Y89+'CF(M)'!Y92+'CF(M)'!Y115+'CF(M)'!Y96+'CF(M)'!Y111+'CF(M)'!Y101+'CF(M)'!Y106</f>
        <v>6859679.8698555622</v>
      </c>
      <c r="AA66" s="184">
        <f ca="1">'CF(M)'!Z121+'CF(M)'!Z14+'CF(M)'!Z54+'CF(M)'!Z68+'CF(M)'!Z71+'CF(M)'!Z74+'CF(M)'!Z77+'CF(M)'!Z80+'CF(M)'!Z83+'CF(M)'!Z86+'CF(M)'!Z89+'CF(M)'!Z92+'CF(M)'!Z115+'CF(M)'!Z96+'CF(M)'!Z111+'CF(M)'!Z101+'CF(M)'!Z106</f>
        <v>8121581.774197517</v>
      </c>
      <c r="AB66" s="184">
        <f ca="1">'CF(M)'!AA121+'CF(M)'!AA14+'CF(M)'!AA54+'CF(M)'!AA68+'CF(M)'!AA71+'CF(M)'!AA74+'CF(M)'!AA77+'CF(M)'!AA80+'CF(M)'!AA83+'CF(M)'!AA86+'CF(M)'!AA89+'CF(M)'!AA92+'CF(M)'!AA115+'CF(M)'!AA96+'CF(M)'!AA111+'CF(M)'!AA101+'CF(M)'!AA106</f>
        <v>6388205.5037176032</v>
      </c>
      <c r="AC66" s="184">
        <f ca="1">'CF(M)'!AB121+'CF(M)'!AB14+'CF(M)'!AB54+'CF(M)'!AB68+'CF(M)'!AB71+'CF(M)'!AB74+'CF(M)'!AB77+'CF(M)'!AB80+'CF(M)'!AB83+'CF(M)'!AB86+'CF(M)'!AB89+'CF(M)'!AB92+'CF(M)'!AB115+'CF(M)'!AB96+'CF(M)'!AB111+'CF(M)'!AB101+'CF(M)'!AB106</f>
        <v>7670905.4356596638</v>
      </c>
      <c r="AD66" s="184">
        <f ca="1">'CF(M)'!AC121+'CF(M)'!AC14+'CF(M)'!AC54+'CF(M)'!AC68+'CF(M)'!AC71+'CF(M)'!AC74+'CF(M)'!AC77+'CF(M)'!AC80+'CF(M)'!AC83+'CF(M)'!AC86+'CF(M)'!AC89+'CF(M)'!AC92+'CF(M)'!AC115+'CF(M)'!AC96+'CF(M)'!AC111+'CF(M)'!AC101+'CF(M)'!AC106</f>
        <v>9035004.3032259289</v>
      </c>
      <c r="AE66" s="184">
        <f ca="1">'CF(M)'!AD121+'CF(M)'!AD14+'CF(M)'!AD54+'CF(M)'!AD68+'CF(M)'!AD71+'CF(M)'!AD74+'CF(M)'!AD77+'CF(M)'!AD80+'CF(M)'!AD83+'CF(M)'!AD86+'CF(M)'!AD89+'CF(M)'!AD92+'CF(M)'!AD115+'CF(M)'!AD96+'CF(M)'!AD111+'CF(M)'!AD101+'CF(M)'!AD106</f>
        <v>7357180.121111013</v>
      </c>
      <c r="AF66" s="184">
        <f ca="1">'CF(M)'!AE121+'CF(M)'!AE14+'CF(M)'!AE54+'CF(M)'!AE68+'CF(M)'!AE71+'CF(M)'!AE74+'CF(M)'!AE77+'CF(M)'!AE80+'CF(M)'!AE83+'CF(M)'!AE86+'CF(M)'!AE89+'CF(M)'!AE92+'CF(M)'!AE115+'CF(M)'!AE96+'CF(M)'!AE111+'CF(M)'!AE101+'CF(M)'!AE106</f>
        <v>5889348.3512757234</v>
      </c>
      <c r="AG66" s="184">
        <f ca="1">'CF(M)'!AF121+'CF(M)'!AF14+'CF(M)'!AF54+'CF(M)'!AF68+'CF(M)'!AF71+'CF(M)'!AF74+'CF(M)'!AF77+'CF(M)'!AF80+'CF(M)'!AF83+'CF(M)'!AF86+'CF(M)'!AF89+'CF(M)'!AF92+'CF(M)'!AF115+'CF(M)'!AF96+'CF(M)'!AF111+'CF(M)'!AF101+'CF(M)'!AF106</f>
        <v>7334048.2909385189</v>
      </c>
      <c r="AH66" s="184">
        <f ca="1">'CF(M)'!AG121+'CF(M)'!AG14+'CF(M)'!AG54+'CF(M)'!AG68+'CF(M)'!AG71+'CF(M)'!AG74+'CF(M)'!AG77+'CF(M)'!AG80+'CF(M)'!AG83+'CF(M)'!AG86+'CF(M)'!AG89+'CF(M)'!AG92+'CF(M)'!AG115+'CF(M)'!AG96+'CF(M)'!AG111+'CF(M)'!AG101+'CF(M)'!AG106</f>
        <v>5643722.2314037476</v>
      </c>
      <c r="AI66" s="184">
        <f ca="1">'CF(M)'!AH121+'CF(M)'!AH14+'CF(M)'!AH54+'CF(M)'!AH68+'CF(M)'!AH71+'CF(M)'!AH74+'CF(M)'!AH77+'CF(M)'!AH80+'CF(M)'!AH83+'CF(M)'!AH86+'CF(M)'!AH89+'CF(M)'!AH92+'CF(M)'!AH115+'CF(M)'!AH96+'CF(M)'!AH111+'CF(M)'!AH101+'CF(M)'!AH106</f>
        <v>7088934.6445180625</v>
      </c>
      <c r="AJ66" s="184">
        <f ca="1">'CF(M)'!AI121+'CF(M)'!AI14+'CF(M)'!AI54+'CF(M)'!AI68+'CF(M)'!AI71+'CF(M)'!AI74+'CF(M)'!AI77+'CF(M)'!AI80+'CF(M)'!AI83+'CF(M)'!AI86+'CF(M)'!AI89+'CF(M)'!AI92+'CF(M)'!AI115+'CF(M)'!AI96+'CF(M)'!AI111+'CF(M)'!AI101+'CF(M)'!AI106</f>
        <v>8149588.2110289605</v>
      </c>
      <c r="AK66" s="184">
        <f ca="1">'CF(M)'!AJ121+'CF(M)'!AJ14+'CF(M)'!AJ54+'CF(M)'!AJ68+'CF(M)'!AJ71+'CF(M)'!AJ74+'CF(M)'!AJ77+'CF(M)'!AJ80+'CF(M)'!AJ83+'CF(M)'!AJ86+'CF(M)'!AJ89+'CF(M)'!AJ92+'CF(M)'!AJ115+'CF(M)'!AJ96+'CF(M)'!AJ111+'CF(M)'!AJ101+'CF(M)'!AJ106</f>
        <v>21464911.853300452</v>
      </c>
      <c r="AL66" s="184">
        <f ca="1">'CF(M)'!AK121+'CF(M)'!AK14+'CF(M)'!AK54+'CF(M)'!AK68+'CF(M)'!AK71+'CF(M)'!AK74+'CF(M)'!AK77+'CF(M)'!AK80+'CF(M)'!AK83+'CF(M)'!AK86+'CF(M)'!AK89+'CF(M)'!AK92+'CF(M)'!AK115+'CF(M)'!AK96+'CF(M)'!AK111+'CF(M)'!AK101+'CF(M)'!AK106</f>
        <v>9490192.3527465742</v>
      </c>
      <c r="AM66" s="184">
        <f ca="1">'CF(M)'!AL121+'CF(M)'!AL14+'CF(M)'!AL54+'CF(M)'!AL68+'CF(M)'!AL71+'CF(M)'!AL74+'CF(M)'!AL77+'CF(M)'!AL80+'CF(M)'!AL83+'CF(M)'!AL86+'CF(M)'!AL89+'CF(M)'!AL92+'CF(M)'!AL115+'CF(M)'!AL96+'CF(M)'!AL111+'CF(M)'!AL101+'CF(M)'!AL106</f>
        <v>10788839.212306246</v>
      </c>
      <c r="AN66" s="184">
        <f ca="1">'CF(M)'!AM121+'CF(M)'!AM14+'CF(M)'!AM54+'CF(M)'!AM68+'CF(M)'!AM71+'CF(M)'!AM74+'CF(M)'!AM77+'CF(M)'!AM80+'CF(M)'!AM83+'CF(M)'!AM86+'CF(M)'!AM89+'CF(M)'!AM92+'CF(M)'!AM115+'CF(M)'!AM96+'CF(M)'!AM111+'CF(M)'!AM101+'CF(M)'!AM106</f>
        <v>9179305.3873383738</v>
      </c>
      <c r="AO66" s="184">
        <f ca="1">'CF(M)'!AN121+'CF(M)'!AN14+'CF(M)'!AN54+'CF(M)'!AN68+'CF(M)'!AN71+'CF(M)'!AN74+'CF(M)'!AN77+'CF(M)'!AN80+'CF(M)'!AN83+'CF(M)'!AN86+'CF(M)'!AN89+'CF(M)'!AN92+'CF(M)'!AN115+'CF(M)'!AN96+'CF(M)'!AN111+'CF(M)'!AN101+'CF(M)'!AN106</f>
        <v>10658347.266042447</v>
      </c>
      <c r="AP66" s="184">
        <f ca="1">'CF(M)'!AO121+'CF(M)'!AO14+'CF(M)'!AO54+'CF(M)'!AO68+'CF(M)'!AO71+'CF(M)'!AO74+'CF(M)'!AO77+'CF(M)'!AO80+'CF(M)'!AO83+'CF(M)'!AO86+'CF(M)'!AO89+'CF(M)'!AO92+'CF(M)'!AO115+'CF(M)'!AO96+'CF(M)'!AO111+'CF(M)'!AO101+'CF(M)'!AO106</f>
        <v>12062080.53368788</v>
      </c>
      <c r="AQ66" s="184">
        <f ca="1">'CF(M)'!AP121+'CF(M)'!AP14+'CF(M)'!AP54+'CF(M)'!AP68+'CF(M)'!AP71+'CF(M)'!AP74+'CF(M)'!AP77+'CF(M)'!AP80+'CF(M)'!AP83+'CF(M)'!AP86+'CF(M)'!AP89+'CF(M)'!AP92+'CF(M)'!AP115+'CF(M)'!AP96+'CF(M)'!AP111+'CF(M)'!AP101+'CF(M)'!AP106</f>
        <v>10325192.029760798</v>
      </c>
      <c r="AR66" s="184">
        <f ca="1">'CF(M)'!AQ121+'CF(M)'!AQ14+'CF(M)'!AQ54+'CF(M)'!AQ68+'CF(M)'!AQ71+'CF(M)'!AQ74+'CF(M)'!AQ77+'CF(M)'!AQ80+'CF(M)'!AQ83+'CF(M)'!AQ86+'CF(M)'!AQ89+'CF(M)'!AQ92+'CF(M)'!AQ115+'CF(M)'!AQ96+'CF(M)'!AQ111+'CF(M)'!AQ101+'CF(M)'!AQ106</f>
        <v>9094236.6619415507</v>
      </c>
      <c r="AS66" s="184">
        <f ca="1">'CF(M)'!AR121+'CF(M)'!AR14+'CF(M)'!AR54+'CF(M)'!AR68+'CF(M)'!AR71+'CF(M)'!AR74+'CF(M)'!AR77+'CF(M)'!AR80+'CF(M)'!AR83+'CF(M)'!AR86+'CF(M)'!AR89+'CF(M)'!AR92+'CF(M)'!AR115+'CF(M)'!AR96+'CF(M)'!AR111+'CF(M)'!AR101+'CF(M)'!AR106</f>
        <v>9413245.6121928412</v>
      </c>
      <c r="AT66" s="184">
        <f ca="1">'CF(M)'!AS121+'CF(M)'!AS14+'CF(M)'!AS54+'CF(M)'!AS68+'CF(M)'!AS71+'CF(M)'!AS74+'CF(M)'!AS77+'CF(M)'!AS80+'CF(M)'!AS83+'CF(M)'!AS86+'CF(M)'!AS89+'CF(M)'!AS92+'CF(M)'!AS115+'CF(M)'!AS96+'CF(M)'!AS111+'CF(M)'!AS101+'CF(M)'!AS106</f>
        <v>6725491.8125862516</v>
      </c>
      <c r="AU66" s="184">
        <f ca="1">'CF(M)'!AT121+'CF(M)'!AT14+'CF(M)'!AT54+'CF(M)'!AT68+'CF(M)'!AT71+'CF(M)'!AT74+'CF(M)'!AT77+'CF(M)'!AT80+'CF(M)'!AT83+'CF(M)'!AT86+'CF(M)'!AT89+'CF(M)'!AT92+'CF(M)'!AT115+'CF(M)'!AT96+'CF(M)'!AT111+'CF(M)'!AT101+'CF(M)'!AT106</f>
        <v>6996288.0765099823</v>
      </c>
      <c r="AV66" s="184">
        <f ca="1">'CF(M)'!AU121+'CF(M)'!AU14+'CF(M)'!AU54+'CF(M)'!AU68+'CF(M)'!AU71+'CF(M)'!AU74+'CF(M)'!AU77+'CF(M)'!AU80+'CF(M)'!AU83+'CF(M)'!AU86+'CF(M)'!AU89+'CF(M)'!AU92+'CF(M)'!AU115+'CF(M)'!AU96+'CF(M)'!AU111+'CF(M)'!AU101+'CF(M)'!AU106</f>
        <v>6960169.955911668</v>
      </c>
      <c r="AW66" s="184">
        <f ca="1">'CF(M)'!AV121+'CF(M)'!AV14+'CF(M)'!AV54+'CF(M)'!AV68+'CF(M)'!AV71+'CF(M)'!AV74+'CF(M)'!AV77+'CF(M)'!AV80+'CF(M)'!AV83+'CF(M)'!AV86+'CF(M)'!AV89+'CF(M)'!AV92+'CF(M)'!AV115+'CF(M)'!AV96+'CF(M)'!AV111+'CF(M)'!AV101+'CF(M)'!AV106</f>
        <v>4392732.0216624197</v>
      </c>
      <c r="AX66" s="184">
        <f ca="1">'CF(M)'!AW121+'CF(M)'!AW14+'CF(M)'!AW54+'CF(M)'!AW68+'CF(M)'!AW71+'CF(M)'!AW74+'CF(M)'!AW77+'CF(M)'!AW80+'CF(M)'!AW83+'CF(M)'!AW86+'CF(M)'!AW89+'CF(M)'!AW92+'CF(M)'!AW115+'CF(M)'!AW96+'CF(M)'!AW111+'CF(M)'!AW101+'CF(M)'!AW106</f>
        <v>2477388.9553462113</v>
      </c>
      <c r="AY66" s="184">
        <f ca="1">'CF(M)'!AX121+'CF(M)'!AX14+'CF(M)'!AX54+'CF(M)'!AX68+'CF(M)'!AX71+'CF(M)'!AX74+'CF(M)'!AX77+'CF(M)'!AX80+'CF(M)'!AX83+'CF(M)'!AX86+'CF(M)'!AX89+'CF(M)'!AX92+'CF(M)'!AX115+'CF(M)'!AX96+'CF(M)'!AX111+'CF(M)'!AX101+'CF(M)'!AX106</f>
        <v>3850032.7551940577</v>
      </c>
      <c r="AZ66" s="184">
        <f ca="1">'CF(M)'!AY121+'CF(M)'!AY14+'CF(M)'!AY54+'CF(M)'!AY68+'CF(M)'!AY71+'CF(M)'!AY74+'CF(M)'!AY77+'CF(M)'!AY80+'CF(M)'!AY83+'CF(M)'!AY86+'CF(M)'!AY89+'CF(M)'!AY92+'CF(M)'!AY115+'CF(M)'!AY96+'CF(M)'!AY111+'CF(M)'!AY101+'CF(M)'!AY106</f>
        <v>2322599.3364926334</v>
      </c>
      <c r="BA66" s="184">
        <f ca="1">'CF(M)'!AZ121+'CF(M)'!AZ14+'CF(M)'!AZ54+'CF(M)'!AZ68+'CF(M)'!AZ71+'CF(M)'!AZ74+'CF(M)'!AZ77+'CF(M)'!AZ80+'CF(M)'!AZ83+'CF(M)'!AZ86+'CF(M)'!AZ89+'CF(M)'!AZ92+'CF(M)'!AZ115+'CF(M)'!AZ96+'CF(M)'!AZ111+'CF(M)'!AZ101+'CF(M)'!AZ106</f>
        <v>3824828.5181042301</v>
      </c>
      <c r="BB66" s="184">
        <f ca="1">'CF(M)'!BA121+'CF(M)'!BA14+'CF(M)'!BA54+'CF(M)'!BA68+'CF(M)'!BA71+'CF(M)'!BA74+'CF(M)'!BA77+'CF(M)'!BA80+'CF(M)'!BA83+'CF(M)'!BA86+'CF(M)'!BA89+'CF(M)'!BA92+'CF(M)'!BA115+'CF(M)'!BA96+'CF(M)'!BA111+'CF(M)'!BA101+'CF(M)'!BA106</f>
        <v>5280246.4401081819</v>
      </c>
      <c r="BC66" s="184">
        <f ca="1">'CF(M)'!BB121+'CF(M)'!BB14+'CF(M)'!BB54+'CF(M)'!BB68+'CF(M)'!BB71+'CF(M)'!BB74+'CF(M)'!BB77+'CF(M)'!BB80+'CF(M)'!BB83+'CF(M)'!BB86+'CF(M)'!BB89+'CF(M)'!BB92+'CF(M)'!BB115+'CF(M)'!BB96+'CF(M)'!BB111+'CF(M)'!BB101+'CF(M)'!BB106</f>
        <v>3575399.8060976062</v>
      </c>
      <c r="BD66" s="184">
        <f ca="1">'CF(M)'!BC121+'CF(M)'!BC14+'CF(M)'!BC54+'CF(M)'!BC68+'CF(M)'!BC71+'CF(M)'!BC74+'CF(M)'!BC77+'CF(M)'!BC80+'CF(M)'!BC83+'CF(M)'!BC86+'CF(M)'!BC89+'CF(M)'!BC92+'CF(M)'!BC115+'CF(M)'!BC96+'CF(M)'!BC111+'CF(M)'!BC101+'CF(M)'!BC106</f>
        <v>2397926.6564649516</v>
      </c>
      <c r="BE66" s="184">
        <f ca="1">'CF(M)'!BD121+'CF(M)'!BD14+'CF(M)'!BD54+'CF(M)'!BD68+'CF(M)'!BD71+'CF(M)'!BD74+'CF(M)'!BD77+'CF(M)'!BD80+'CF(M)'!BD83+'CF(M)'!BD86+'CF(M)'!BD89+'CF(M)'!BD92+'CF(M)'!BD115+'CF(M)'!BD96+'CF(M)'!BD111+'CF(M)'!BD101+'CF(M)'!BD106</f>
        <v>3940552.3713468378</v>
      </c>
      <c r="BF66" s="184">
        <f ca="1">'CF(M)'!BE121+'CF(M)'!BE14+'CF(M)'!BE54+'CF(M)'!BE68+'CF(M)'!BE71+'CF(M)'!BE74+'CF(M)'!BE77+'CF(M)'!BE80+'CF(M)'!BE83+'CF(M)'!BE86+'CF(M)'!BE89+'CF(M)'!BE92+'CF(M)'!BE115+'CF(M)'!BE96+'CF(M)'!BE111+'CF(M)'!BE101+'CF(M)'!BE106</f>
        <v>2218610.5202578688</v>
      </c>
      <c r="BG66" s="184">
        <f ca="1">'CF(M)'!BF121+'CF(M)'!BF14+'CF(M)'!BF54+'CF(M)'!BF68+'CF(M)'!BF71+'CF(M)'!BF74+'CF(M)'!BF77+'CF(M)'!BF80+'CF(M)'!BF83+'CF(M)'!BF86+'CF(M)'!BF89+'CF(M)'!BF92+'CF(M)'!BF115+'CF(M)'!BF96+'CF(M)'!BF111+'CF(M)'!BF101+'CF(M)'!BF106</f>
        <v>3764475.1413312042</v>
      </c>
      <c r="BH66" s="184">
        <f ca="1">'CF(M)'!BG121+'CF(M)'!BG14+'CF(M)'!BG54+'CF(M)'!BG68+'CF(M)'!BG71+'CF(M)'!BG74+'CF(M)'!BG77+'CF(M)'!BG80+'CF(M)'!BG83+'CF(M)'!BG86+'CF(M)'!BG89+'CF(M)'!BG92+'CF(M)'!BG115+'CF(M)'!BG96+'CF(M)'!BG111+'CF(M)'!BG101+'CF(M)'!BG106</f>
        <v>4937650.2320641214</v>
      </c>
      <c r="BI66" s="184">
        <f ca="1">'CF(M)'!BH121+'CF(M)'!BH14+'CF(M)'!BH54+'CF(M)'!BH68+'CF(M)'!BH71+'CF(M)'!BH74+'CF(M)'!BH77+'CF(M)'!BH80+'CF(M)'!BH83+'CF(M)'!BH86+'CF(M)'!BH89+'CF(M)'!BH92+'CF(M)'!BH115+'CF(M)'!BH96+'CF(M)'!BH111+'CF(M)'!BH101+'CF(M)'!BH106</f>
        <v>3266540.6813143408</v>
      </c>
      <c r="BJ66" s="184">
        <f ca="1">'CF(M)'!BI121+'CF(M)'!BI14+'CF(M)'!BI54+'CF(M)'!BI68+'CF(M)'!BI71+'CF(M)'!BI74+'CF(M)'!BI77+'CF(M)'!BI80+'CF(M)'!BI83+'CF(M)'!BI86+'CF(M)'!BI89+'CF(M)'!BI92+'CF(M)'!BI115+'CF(M)'!BI96+'CF(M)'!BI111+'CF(M)'!BI101+'CF(M)'!BI106</f>
        <v>1406730.1642004822</v>
      </c>
      <c r="BK66" s="184">
        <f ca="1">'CF(M)'!BJ121+'CF(M)'!BJ14+'CF(M)'!BJ54+'CF(M)'!BJ68+'CF(M)'!BJ71+'CF(M)'!BJ74+'CF(M)'!BJ77+'CF(M)'!BJ80+'CF(M)'!BJ83+'CF(M)'!BJ86+'CF(M)'!BJ89+'CF(M)'!BJ92+'CF(M)'!BJ115+'CF(M)'!BJ96+'CF(M)'!BJ111+'CF(M)'!BJ101+'CF(M)'!BJ106</f>
        <v>2818492.832539469</v>
      </c>
      <c r="BL66" s="184">
        <f ca="1">'CF(M)'!BK121+'CF(M)'!BK14+'CF(M)'!BK54+'CF(M)'!BK68+'CF(M)'!BK71+'CF(M)'!BK74+'CF(M)'!BK77+'CF(M)'!BK80+'CF(M)'!BK83+'CF(M)'!BK86+'CF(M)'!BK89+'CF(M)'!BK92+'CF(M)'!BK115+'CF(M)'!BK96+'CF(M)'!BK111+'CF(M)'!BK101+'CF(M)'!BK106</f>
        <v>1320153.8848769455</v>
      </c>
      <c r="BM66" s="184">
        <f ca="1">'CF(M)'!BL121+'CF(M)'!BL14+'CF(M)'!BL54+'CF(M)'!BL68+'CF(M)'!BL71+'CF(M)'!BL74+'CF(M)'!BL77+'CF(M)'!BL80+'CF(M)'!BL83+'CF(M)'!BL86+'CF(M)'!BL89+'CF(M)'!BL92+'CF(M)'!BL115+'CF(M)'!BL96+'CF(M)'!BL111+'CF(M)'!BL101+'CF(M)'!BL106</f>
        <v>2888291.1348547684</v>
      </c>
      <c r="BN66" s="184">
        <f ca="1">'CF(M)'!BM121+'CF(M)'!BM14+'CF(M)'!BM54+'CF(M)'!BM68+'CF(M)'!BM71+'CF(M)'!BM74+'CF(M)'!BM77+'CF(M)'!BM80+'CF(M)'!BM83+'CF(M)'!BM86+'CF(M)'!BM89+'CF(M)'!BM92+'CF(M)'!BM115+'CF(M)'!BM96+'CF(M)'!BM111+'CF(M)'!BM101+'CF(M)'!BM106</f>
        <v>4377348.7470612545</v>
      </c>
      <c r="BO66" s="184">
        <f ca="1">'CF(M)'!BN121+'CF(M)'!BN14+'CF(M)'!BN54+'CF(M)'!BN68+'CF(M)'!BN71+'CF(M)'!BN74+'CF(M)'!BN77+'CF(M)'!BN80+'CF(M)'!BN83+'CF(M)'!BN86+'CF(M)'!BN89+'CF(M)'!BN92+'CF(M)'!BN115+'CF(M)'!BN96+'CF(M)'!BN111+'CF(M)'!BN101+'CF(M)'!BN106</f>
        <v>2696056.3038810929</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3153290.9172416814</v>
      </c>
      <c r="BR66" s="184">
        <f ca="1">'CF(M)'!BQ121+'CF(M)'!BQ14+'CF(M)'!BQ54+'CF(M)'!BQ68+'CF(M)'!BQ71+'CF(M)'!BQ74+'CF(M)'!BQ77+'CF(M)'!BQ80+'CF(M)'!BQ83+'CF(M)'!BQ86+'CF(M)'!BQ89+'CF(M)'!BQ92+'CF(M)'!BQ115+'CF(M)'!BQ96+'CF(M)'!BQ111+'CF(M)'!BQ101+'CF(M)'!BQ106</f>
        <v>1449806.4221384202</v>
      </c>
      <c r="BS66" s="184">
        <f ca="1">'CF(M)'!BR121+'CF(M)'!BR14+'CF(M)'!BR54+'CF(M)'!BR68+'CF(M)'!BR71+'CF(M)'!BR74+'CF(M)'!BR77+'CF(M)'!BR80+'CF(M)'!BR83+'CF(M)'!BR86+'CF(M)'!BR89+'CF(M)'!BR92+'CF(M)'!BR115+'CF(M)'!BR96+'CF(M)'!BR111+'CF(M)'!BR101+'CF(M)'!BR106</f>
        <v>3032240.515801115</v>
      </c>
      <c r="BT66" s="184">
        <f ca="1">'CF(M)'!BS121+'CF(M)'!BS14+'CF(M)'!BS54+'CF(M)'!BS68+'CF(M)'!BS71+'CF(M)'!BS74+'CF(M)'!BS77+'CF(M)'!BS80+'CF(M)'!BS83+'CF(M)'!BS86+'CF(M)'!BS89+'CF(M)'!BS92+'CF(M)'!BS115+'CF(M)'!BS96+'CF(M)'!BS111+'CF(M)'!BS101+'CF(M)'!BS106</f>
        <v>4247749.7146173893</v>
      </c>
      <c r="BU66" s="184">
        <f ca="1">'CF(M)'!BT121+'CF(M)'!BT14+'CF(M)'!BT54+'CF(M)'!BT68+'CF(M)'!BT71+'CF(M)'!BT74+'CF(M)'!BT77+'CF(M)'!BT80+'CF(M)'!BT83+'CF(M)'!BT86+'CF(M)'!BT89+'CF(M)'!BT92+'CF(M)'!BT115+'CF(M)'!BT96+'CF(M)'!BT111+'CF(M)'!BT101+'CF(M)'!BT106</f>
        <v>2601729.2937996686</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2352569.6495432151</v>
      </c>
      <c r="BX66" s="184">
        <f ca="1">'CF(M)'!BW121+'CF(M)'!BW14+'CF(M)'!BW54+'CF(M)'!BW68+'CF(M)'!BW71+'CF(M)'!BW74+'CF(M)'!BW77+'CF(M)'!BW80+'CF(M)'!BW83+'CF(M)'!BW86+'CF(M)'!BW89+'CF(M)'!BW92+'CF(M)'!BW115+'CF(M)'!BW96+'CF(M)'!BW111+'CF(M)'!BW101+'CF(M)'!BW106</f>
        <v>1040865.9570276593</v>
      </c>
      <c r="BY66" s="184">
        <f ca="1">'CF(M)'!BX121+'CF(M)'!BX14+'CF(M)'!BX54+'CF(M)'!BX68+'CF(M)'!BX71+'CF(M)'!BX74+'CF(M)'!BX77+'CF(M)'!BX80+'CF(M)'!BX83+'CF(M)'!BX86+'CF(M)'!BX89+'CF(M)'!BX92+'CF(M)'!BX115+'CF(M)'!BX96+'CF(M)'!BX111+'CF(M)'!BX101+'CF(M)'!BX106</f>
        <v>2647625.1621334641</v>
      </c>
      <c r="BZ66" s="184">
        <f ca="1">'CF(M)'!BY121+'CF(M)'!BY14+'CF(M)'!BY54+'CF(M)'!BY68+'CF(M)'!BY71+'CF(M)'!BY74+'CF(M)'!BY77+'CF(M)'!BY80+'CF(M)'!BY83+'CF(M)'!BY86+'CF(M)'!BY89+'CF(M)'!BY92+'CF(M)'!BY115+'CF(M)'!BY96+'CF(M)'!BY111+'CF(M)'!BY101+'CF(M)'!BY106</f>
        <v>4173326.0425516274</v>
      </c>
      <c r="CA66" s="184">
        <f ca="1">'CF(M)'!BZ121+'CF(M)'!BZ14+'CF(M)'!BZ54+'CF(M)'!BZ68+'CF(M)'!BZ71+'CF(M)'!BZ74+'CF(M)'!BZ77+'CF(M)'!BZ80+'CF(M)'!BZ83+'CF(M)'!BZ86+'CF(M)'!BZ89+'CF(M)'!BZ92+'CF(M)'!BZ115+'CF(M)'!BZ96+'CF(M)'!BZ111+'CF(M)'!BZ101+'CF(M)'!BZ106</f>
        <v>2678082.375135636</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3232782.9006272219</v>
      </c>
      <c r="CD66" s="184">
        <f ca="1">'CF(M)'!CC121+'CF(M)'!CC14+'CF(M)'!CC54+'CF(M)'!CC68+'CF(M)'!CC71+'CF(M)'!CC74+'CF(M)'!CC77+'CF(M)'!CC80+'CF(M)'!CC83+'CF(M)'!CC86+'CF(M)'!CC89+'CF(M)'!CC92+'CF(M)'!CC115+'CF(M)'!CC96+'CF(M)'!CC111+'CF(M)'!CC101+'CF(M)'!CC106</f>
        <v>1713495.7196412929</v>
      </c>
      <c r="CE66" s="184">
        <f ca="1">'CF(M)'!CD121+'CF(M)'!CD14+'CF(M)'!CD54+'CF(M)'!CD68+'CF(M)'!CD71+'CF(M)'!CD74+'CF(M)'!CD77+'CF(M)'!CD80+'CF(M)'!CD83+'CF(M)'!CD86+'CF(M)'!CD89+'CF(M)'!CD92+'CF(M)'!CD115+'CF(M)'!CD96+'CF(M)'!CD111+'CF(M)'!CD101+'CF(M)'!CD106</f>
        <v>3336483.4192671939</v>
      </c>
      <c r="CF66" s="184">
        <f ca="1">'CF(M)'!CE121+'CF(M)'!CE14+'CF(M)'!CE54+'CF(M)'!CE68+'CF(M)'!CE71+'CF(M)'!CE74+'CF(M)'!CE77+'CF(M)'!CE80+'CF(M)'!CE83+'CF(M)'!CE86+'CF(M)'!CE89+'CF(M)'!CE92+'CF(M)'!CE115+'CF(M)'!CE96+'CF(M)'!CE111+'CF(M)'!CE101+'CF(M)'!CE106</f>
        <v>4598237.6103116944</v>
      </c>
      <c r="CG66" s="184">
        <f ca="1">'CF(M)'!CF121+'CF(M)'!CF14+'CF(M)'!CF54+'CF(M)'!CF68+'CF(M)'!CF71+'CF(M)'!CF74+'CF(M)'!CF77+'CF(M)'!CF80+'CF(M)'!CF83+'CF(M)'!CF86+'CF(M)'!CF89+'CF(M)'!CF92+'CF(M)'!CF115+'CF(M)'!CF96+'CF(M)'!CF111+'CF(M)'!CF101+'CF(M)'!CF106</f>
        <v>3140774.5383305773</v>
      </c>
      <c r="CH66" s="184">
        <f ca="1">'CF(M)'!CG121+'CF(M)'!CG14+'CF(M)'!CG54+'CF(M)'!CG68+'CF(M)'!CG71+'CF(M)'!CG74+'CF(M)'!CG77+'CF(M)'!CG80+'CF(M)'!CG83+'CF(M)'!CG86+'CF(M)'!CG89+'CF(M)'!CG92+'CF(M)'!CG115+'CF(M)'!CG96+'CF(M)'!CG111+'CF(M)'!CG101+'CF(M)'!CG106</f>
        <v>1216627.4677853733</v>
      </c>
      <c r="CI66" s="184">
        <f ca="1">'CF(M)'!CH121+'CF(M)'!CH14+'CF(M)'!CH54+'CF(M)'!CH68+'CF(M)'!CH71+'CF(M)'!CH74+'CF(M)'!CH77+'CF(M)'!CH80+'CF(M)'!CH83+'CF(M)'!CH86+'CF(M)'!CH89+'CF(M)'!CH92+'CF(M)'!CH115+'CF(M)'!CH96+'CF(M)'!CH111+'CF(M)'!CH101+'CF(M)'!CH106</f>
        <v>2701172.9847451057</v>
      </c>
      <c r="CJ66" s="184">
        <f ca="1">'CF(M)'!CI121+'CF(M)'!CI14+'CF(M)'!CI54+'CF(M)'!CI68+'CF(M)'!CI71+'CF(M)'!CI74+'CF(M)'!CI77+'CF(M)'!CI80+'CF(M)'!CI83+'CF(M)'!CI86+'CF(M)'!CI89+'CF(M)'!CI92+'CF(M)'!CI115+'CF(M)'!CI96+'CF(M)'!CI111+'CF(M)'!CI101+'CF(M)'!CI106</f>
        <v>1419465.6900003576</v>
      </c>
      <c r="CK66" s="184">
        <f ca="1">'CF(M)'!CJ121+'CF(M)'!CJ14+'CF(M)'!CJ54+'CF(M)'!CJ68+'CF(M)'!CJ71+'CF(M)'!CJ74+'CF(M)'!CJ77+'CF(M)'!CJ80+'CF(M)'!CJ83+'CF(M)'!CJ86+'CF(M)'!CJ89+'CF(M)'!CJ92+'CF(M)'!CJ115+'CF(M)'!CJ96+'CF(M)'!CJ111+'CF(M)'!CJ101+'CF(M)'!CJ106</f>
        <v>3067754.2549776388</v>
      </c>
      <c r="CL66" s="184">
        <f ca="1">'CF(M)'!CK121+'CF(M)'!CK14+'CF(M)'!CK54+'CF(M)'!CK68+'CF(M)'!CK71+'CF(M)'!CK74+'CF(M)'!CK77+'CF(M)'!CK80+'CF(M)'!CK83+'CF(M)'!CK86+'CF(M)'!CK89+'CF(M)'!CK92+'CF(M)'!CK115+'CF(M)'!CK96+'CF(M)'!CK111+'CF(M)'!CK101+'CF(M)'!CK106</f>
        <v>4632962.0049243411</v>
      </c>
      <c r="CM66" s="184">
        <f ca="1">'CF(M)'!CL121+'CF(M)'!CL14+'CF(M)'!CL54+'CF(M)'!CL68+'CF(M)'!CL71+'CF(M)'!CL74+'CF(M)'!CL77+'CF(M)'!CL80+'CF(M)'!CL83+'CF(M)'!CL86+'CF(M)'!CL89+'CF(M)'!CL92+'CF(M)'!CL115+'CF(M)'!CL96+'CF(M)'!CL111+'CF(M)'!CL101+'CF(M)'!CL106</f>
        <v>3166631.6792995022</v>
      </c>
      <c r="CN66" s="184">
        <f ca="1">'CF(M)'!CM121+'CF(M)'!CM14+'CF(M)'!CM54+'CF(M)'!CM68+'CF(M)'!CM71+'CF(M)'!CM74+'CF(M)'!CM77+'CF(M)'!CM80+'CF(M)'!CM83+'CF(M)'!CM86+'CF(M)'!CM89+'CF(M)'!CM92+'CF(M)'!CM115+'CF(M)'!CM96+'CF(M)'!CM111+'CF(M)'!CM101+'CF(M)'!CM106</f>
        <v>2107669.5519122202</v>
      </c>
      <c r="CO66" s="184">
        <f ca="1">'CF(M)'!CN121+'CF(M)'!CN14+'CF(M)'!CN54+'CF(M)'!CN68+'CF(M)'!CN71+'CF(M)'!CN74+'CF(M)'!CN77+'CF(M)'!CN80+'CF(M)'!CN83+'CF(M)'!CN86+'CF(M)'!CN89+'CF(M)'!CN92+'CF(M)'!CN115+'CF(M)'!CN96+'CF(M)'!CN111+'CF(M)'!CN101+'CF(M)'!CN106</f>
        <v>3768537.5349867251</v>
      </c>
      <c r="CP66" s="184">
        <f ca="1">'CF(M)'!CO121+'CF(M)'!CO14+'CF(M)'!CO54+'CF(M)'!CO68+'CF(M)'!CO71+'CF(M)'!CO74+'CF(M)'!CO77+'CF(M)'!CO80+'CF(M)'!CO83+'CF(M)'!CO86+'CF(M)'!CO89+'CF(M)'!CO92+'CF(M)'!CO115+'CF(M)'!CO96+'CF(M)'!CO111+'CF(M)'!CO101+'CF(M)'!CO106</f>
        <v>2275685.0148037802</v>
      </c>
      <c r="CQ66" s="184">
        <f ca="1">'CF(M)'!CP121+'CF(M)'!CP14+'CF(M)'!CP54+'CF(M)'!CP68+'CF(M)'!CP71+'CF(M)'!CP74+'CF(M)'!CP77+'CF(M)'!CP80+'CF(M)'!CP83+'CF(M)'!CP86+'CF(M)'!CP89+'CF(M)'!CP92+'CF(M)'!CP115+'CF(M)'!CP96+'CF(M)'!CP111+'CF(M)'!CP101+'CF(M)'!CP106</f>
        <v>3941094.2103003561</v>
      </c>
      <c r="CR66" s="184">
        <f ca="1">'CF(M)'!CQ121+'CF(M)'!CQ14+'CF(M)'!CQ54+'CF(M)'!CQ68+'CF(M)'!CQ71+'CF(M)'!CQ74+'CF(M)'!CQ77+'CF(M)'!CQ80+'CF(M)'!CQ83+'CF(M)'!CQ86+'CF(M)'!CQ89+'CF(M)'!CQ92+'CF(M)'!CQ115+'CF(M)'!CQ96+'CF(M)'!CQ111+'CF(M)'!CQ101+'CF(M)'!CQ106</f>
        <v>5250883.1349190678</v>
      </c>
      <c r="CS66" s="184">
        <f ca="1">'CF(M)'!CR121+'CF(M)'!CR14+'CF(M)'!CR54+'CF(M)'!CR68+'CF(M)'!CR71+'CF(M)'!CR74+'CF(M)'!CR77+'CF(M)'!CR80+'CF(M)'!CR83+'CF(M)'!CR86+'CF(M)'!CR89+'CF(M)'!CR92+'CF(M)'!CR115+'CF(M)'!CR96+'CF(M)'!CR111+'CF(M)'!CR101+'CF(M)'!CR106</f>
        <v>3823809.8810363431</v>
      </c>
      <c r="CT66" s="184">
        <f ca="1">'CF(M)'!CS121+'CF(M)'!CS14+'CF(M)'!CS54+'CF(M)'!CS68+'CF(M)'!CS71+'CF(M)'!CS74+'CF(M)'!CS77+'CF(M)'!CS80+'CF(M)'!CS83+'CF(M)'!CS86+'CF(M)'!CS89+'CF(M)'!CS92+'CF(M)'!CS115+'CF(M)'!CS96+'CF(M)'!CS111+'CF(M)'!CS101+'CF(M)'!CS106</f>
        <v>2125185.7954736743</v>
      </c>
      <c r="CU66" s="184">
        <f ca="1">'CF(M)'!CT121+'CF(M)'!CT14+'CF(M)'!CT54+'CF(M)'!CT68+'CF(M)'!CT71+'CF(M)'!CT74+'CF(M)'!CT77+'CF(M)'!CT80+'CF(M)'!CT83+'CF(M)'!CT86+'CF(M)'!CT89+'CF(M)'!CT92+'CF(M)'!CT115+'CF(M)'!CT96+'CF(M)'!CT111+'CF(M)'!CT101+'CF(M)'!CT106</f>
        <v>3650455.8831059821</v>
      </c>
      <c r="CV66" s="184">
        <f ca="1">'CF(M)'!CU121+'CF(M)'!CU14+'CF(M)'!CU54+'CF(M)'!CU68+'CF(M)'!CU71+'CF(M)'!CU74+'CF(M)'!CU77+'CF(M)'!CU80+'CF(M)'!CU83+'CF(M)'!CU86+'CF(M)'!CU89+'CF(M)'!CU92+'CF(M)'!CU115+'CF(M)'!CU96+'CF(M)'!CU111+'CF(M)'!CU101+'CF(M)'!CU106</f>
        <v>2401250.3396112826</v>
      </c>
      <c r="CW66" s="184">
        <f ca="1">'CF(M)'!CV121+'CF(M)'!CV14+'CF(M)'!CV54+'CF(M)'!CV68+'CF(M)'!CV71+'CF(M)'!CV74+'CF(M)'!CV77+'CF(M)'!CV80+'CF(M)'!CV83+'CF(M)'!CV86+'CF(M)'!CV89+'CF(M)'!CV92+'CF(M)'!CV115+'CF(M)'!CV96+'CF(M)'!CV111+'CF(M)'!CV101+'CF(M)'!CV106</f>
        <v>4093841.0877383207</v>
      </c>
      <c r="CX66" s="184">
        <f ca="1">'CF(M)'!CW121+'CF(M)'!CW14+'CF(M)'!CW54+'CF(M)'!CW68+'CF(M)'!CW71+'CF(M)'!CW74+'CF(M)'!CW77+'CF(M)'!CW80+'CF(M)'!CW83+'CF(M)'!CW86+'CF(M)'!CW89+'CF(M)'!CW92+'CF(M)'!CW115+'CF(M)'!CW96+'CF(M)'!CW111+'CF(M)'!CW101+'CF(M)'!CW106</f>
        <v>5701283.0274520051</v>
      </c>
      <c r="CY66" s="184">
        <f ca="1">'CF(M)'!CX121+'CF(M)'!CX14+'CF(M)'!CX54+'CF(M)'!CX68+'CF(M)'!CX71+'CF(M)'!CX74+'CF(M)'!CX77+'CF(M)'!CX80+'CF(M)'!CX83+'CF(M)'!CX86+'CF(M)'!CX89+'CF(M)'!CX92+'CF(M)'!CX115+'CF(M)'!CX96+'CF(M)'!CX111+'CF(M)'!CX101+'CF(M)'!CX106</f>
        <v>4266337.5743290111</v>
      </c>
      <c r="CZ66" s="184">
        <f ca="1">'CF(M)'!CY121+'CF(M)'!CY14+'CF(M)'!CY54+'CF(M)'!CY68+'CF(M)'!CY71+'CF(M)'!CY74+'CF(M)'!CY77+'CF(M)'!CY80+'CF(M)'!CY83+'CF(M)'!CY86+'CF(M)'!CY89+'CF(M)'!CY92+'CF(M)'!CY115+'CF(M)'!CY96+'CF(M)'!CY111+'CF(M)'!CY101+'CF(M)'!CY106</f>
        <v>2551611.4321273942</v>
      </c>
      <c r="DA66" s="184">
        <f ca="1">'CF(M)'!CZ121+'CF(M)'!CZ14+'CF(M)'!CZ54+'CF(M)'!CZ68+'CF(M)'!CZ71+'CF(M)'!CZ74+'CF(M)'!CZ77+'CF(M)'!CZ80+'CF(M)'!CZ83+'CF(M)'!CZ86+'CF(M)'!CZ89+'CF(M)'!CZ92+'CF(M)'!CZ115+'CF(M)'!CZ96+'CF(M)'!CZ111+'CF(M)'!CZ101+'CF(M)'!CZ106</f>
        <v>4214969.7027668059</v>
      </c>
      <c r="DB66" s="184">
        <f ca="1">'CF(M)'!DA121+'CF(M)'!DA14+'CF(M)'!DA54+'CF(M)'!DA68+'CF(M)'!DA71+'CF(M)'!DA74+'CF(M)'!DA77+'CF(M)'!DA80+'CF(M)'!DA83+'CF(M)'!DA86+'CF(M)'!DA89+'CF(M)'!DA92+'CF(M)'!DA115+'CF(M)'!DA96+'CF(M)'!DA111+'CF(M)'!DA101+'CF(M)'!DA106</f>
        <v>2779519.4928356307</v>
      </c>
      <c r="DC66" s="184">
        <f ca="1">'CF(M)'!DB121+'CF(M)'!DB14+'CF(M)'!DB54+'CF(M)'!DB68+'CF(M)'!DB71+'CF(M)'!DB74+'CF(M)'!DB77+'CF(M)'!DB80+'CF(M)'!DB83+'CF(M)'!DB86+'CF(M)'!DB89+'CF(M)'!DB92+'CF(M)'!DB115+'CF(M)'!DB96+'CF(M)'!DB111+'CF(M)'!DB101+'CF(M)'!DB106</f>
        <v>4362569.7884708857</v>
      </c>
      <c r="DD66" s="184">
        <f ca="1">'CF(M)'!DC121+'CF(M)'!DC14+'CF(M)'!DC54+'CF(M)'!DC68+'CF(M)'!DC71+'CF(M)'!DC74+'CF(M)'!DC77+'CF(M)'!DC80+'CF(M)'!DC83+'CF(M)'!DC86+'CF(M)'!DC89+'CF(M)'!DC92+'CF(M)'!DC115+'CF(M)'!DC96+'CF(M)'!DC111+'CF(M)'!DC101+'CF(M)'!DC106</f>
        <v>5680291.9188387264</v>
      </c>
      <c r="DE66" s="184">
        <f ca="1">'CF(M)'!DD121+'CF(M)'!DD14+'CF(M)'!DD54+'CF(M)'!DD68+'CF(M)'!DD71+'CF(M)'!DD74+'CF(M)'!DD77+'CF(M)'!DD80+'CF(M)'!DD83+'CF(M)'!DD86+'CF(M)'!DD89+'CF(M)'!DD92+'CF(M)'!DD115+'CF(M)'!DD96+'CF(M)'!DD111+'CF(M)'!DD101+'CF(M)'!DD106</f>
        <v>4254216.419707044</v>
      </c>
      <c r="DF66" s="184">
        <f ca="1">'CF(M)'!DE121+'CF(M)'!DE14+'CF(M)'!DE54+'CF(M)'!DE68+'CF(M)'!DE71+'CF(M)'!DE74+'CF(M)'!DE77+'CF(M)'!DE80+'CF(M)'!DE83+'CF(M)'!DE86+'CF(M)'!DE89+'CF(M)'!DE92+'CF(M)'!DE115+'CF(M)'!DE96+'CF(M)'!DE111+'CF(M)'!DE101+'CF(M)'!DE106</f>
        <v>2571096.4902776768</v>
      </c>
      <c r="DG66" s="184">
        <f ca="1">'CF(M)'!DF121+'CF(M)'!DF14+'CF(M)'!DF54+'CF(M)'!DF68+'CF(M)'!DF71+'CF(M)'!DF74+'CF(M)'!DF77+'CF(M)'!DF80+'CF(M)'!DF83+'CF(M)'!DF86+'CF(M)'!DF89+'CF(M)'!DF92+'CF(M)'!DF115+'CF(M)'!DF96+'CF(M)'!DF111+'CF(M)'!DF101+'CF(M)'!DF106</f>
        <v>4096084.0702144112</v>
      </c>
      <c r="DH66" s="184">
        <f ca="1">'CF(M)'!DG121+'CF(M)'!DG14+'CF(M)'!DG54+'CF(M)'!DG68+'CF(M)'!DG71+'CF(M)'!DG74+'CF(M)'!DG77+'CF(M)'!DG80+'CF(M)'!DG83+'CF(M)'!DG86+'CF(M)'!DG89+'CF(M)'!DG92+'CF(M)'!DG115+'CF(M)'!DG96+'CF(M)'!DG111+'CF(M)'!DG101+'CF(M)'!DG106</f>
        <v>2839113.3055165834</v>
      </c>
      <c r="DI66" s="184">
        <f ca="1">'CF(M)'!DH121+'CF(M)'!DH14+'CF(M)'!DH54+'CF(M)'!DH68+'CF(M)'!DH71+'CF(M)'!DH74+'CF(M)'!DH77+'CF(M)'!DH80+'CF(M)'!DH83+'CF(M)'!DH86+'CF(M)'!DH89+'CF(M)'!DH92+'CF(M)'!DH115+'CF(M)'!DH96+'CF(M)'!DH111+'CF(M)'!DH101+'CF(M)'!DH106</f>
        <v>4488277.2899295269</v>
      </c>
      <c r="DJ66" s="184">
        <f ca="1">'CF(M)'!DI121+'CF(M)'!DI14+'CF(M)'!DI54+'CF(M)'!DI68+'CF(M)'!DI71+'CF(M)'!DI74+'CF(M)'!DI77+'CF(M)'!DI80+'CF(M)'!DI83+'CF(M)'!DI86+'CF(M)'!DI89+'CF(M)'!DI92+'CF(M)'!DI115+'CF(M)'!DI96+'CF(M)'!DI111+'CF(M)'!DI101+'CF(M)'!DI106</f>
        <v>6188690.0361456266</v>
      </c>
      <c r="DK66" s="184">
        <f ca="1">'CF(M)'!DJ121+'CF(M)'!DJ14+'CF(M)'!DJ54+'CF(M)'!DJ68+'CF(M)'!DJ71+'CF(M)'!DJ74+'CF(M)'!DJ77+'CF(M)'!DJ80+'CF(M)'!DJ83+'CF(M)'!DJ86+'CF(M)'!DJ89+'CF(M)'!DJ92+'CF(M)'!DJ115+'CF(M)'!DJ96+'CF(M)'!DJ111+'CF(M)'!DJ101+'CF(M)'!DJ106</f>
        <v>4753479.2460844796</v>
      </c>
      <c r="DL66" s="184">
        <f ca="1">'CF(M)'!DK121+'CF(M)'!DK14+'CF(M)'!DK54+'CF(M)'!DK68+'CF(M)'!DK71+'CF(M)'!DK74+'CF(M)'!DK77+'CF(M)'!DK80+'CF(M)'!DK83+'CF(M)'!DK86+'CF(M)'!DK89+'CF(M)'!DK92+'CF(M)'!DK115+'CF(M)'!DK96+'CF(M)'!DK111+'CF(M)'!DK101+'CF(M)'!DK106</f>
        <v>3741921.4580295482</v>
      </c>
      <c r="DM66" s="184">
        <f ca="1">'CF(M)'!DL121+'CF(M)'!DL14+'CF(M)'!DL54+'CF(M)'!DL68+'CF(M)'!DL71+'CF(M)'!DL74+'CF(M)'!DL77+'CF(M)'!DL80+'CF(M)'!DL83+'CF(M)'!DL86+'CF(M)'!DL89+'CF(M)'!DL92+'CF(M)'!DL115+'CF(M)'!DL96+'CF(M)'!DL111+'CF(M)'!DL101+'CF(M)'!DL106</f>
        <v>5451027.1929716598</v>
      </c>
      <c r="DN66" s="184">
        <f ca="1">'CF(M)'!DM121+'CF(M)'!DM14+'CF(M)'!DM54+'CF(M)'!DM68+'CF(M)'!DM71+'CF(M)'!DM74+'CF(M)'!DM77+'CF(M)'!DM80+'CF(M)'!DM83+'CF(M)'!DM86+'CF(M)'!DM89+'CF(M)'!DM92+'CF(M)'!DM115+'CF(M)'!DM96+'CF(M)'!DM111+'CF(M)'!DM101+'CF(M)'!DM106</f>
        <v>3992471.6511189686</v>
      </c>
      <c r="DO66" s="184">
        <f ca="1">'CF(M)'!DN121+'CF(M)'!DN14+'CF(M)'!DN54+'CF(M)'!DN68+'CF(M)'!DN71+'CF(M)'!DN74+'CF(M)'!DN77+'CF(M)'!DN80+'CF(M)'!DN83+'CF(M)'!DN86+'CF(M)'!DN89+'CF(M)'!DN92+'CF(M)'!DN115+'CF(M)'!DN96+'CF(M)'!DN111+'CF(M)'!DN101+'CF(M)'!DN106</f>
        <v>5706564.4151252359</v>
      </c>
      <c r="DP66" s="184">
        <f ca="1">'CF(M)'!DO121+'CF(M)'!DO14+'CF(M)'!DO54+'CF(M)'!DO68+'CF(M)'!DO71+'CF(M)'!DO74+'CF(M)'!DO77+'CF(M)'!DO80+'CF(M)'!DO83+'CF(M)'!DO86+'CF(M)'!DO89+'CF(M)'!DO92+'CF(M)'!DO115+'CF(M)'!DO96+'CF(M)'!DO111+'CF(M)'!DO101+'CF(M)'!DO106</f>
        <v>7075912.125940335</v>
      </c>
      <c r="DQ66" s="184">
        <f ca="1">'CF(M)'!DP121+'CF(M)'!DP14+'CF(M)'!DP54+'CF(M)'!DP68+'CF(M)'!DP71+'CF(M)'!DP74+'CF(M)'!DP77+'CF(M)'!DP80+'CF(M)'!DP83+'CF(M)'!DP86+'CF(M)'!DP89+'CF(M)'!DP92+'CF(M)'!DP115+'CF(M)'!DP96+'CF(M)'!DP111+'CF(M)'!DP101+'CF(M)'!DP106</f>
        <v>5683505.871495856</v>
      </c>
      <c r="DR66" s="184">
        <f ca="1">'CF(M)'!DQ121+'CF(M)'!DQ14+'CF(M)'!DQ54+'CF(M)'!DQ68+'CF(M)'!DQ71+'CF(M)'!DQ74+'CF(M)'!DQ77+'CF(M)'!DQ80+'CF(M)'!DQ83+'CF(M)'!DQ86+'CF(M)'!DQ89+'CF(M)'!DQ92+'CF(M)'!DQ115+'CF(M)'!DQ96+'CF(M)'!DQ111+'CF(M)'!DQ101+'CF(M)'!DQ106</f>
        <v>4059538.5891550882</v>
      </c>
      <c r="DS66" s="184">
        <f ca="1">'CF(M)'!DR121+'CF(M)'!DR14+'CF(M)'!DR54+'CF(M)'!DR68+'CF(M)'!DR71+'CF(M)'!DR74+'CF(M)'!DR77+'CF(M)'!DR80+'CF(M)'!DR83+'CF(M)'!DR86+'CF(M)'!DR89+'CF(M)'!DR92+'CF(M)'!DR115+'CF(M)'!DR96+'CF(M)'!DR111+'CF(M)'!DR101+'CF(M)'!DR106</f>
        <v>5628429.5404558852</v>
      </c>
      <c r="DT66" s="184">
        <f ca="1">'CF(M)'!DS121+'CF(M)'!DS14+'CF(M)'!DS54+'CF(M)'!DS68+'CF(M)'!DS71+'CF(M)'!DS74+'CF(M)'!DS77+'CF(M)'!DS80+'CF(M)'!DS83+'CF(M)'!DS86+'CF(M)'!DS89+'CF(M)'!DS92+'CF(M)'!DS115+'CF(M)'!DS96+'CF(M)'!DS111+'CF(M)'!DS101+'CF(M)'!DS106</f>
        <v>4416718.8000879139</v>
      </c>
      <c r="DU66" s="184">
        <f ca="1">'CF(M)'!DT121+'CF(M)'!DT14+'CF(M)'!DT54+'CF(M)'!DT68+'CF(M)'!DT71+'CF(M)'!DT74+'CF(M)'!DT77+'CF(M)'!DT80+'CF(M)'!DT83+'CF(M)'!DT86+'CF(M)'!DT89+'CF(M)'!DT92+'CF(M)'!DT115+'CF(M)'!DT96+'CF(M)'!DT111+'CF(M)'!DT101+'CF(M)'!DT106</f>
        <v>6159447.3939082744</v>
      </c>
      <c r="DV66" s="184">
        <f ca="1">'CF(M)'!DU121+'CF(M)'!DU14+'CF(M)'!DU54+'CF(M)'!DU68+'CF(M)'!DU71+'CF(M)'!DU74+'CF(M)'!DU77+'CF(M)'!DU80+'CF(M)'!DU83+'CF(M)'!DU86+'CF(M)'!DU89+'CF(M)'!DU92+'CF(M)'!DU115+'CF(M)'!DU96+'CF(M)'!DU111+'CF(M)'!DU101+'CF(M)'!DU106</f>
        <v>7907258.9461272778</v>
      </c>
      <c r="DW66" s="184">
        <f ca="1">'CF(M)'!DV121+'CF(M)'!DV14+'CF(M)'!DV54+'CF(M)'!DV68+'CF(M)'!DV71+'CF(M)'!DV74+'CF(M)'!DV77+'CF(M)'!DV80+'CF(M)'!DV83+'CF(M)'!DV86+'CF(M)'!DV89+'CF(M)'!DV92+'CF(M)'!DV115+'CF(M)'!DV96+'CF(M)'!DV111+'CF(M)'!DV101+'CF(M)'!DV106</f>
        <v>6541287.1055220002</v>
      </c>
      <c r="DX66" s="184">
        <f ca="1">'CF(M)'!DW121+'CF(M)'!DW14+'CF(M)'!DW54+'CF(M)'!DW68+'CF(M)'!DW71+'CF(M)'!DW74+'CF(M)'!DW77+'CF(M)'!DW80+'CF(M)'!DW83+'CF(M)'!DW86+'CF(M)'!DW89+'CF(M)'!DW92+'CF(M)'!DW115+'CF(M)'!DW96+'CF(M)'!DW111+'CF(M)'!DW101+'CF(M)'!DW106</f>
        <v>5578435.213299823</v>
      </c>
      <c r="DY66" s="184">
        <f ca="1">'CF(M)'!DX121+'CF(M)'!DX14+'CF(M)'!DX54+'CF(M)'!DX68+'CF(M)'!DX71+'CF(M)'!DX74+'CF(M)'!DX77+'CF(M)'!DX80+'CF(M)'!DX83+'CF(M)'!DX86+'CF(M)'!DX89+'CF(M)'!DX92+'CF(M)'!DX115+'CF(M)'!DX96+'CF(M)'!DX111+'CF(M)'!DX101+'CF(M)'!DX106</f>
        <v>7335693.7530586645</v>
      </c>
      <c r="DZ66" s="184">
        <f ca="1">'CF(M)'!DY121+'CF(M)'!DY14+'CF(M)'!DY54+'CF(M)'!DY68+'CF(M)'!DY71+'CF(M)'!DY74+'CF(M)'!DY77+'CF(M)'!DY80+'CF(M)'!DY83+'CF(M)'!DY86+'CF(M)'!DY89+'CF(M)'!DY92+'CF(M)'!DY115+'CF(M)'!DY96+'CF(M)'!DY111+'CF(M)'!DY101+'CF(M)'!DY106</f>
        <v>5901418.248456927</v>
      </c>
      <c r="EA66" s="184">
        <f ca="1">'CF(M)'!DZ121+'CF(M)'!DZ14+'CF(M)'!DZ54+'CF(M)'!DZ68+'CF(M)'!DZ71+'CF(M)'!DZ74+'CF(M)'!DZ77+'CF(M)'!DZ80+'CF(M)'!DZ83+'CF(M)'!DZ86+'CF(M)'!DZ89+'CF(M)'!DZ92+'CF(M)'!DZ115+'CF(M)'!DZ96+'CF(M)'!DZ111+'CF(M)'!DZ101+'CF(M)'!DZ106</f>
        <v>7663981.4861776466</v>
      </c>
      <c r="EB66" s="184">
        <f ca="1">'CF(M)'!EA121+'CF(M)'!EA14+'CF(M)'!EA54+'CF(M)'!EA68+'CF(M)'!EA71+'CF(M)'!EA74+'CF(M)'!EA77+'CF(M)'!EA80+'CF(M)'!EA83+'CF(M)'!EA86+'CF(M)'!EA89+'CF(M)'!EA92+'CF(M)'!EA115+'CF(M)'!EA96+'CF(M)'!EA111+'CF(M)'!EA101+'CF(M)'!EA106</f>
        <v>9087187.2102784906</v>
      </c>
      <c r="EC66" s="184">
        <f ca="1">'CF(M)'!EB121+'CF(M)'!EB14+'CF(M)'!EB54+'CF(M)'!EB68+'CF(M)'!EB71+'CF(M)'!EB74+'CF(M)'!EB77+'CF(M)'!EB80+'CF(M)'!EB83+'CF(M)'!EB86+'CF(M)'!EB89+'CF(M)'!EB92+'CF(M)'!EB115+'CF(M)'!EB96+'CF(M)'!EB111+'CF(M)'!EB101+'CF(M)'!EB106</f>
        <v>152090534.77444094</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186984.24815451948</v>
      </c>
      <c r="P68" s="908">
        <f t="shared" ca="1" si="62"/>
        <v>384993.94638511585</v>
      </c>
      <c r="Q68" s="908">
        <f t="shared" ca="1" si="62"/>
        <v>396230.95900938811</v>
      </c>
      <c r="R68" s="908">
        <f t="shared" ca="1" si="62"/>
        <v>545567.03938925627</v>
      </c>
      <c r="S68" s="908">
        <f t="shared" ca="1" si="62"/>
        <v>767468.86620053696</v>
      </c>
      <c r="T68" s="908">
        <f t="shared" ca="1" si="62"/>
        <v>0</v>
      </c>
      <c r="U68" s="908">
        <f t="shared" ca="1" si="62"/>
        <v>115485.48729343922</v>
      </c>
      <c r="V68" s="908">
        <f t="shared" ca="1" si="62"/>
        <v>406522.27386913868</v>
      </c>
      <c r="W68" s="908">
        <f t="shared" ca="1" si="62"/>
        <v>702249.30980158295</v>
      </c>
      <c r="X68" s="908">
        <f t="shared" ca="1" si="62"/>
        <v>993707.20897714107</v>
      </c>
      <c r="Y68" s="908">
        <f t="shared" ca="1" si="62"/>
        <v>1289311.9444598863</v>
      </c>
      <c r="Z68" s="908">
        <f t="shared" ca="1" si="62"/>
        <v>0</v>
      </c>
      <c r="AA68" s="908">
        <f t="shared" ca="1" si="62"/>
        <v>264041.911334106</v>
      </c>
      <c r="AB68" s="908">
        <f t="shared" ca="1" si="62"/>
        <v>528330.74586197827</v>
      </c>
      <c r="AC68" s="908">
        <f t="shared" ca="1" si="62"/>
        <v>600822.366668973</v>
      </c>
      <c r="AD68" s="908">
        <f t="shared" ca="1" si="62"/>
        <v>766189.61684228317</v>
      </c>
      <c r="AE68" s="908">
        <f t="shared" ca="1" si="62"/>
        <v>1005896.0092316743</v>
      </c>
      <c r="AF68" s="908">
        <f t="shared" ca="1" si="62"/>
        <v>0</v>
      </c>
      <c r="AG68" s="908">
        <f t="shared" ca="1" si="62"/>
        <v>132602.74182730122</v>
      </c>
      <c r="AH68" s="908">
        <f t="shared" ca="1" si="62"/>
        <v>445110.45356237434</v>
      </c>
      <c r="AI68" s="908">
        <f t="shared" ca="1" si="62"/>
        <v>762390.45662198495</v>
      </c>
      <c r="AJ68" s="908">
        <f t="shared" ca="1" si="62"/>
        <v>1075298.9251751399</v>
      </c>
      <c r="AK68" s="908">
        <f t="shared" ca="1" si="62"/>
        <v>1392422.5965998783</v>
      </c>
      <c r="AL68" s="908">
        <f t="shared" ca="1" si="62"/>
        <v>0</v>
      </c>
      <c r="AM68" s="908">
        <f t="shared" ca="1" si="62"/>
        <v>296536.12260418897</v>
      </c>
      <c r="AN68" s="908">
        <f t="shared" ca="1" si="62"/>
        <v>572850.23752949038</v>
      </c>
      <c r="AO68" s="908">
        <f t="shared" ca="1" si="62"/>
        <v>828866.39381829381</v>
      </c>
      <c r="AP68" s="908">
        <f t="shared" ca="1" si="62"/>
        <v>1149035.6011122237</v>
      </c>
      <c r="AQ68" s="908">
        <f t="shared" ca="1" si="62"/>
        <v>1401134.6049115926</v>
      </c>
      <c r="AR68" s="908">
        <f t="shared" ca="1" si="62"/>
        <v>0</v>
      </c>
      <c r="AS68" s="908">
        <f t="shared" ca="1" si="62"/>
        <v>324301.11221579532</v>
      </c>
      <c r="AT68" s="908">
        <f t="shared" ca="1" si="62"/>
        <v>-410127.62609423627</v>
      </c>
      <c r="AU68" s="908">
        <f t="shared" ca="1" si="62"/>
        <v>-1116685.5357942972</v>
      </c>
      <c r="AV68" s="908">
        <f t="shared" ca="1" si="62"/>
        <v>-1895572.0652333782</v>
      </c>
      <c r="AW68" s="908">
        <f t="shared" ca="1" si="62"/>
        <v>-2605270.3797138459</v>
      </c>
      <c r="AX68" s="908">
        <f t="shared" ca="1" si="62"/>
        <v>-3336239.8716530381</v>
      </c>
      <c r="AY68" s="908">
        <f t="shared" ca="1" si="62"/>
        <v>-2999702.488496488</v>
      </c>
      <c r="AZ68" s="908">
        <f t="shared" ca="1" si="62"/>
        <v>-2654717.2007113383</v>
      </c>
      <c r="BA68" s="908">
        <f t="shared" ca="1" si="62"/>
        <v>-2307512.7697325475</v>
      </c>
      <c r="BB68" s="908">
        <f t="shared" ca="1" si="62"/>
        <v>-1967222.738516394</v>
      </c>
      <c r="BC68" s="908">
        <f t="shared" ca="1" si="62"/>
        <v>-1669090.0795090355</v>
      </c>
      <c r="BD68" s="908">
        <f t="shared" ca="1" si="62"/>
        <v>-1324842.8594188956</v>
      </c>
      <c r="BE68" s="908">
        <f t="shared" ca="1" si="62"/>
        <v>-952851.74284572643</v>
      </c>
      <c r="BF68" s="908">
        <f t="shared" ca="1" si="62"/>
        <v>-575817.61732174072</v>
      </c>
      <c r="BG68" s="908">
        <f t="shared" ca="1" si="62"/>
        <v>-194284.16679601616</v>
      </c>
      <c r="BH68" s="908">
        <f t="shared" ca="1" si="62"/>
        <v>185646.87295680749</v>
      </c>
      <c r="BI68" s="908">
        <f t="shared" ca="1" si="62"/>
        <v>570086.68452109513</v>
      </c>
      <c r="BJ68" s="908">
        <f t="shared" ca="1" si="62"/>
        <v>0</v>
      </c>
      <c r="BK68" s="908">
        <f t="shared" ca="1" si="62"/>
        <v>374837.27594168356</v>
      </c>
      <c r="BL68" s="908">
        <f t="shared" ca="1" si="62"/>
        <v>758367.24292097148</v>
      </c>
      <c r="BM68" s="908">
        <f t="shared" ca="1" si="62"/>
        <v>1150727.2338486863</v>
      </c>
      <c r="BN68" s="908">
        <f t="shared" ca="1" si="62"/>
        <v>1551484.6670699771</v>
      </c>
      <c r="BO68" s="908">
        <f t="shared" ca="1" si="62"/>
        <v>1880767.3144669407</v>
      </c>
      <c r="BP68" s="908">
        <f t="shared" ca="1" si="62"/>
        <v>0</v>
      </c>
      <c r="BQ68" s="908">
        <f t="shared" ca="1" si="62"/>
        <v>406054.92172926839</v>
      </c>
      <c r="BR68" s="908">
        <f t="shared" ca="1" si="62"/>
        <v>816701.69626084424</v>
      </c>
      <c r="BS68" s="908">
        <f t="shared" ca="1" si="62"/>
        <v>1231953.7164987342</v>
      </c>
      <c r="BT68" s="908">
        <f t="shared" ca="1" si="62"/>
        <v>1645742.6579093342</v>
      </c>
      <c r="BU68" s="908">
        <f t="shared" ca="1" si="62"/>
        <v>2064147.032093117</v>
      </c>
      <c r="BV68" s="908">
        <f t="shared" ca="1" si="62"/>
        <v>0</v>
      </c>
      <c r="BW68" s="908">
        <f t="shared" ca="1" si="62"/>
        <v>462512.34967445058</v>
      </c>
      <c r="BX68" s="908">
        <f t="shared" ca="1" si="62"/>
        <v>934020.72071031958</v>
      </c>
      <c r="BY68" s="908">
        <f t="shared" ca="1" si="62"/>
        <v>1414578.2723545204</v>
      </c>
      <c r="BZ68" s="908">
        <f t="shared" ref="BZ68:DT68" ca="1" si="63">BY71</f>
        <v>1904396.8090587487</v>
      </c>
      <c r="CA68" s="908">
        <f t="shared" ca="1" si="63"/>
        <v>2320951.9943210203</v>
      </c>
      <c r="CB68" s="908">
        <f t="shared" ca="1" si="63"/>
        <v>0</v>
      </c>
      <c r="CC68" s="908">
        <f t="shared" ca="1" si="63"/>
        <v>496159.3134352382</v>
      </c>
      <c r="CD68" s="908">
        <f t="shared" ca="1" si="63"/>
        <v>997026.23666960071</v>
      </c>
      <c r="CE68" s="908">
        <f t="shared" ca="1" si="63"/>
        <v>1502614.5002316684</v>
      </c>
      <c r="CF68" s="908">
        <f t="shared" ca="1" si="63"/>
        <v>2007364.5625730406</v>
      </c>
      <c r="CG68" s="908">
        <f t="shared" ca="1" si="63"/>
        <v>2516848.3390383217</v>
      </c>
      <c r="CH68" s="908">
        <f t="shared" ca="1" si="63"/>
        <v>0</v>
      </c>
      <c r="CI68" s="908">
        <f t="shared" ca="1" si="63"/>
        <v>500136.27848234447</v>
      </c>
      <c r="CJ68" s="908">
        <f t="shared" ca="1" si="63"/>
        <v>1009584.6948791003</v>
      </c>
      <c r="CK68" s="908">
        <f t="shared" ca="1" si="63"/>
        <v>1528313.9829136529</v>
      </c>
      <c r="CL68" s="908">
        <f t="shared" ca="1" si="63"/>
        <v>2056718.9151891444</v>
      </c>
      <c r="CM68" s="908">
        <f t="shared" ca="1" si="63"/>
        <v>2510032.8800108838</v>
      </c>
      <c r="CN68" s="908">
        <f t="shared" ca="1" si="63"/>
        <v>0</v>
      </c>
      <c r="CO68" s="908">
        <f t="shared" ca="1" si="63"/>
        <v>535193.13474426302</v>
      </c>
      <c r="CP68" s="908">
        <f t="shared" ca="1" si="63"/>
        <v>1075216.3799503131</v>
      </c>
      <c r="CQ68" s="908">
        <f t="shared" ca="1" si="63"/>
        <v>1620083.8234403306</v>
      </c>
      <c r="CR68" s="908">
        <f t="shared" ca="1" si="63"/>
        <v>2164279.9931300906</v>
      </c>
      <c r="CS68" s="908">
        <f t="shared" ca="1" si="63"/>
        <v>2713333.6063067159</v>
      </c>
      <c r="CT68" s="908">
        <f t="shared" ca="1" si="63"/>
        <v>0</v>
      </c>
      <c r="CU68" s="908">
        <f t="shared" ca="1" si="63"/>
        <v>540361.36583006405</v>
      </c>
      <c r="CV68" s="908">
        <f t="shared" ca="1" si="63"/>
        <v>1090362.1477462256</v>
      </c>
      <c r="CW68" s="908">
        <f t="shared" ca="1" si="63"/>
        <v>1649886.3549783118</v>
      </c>
      <c r="CX68" s="908">
        <f t="shared" ca="1" si="63"/>
        <v>2219516.3521554149</v>
      </c>
      <c r="CY68" s="908">
        <f t="shared" ca="1" si="63"/>
        <v>2712187.134685412</v>
      </c>
      <c r="CZ68" s="908">
        <f t="shared" ca="1" si="63"/>
        <v>0</v>
      </c>
      <c r="DA68" s="908">
        <f t="shared" ca="1" si="63"/>
        <v>-59974.349688226474</v>
      </c>
      <c r="DB68" s="908">
        <f t="shared" ca="1" si="63"/>
        <v>483120.53642617166</v>
      </c>
      <c r="DC68" s="908">
        <f t="shared" ca="1" si="63"/>
        <v>1031066.8841632681</v>
      </c>
      <c r="DD68" s="908">
        <f t="shared" ca="1" si="63"/>
        <v>1501214.9504414992</v>
      </c>
      <c r="DE68" s="908">
        <f t="shared" ca="1" si="63"/>
        <v>2053366.7497967656</v>
      </c>
      <c r="DF68" s="908">
        <f t="shared" ca="1" si="63"/>
        <v>0</v>
      </c>
      <c r="DG68" s="908">
        <f t="shared" ca="1" si="63"/>
        <v>543502.10941317712</v>
      </c>
      <c r="DH68" s="908">
        <f t="shared" ca="1" si="63"/>
        <v>1096663.6031738089</v>
      </c>
      <c r="DI68" s="908">
        <f t="shared" ca="1" si="63"/>
        <v>1641732.3035739122</v>
      </c>
      <c r="DJ68" s="908">
        <f t="shared" ca="1" si="63"/>
        <v>2172647.7543014446</v>
      </c>
      <c r="DK68" s="908">
        <f t="shared" ca="1" si="63"/>
        <v>2750590.2668155925</v>
      </c>
      <c r="DL68" s="908">
        <f t="shared" ca="1" si="63"/>
        <v>0</v>
      </c>
      <c r="DM68" s="908">
        <f t="shared" ca="1" si="63"/>
        <v>580047.00460461585</v>
      </c>
      <c r="DN68" s="908">
        <f t="shared" ca="1" si="63"/>
        <v>1165694.3367627403</v>
      </c>
      <c r="DO68" s="908">
        <f t="shared" ca="1" si="63"/>
        <v>1756326.5606477791</v>
      </c>
      <c r="DP68" s="908">
        <f t="shared" ca="1" si="63"/>
        <v>2346573.9893548191</v>
      </c>
      <c r="DQ68" s="908">
        <f t="shared" ca="1" si="63"/>
        <v>2941820.8552902108</v>
      </c>
      <c r="DR68" s="908">
        <f t="shared" ca="1" si="63"/>
        <v>0</v>
      </c>
      <c r="DS68" s="908">
        <f t="shared" ca="1" si="63"/>
        <v>586780.87618816784</v>
      </c>
      <c r="DT68" s="908">
        <f t="shared" ca="1" si="63"/>
        <v>1183559.9086313392</v>
      </c>
      <c r="DU68" s="908">
        <f t="shared" ref="DU68:ER68" ca="1" si="64">DT71</f>
        <v>1790084.7976648277</v>
      </c>
      <c r="DV68" s="908">
        <f t="shared" ca="1" si="64"/>
        <v>2407083.9139531641</v>
      </c>
      <c r="DW68" s="908">
        <f t="shared" ca="1" si="64"/>
        <v>3029165.9886401435</v>
      </c>
      <c r="DX68" s="908">
        <f t="shared" ca="1" si="64"/>
        <v>0</v>
      </c>
      <c r="DY68" s="908">
        <f t="shared" ca="1" si="64"/>
        <v>625405.75693671266</v>
      </c>
      <c r="DZ68" s="908">
        <f t="shared" ca="1" si="64"/>
        <v>1255921.9458544441</v>
      </c>
      <c r="EA68" s="908">
        <f t="shared" ca="1" si="64"/>
        <v>1891563.4721798054</v>
      </c>
      <c r="EB68" s="908">
        <f t="shared" ca="1" si="64"/>
        <v>2526987.7532312935</v>
      </c>
      <c r="EC68" s="908">
        <f t="shared" ca="1" si="64"/>
        <v>3167552.8437261339</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45263706.729123585</v>
      </c>
      <c r="L69" s="98"/>
      <c r="M69" s="920">
        <f>SUM(M62:M63)+M65</f>
        <v>0</v>
      </c>
      <c r="N69" s="920">
        <f t="shared" ref="N69:AS69" ca="1" si="65">SUM(N62:N63)</f>
        <v>186984.24815451948</v>
      </c>
      <c r="O69" s="920">
        <f t="shared" ca="1" si="65"/>
        <v>198009.69823059638</v>
      </c>
      <c r="P69" s="920">
        <f t="shared" ca="1" si="65"/>
        <v>11237.012624272262</v>
      </c>
      <c r="Q69" s="920">
        <f t="shared" ca="1" si="65"/>
        <v>149336.08037986816</v>
      </c>
      <c r="R69" s="920">
        <f t="shared" ca="1" si="65"/>
        <v>221901.82681128068</v>
      </c>
      <c r="S69" s="920">
        <f t="shared" ca="1" si="65"/>
        <v>264703.35752948245</v>
      </c>
      <c r="T69" s="920">
        <f t="shared" ca="1" si="65"/>
        <v>115485.48729343922</v>
      </c>
      <c r="U69" s="920">
        <f t="shared" ca="1" si="65"/>
        <v>291036.78657569946</v>
      </c>
      <c r="V69" s="920">
        <f t="shared" ca="1" si="65"/>
        <v>295727.03593244427</v>
      </c>
      <c r="W69" s="920">
        <f t="shared" ca="1" si="65"/>
        <v>291457.89917555812</v>
      </c>
      <c r="X69" s="920">
        <f t="shared" ca="1" si="65"/>
        <v>295604.73548274522</v>
      </c>
      <c r="Y69" s="920">
        <f t="shared" ca="1" si="65"/>
        <v>278563.80018263392</v>
      </c>
      <c r="Z69" s="920">
        <f t="shared" ca="1" si="65"/>
        <v>264041.911334106</v>
      </c>
      <c r="AA69" s="920">
        <f t="shared" ca="1" si="65"/>
        <v>264288.83452787227</v>
      </c>
      <c r="AB69" s="920">
        <f t="shared" ca="1" si="65"/>
        <v>72491.620806994732</v>
      </c>
      <c r="AC69" s="920">
        <f t="shared" ca="1" si="65"/>
        <v>165367.25017331017</v>
      </c>
      <c r="AD69" s="920">
        <f t="shared" ca="1" si="65"/>
        <v>239706.39238939108</v>
      </c>
      <c r="AE69" s="920">
        <f t="shared" ca="1" si="65"/>
        <v>283537.09465145925</v>
      </c>
      <c r="AF69" s="920">
        <f t="shared" ca="1" si="65"/>
        <v>132602.74182730122</v>
      </c>
      <c r="AG69" s="920">
        <f t="shared" ca="1" si="65"/>
        <v>312507.71173507313</v>
      </c>
      <c r="AH69" s="920">
        <f t="shared" ca="1" si="65"/>
        <v>317280.00305961061</v>
      </c>
      <c r="AI69" s="920">
        <f t="shared" ca="1" si="65"/>
        <v>312908.46855315496</v>
      </c>
      <c r="AJ69" s="920">
        <f t="shared" ca="1" si="65"/>
        <v>317123.67142473836</v>
      </c>
      <c r="AK69" s="920">
        <f t="shared" ca="1" si="65"/>
        <v>299567.65121456189</v>
      </c>
      <c r="AL69" s="920">
        <f t="shared" ca="1" si="65"/>
        <v>296536.12260418897</v>
      </c>
      <c r="AM69" s="920">
        <f t="shared" ca="1" si="65"/>
        <v>276314.1149253014</v>
      </c>
      <c r="AN69" s="920">
        <f t="shared" ca="1" si="65"/>
        <v>256016.15628880344</v>
      </c>
      <c r="AO69" s="920">
        <f t="shared" ca="1" si="65"/>
        <v>320169.20729392988</v>
      </c>
      <c r="AP69" s="920">
        <f t="shared" ca="1" si="65"/>
        <v>252099.00379936886</v>
      </c>
      <c r="AQ69" s="920">
        <f t="shared" ca="1" si="65"/>
        <v>297041.60840912629</v>
      </c>
      <c r="AR69" s="920">
        <f t="shared" ca="1" si="65"/>
        <v>324301.11221579532</v>
      </c>
      <c r="AS69" s="920">
        <f t="shared" ca="1" si="65"/>
        <v>-734428.73831003159</v>
      </c>
      <c r="AT69" s="920">
        <f t="shared" ref="AT69:BY69" ca="1" si="66">SUM(AT62:AT63)</f>
        <v>-706557.90970006085</v>
      </c>
      <c r="AU69" s="920">
        <f t="shared" ca="1" si="66"/>
        <v>-778886.52943908097</v>
      </c>
      <c r="AV69" s="920">
        <f t="shared" ca="1" si="66"/>
        <v>-709698.31448046758</v>
      </c>
      <c r="AW69" s="920">
        <f t="shared" ca="1" si="66"/>
        <v>-730969.49193919194</v>
      </c>
      <c r="AX69" s="920">
        <f t="shared" ca="1" si="66"/>
        <v>336537.38315655023</v>
      </c>
      <c r="AY69" s="920">
        <f t="shared" ca="1" si="66"/>
        <v>344985.28778514953</v>
      </c>
      <c r="AZ69" s="920">
        <f t="shared" ca="1" si="66"/>
        <v>347204.43097879097</v>
      </c>
      <c r="BA69" s="920">
        <f t="shared" ca="1" si="66"/>
        <v>340290.03121615353</v>
      </c>
      <c r="BB69" s="920">
        <f t="shared" ca="1" si="66"/>
        <v>298132.6590073586</v>
      </c>
      <c r="BC69" s="920">
        <f t="shared" ca="1" si="66"/>
        <v>344247.22009014001</v>
      </c>
      <c r="BD69" s="920">
        <f t="shared" ca="1" si="66"/>
        <v>371991.11657316913</v>
      </c>
      <c r="BE69" s="920">
        <f t="shared" ca="1" si="66"/>
        <v>377034.12552398571</v>
      </c>
      <c r="BF69" s="920">
        <f t="shared" ca="1" si="66"/>
        <v>381533.45052572456</v>
      </c>
      <c r="BG69" s="920">
        <f t="shared" ca="1" si="66"/>
        <v>379931.03975282365</v>
      </c>
      <c r="BH69" s="920">
        <f t="shared" ca="1" si="66"/>
        <v>384439.81156428764</v>
      </c>
      <c r="BI69" s="920">
        <f t="shared" ca="1" si="66"/>
        <v>387861.5722455919</v>
      </c>
      <c r="BJ69" s="920">
        <f t="shared" ca="1" si="66"/>
        <v>374837.27594168356</v>
      </c>
      <c r="BK69" s="920">
        <f t="shared" ca="1" si="66"/>
        <v>383529.96697928791</v>
      </c>
      <c r="BL69" s="920">
        <f t="shared" ca="1" si="66"/>
        <v>392359.99092771485</v>
      </c>
      <c r="BM69" s="920">
        <f t="shared" ca="1" si="66"/>
        <v>400757.43322129082</v>
      </c>
      <c r="BN69" s="920">
        <f t="shared" ca="1" si="66"/>
        <v>329282.64739696367</v>
      </c>
      <c r="BO69" s="920">
        <f t="shared" ca="1" si="66"/>
        <v>376542.06404642586</v>
      </c>
      <c r="BP69" s="920">
        <f t="shared" ca="1" si="66"/>
        <v>406054.92172926839</v>
      </c>
      <c r="BQ69" s="920">
        <f t="shared" ca="1" si="66"/>
        <v>410646.77453157585</v>
      </c>
      <c r="BR69" s="920">
        <f t="shared" ca="1" si="66"/>
        <v>415252.02023788996</v>
      </c>
      <c r="BS69" s="920">
        <f t="shared" ca="1" si="66"/>
        <v>413788.94141060009</v>
      </c>
      <c r="BT69" s="920">
        <f t="shared" ca="1" si="66"/>
        <v>418404.37418378296</v>
      </c>
      <c r="BU69" s="920">
        <f t="shared" ca="1" si="66"/>
        <v>421949.60934699711</v>
      </c>
      <c r="BV69" s="920">
        <f t="shared" ca="1" si="66"/>
        <v>462512.34967445058</v>
      </c>
      <c r="BW69" s="920">
        <f t="shared" ca="1" si="66"/>
        <v>471508.371035869</v>
      </c>
      <c r="BX69" s="920">
        <f t="shared" ca="1" si="66"/>
        <v>480557.55164420069</v>
      </c>
      <c r="BY69" s="920">
        <f t="shared" ca="1" si="66"/>
        <v>489818.53670422814</v>
      </c>
      <c r="BZ69" s="920">
        <f t="shared" ref="BZ69:DE69" ca="1" si="67">SUM(BZ62:BZ63)</f>
        <v>416555.1852622719</v>
      </c>
      <c r="CA69" s="920">
        <f t="shared" ca="1" si="67"/>
        <v>464994.38640936487</v>
      </c>
      <c r="CB69" s="920">
        <f t="shared" ca="1" si="67"/>
        <v>496159.3134352382</v>
      </c>
      <c r="CC69" s="920">
        <f t="shared" ca="1" si="67"/>
        <v>500866.9232343625</v>
      </c>
      <c r="CD69" s="920">
        <f t="shared" ca="1" si="67"/>
        <v>505588.26356206764</v>
      </c>
      <c r="CE69" s="920">
        <f t="shared" ca="1" si="67"/>
        <v>504750.06234137225</v>
      </c>
      <c r="CF69" s="920">
        <f t="shared" ca="1" si="67"/>
        <v>509483.77646528115</v>
      </c>
      <c r="CG69" s="920">
        <f t="shared" ca="1" si="67"/>
        <v>513163.89285582758</v>
      </c>
      <c r="CH69" s="920">
        <f t="shared" ca="1" si="67"/>
        <v>500136.27848234447</v>
      </c>
      <c r="CI69" s="920">
        <f t="shared" ca="1" si="67"/>
        <v>509448.41639675584</v>
      </c>
      <c r="CJ69" s="920">
        <f t="shared" ca="1" si="67"/>
        <v>518729.28803455248</v>
      </c>
      <c r="CK69" s="920">
        <f t="shared" ca="1" si="67"/>
        <v>528404.93227549153</v>
      </c>
      <c r="CL69" s="920">
        <f t="shared" ca="1" si="67"/>
        <v>453313.96482173936</v>
      </c>
      <c r="CM69" s="920">
        <f t="shared" ca="1" si="67"/>
        <v>502968.1253444372</v>
      </c>
      <c r="CN69" s="920">
        <f t="shared" ca="1" si="67"/>
        <v>535193.13474426302</v>
      </c>
      <c r="CO69" s="920">
        <f t="shared" ca="1" si="67"/>
        <v>540023.24520605011</v>
      </c>
      <c r="CP69" s="920">
        <f t="shared" ca="1" si="67"/>
        <v>544867.44349001744</v>
      </c>
      <c r="CQ69" s="920">
        <f t="shared" ca="1" si="67"/>
        <v>544196.16968976031</v>
      </c>
      <c r="CR69" s="920">
        <f t="shared" ca="1" si="67"/>
        <v>549053.61317662534</v>
      </c>
      <c r="CS69" s="920">
        <f t="shared" ca="1" si="67"/>
        <v>552873.83087342989</v>
      </c>
      <c r="CT69" s="920">
        <f t="shared" ca="1" si="67"/>
        <v>540361.36583006405</v>
      </c>
      <c r="CU69" s="920">
        <f t="shared" ca="1" si="67"/>
        <v>550000.78191616153</v>
      </c>
      <c r="CV69" s="920">
        <f t="shared" ca="1" si="67"/>
        <v>559524.20723208622</v>
      </c>
      <c r="CW69" s="920">
        <f t="shared" ca="1" si="67"/>
        <v>569629.99717710307</v>
      </c>
      <c r="CX69" s="920">
        <f t="shared" ca="1" si="67"/>
        <v>492670.78252999741</v>
      </c>
      <c r="CY69" s="920">
        <f t="shared" ca="1" si="67"/>
        <v>543575.35038748267</v>
      </c>
      <c r="CZ69" s="920">
        <f t="shared" ca="1" si="67"/>
        <v>-59974.349688226474</v>
      </c>
      <c r="DA69" s="920">
        <f t="shared" ca="1" si="67"/>
        <v>543094.88611439813</v>
      </c>
      <c r="DB69" s="920">
        <f t="shared" ca="1" si="67"/>
        <v>547946.34773709648</v>
      </c>
      <c r="DC69" s="920">
        <f t="shared" ca="1" si="67"/>
        <v>470148.06627823121</v>
      </c>
      <c r="DD69" s="920">
        <f t="shared" ca="1" si="67"/>
        <v>552151.79935526638</v>
      </c>
      <c r="DE69" s="920">
        <f t="shared" ca="1" si="67"/>
        <v>555995.15556883928</v>
      </c>
      <c r="DF69" s="920">
        <f t="shared" ref="DF69:DT69" ca="1" si="68">SUM(DF62:DF63)</f>
        <v>543502.10941317712</v>
      </c>
      <c r="DG69" s="920">
        <f t="shared" ca="1" si="68"/>
        <v>553161.49376063177</v>
      </c>
      <c r="DH69" s="920">
        <f t="shared" ca="1" si="68"/>
        <v>545068.70040010335</v>
      </c>
      <c r="DI69" s="920">
        <f t="shared" ca="1" si="68"/>
        <v>530915.4507275325</v>
      </c>
      <c r="DJ69" s="920">
        <f t="shared" ca="1" si="68"/>
        <v>577942.51251414791</v>
      </c>
      <c r="DK69" s="920">
        <f t="shared" ca="1" si="68"/>
        <v>556814.94513285963</v>
      </c>
      <c r="DL69" s="920">
        <f t="shared" ca="1" si="68"/>
        <v>580047.00460461585</v>
      </c>
      <c r="DM69" s="920">
        <f t="shared" ca="1" si="68"/>
        <v>585647.33215812442</v>
      </c>
      <c r="DN69" s="920">
        <f t="shared" ca="1" si="68"/>
        <v>590632.22388503887</v>
      </c>
      <c r="DO69" s="920">
        <f t="shared" ca="1" si="68"/>
        <v>590247.42870704003</v>
      </c>
      <c r="DP69" s="920">
        <f t="shared" ca="1" si="68"/>
        <v>595246.86593539175</v>
      </c>
      <c r="DQ69" s="920">
        <f t="shared" ca="1" si="68"/>
        <v>599240.79675860237</v>
      </c>
      <c r="DR69" s="920">
        <f t="shared" ca="1" si="68"/>
        <v>586780.87618816784</v>
      </c>
      <c r="DS69" s="920">
        <f t="shared" ca="1" si="68"/>
        <v>596779.03244317137</v>
      </c>
      <c r="DT69" s="920">
        <f t="shared" ca="1" si="68"/>
        <v>606524.88903348858</v>
      </c>
      <c r="DU69" s="920">
        <f t="shared" ref="DU69:ER69" ca="1" si="69">SUM(DU62:DU63)</f>
        <v>616999.11628833658</v>
      </c>
      <c r="DV69" s="920">
        <f t="shared" ca="1" si="69"/>
        <v>622082.07468697929</v>
      </c>
      <c r="DW69" s="920">
        <f t="shared" ca="1" si="69"/>
        <v>632511.66986039735</v>
      </c>
      <c r="DX69" s="920">
        <f t="shared" ca="1" si="69"/>
        <v>625405.75693671266</v>
      </c>
      <c r="DY69" s="920">
        <f t="shared" ca="1" si="69"/>
        <v>630516.1889177314</v>
      </c>
      <c r="DZ69" s="920">
        <f t="shared" ca="1" si="69"/>
        <v>635641.52632536134</v>
      </c>
      <c r="EA69" s="920">
        <f t="shared" ca="1" si="69"/>
        <v>635424.28105148801</v>
      </c>
      <c r="EB69" s="920">
        <f t="shared" ca="1" si="69"/>
        <v>640565.09049484017</v>
      </c>
      <c r="EC69" s="920">
        <f t="shared" ca="1" si="69"/>
        <v>644716.10719014704</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45263706.729123585</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1032172.2237300194</v>
      </c>
      <c r="T70" s="920">
        <f ca="1">MAX(SUM(T68:T69),)*Index!S$48</f>
        <v>0</v>
      </c>
      <c r="U70" s="920">
        <f ca="1">MAX(SUM(U68:U69),)*Index!T$48</f>
        <v>0</v>
      </c>
      <c r="V70" s="920">
        <f ca="1">MAX(SUM(V68:V69),)*Index!U$48</f>
        <v>0</v>
      </c>
      <c r="W70" s="920">
        <f ca="1">MAX(SUM(W68:W69),)*Index!V$48</f>
        <v>0</v>
      </c>
      <c r="X70" s="920">
        <f ca="1">MAX(SUM(X68:X69),)*Index!W$48</f>
        <v>0</v>
      </c>
      <c r="Y70" s="920">
        <f ca="1">MAX(SUM(Y68:Y69),)*Index!X$48</f>
        <v>1567875.7446425203</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1289433.1038831335</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1691990.2478144402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1698176.2133207188</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957948.25676668703</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2257309.3785133664</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2486096.641440114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2785946.380730385</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3030012.2318941494</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3013001.0053553209</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3266207.4371801456</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3255762.485072895</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2609361.9053656049</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3307405.2119484521</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3541061.6520488132</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3661677.658500541</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3812268.950916281</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186984.24815451948</v>
      </c>
      <c r="O71" s="171">
        <f t="shared" ca="1" si="70"/>
        <v>384993.94638511585</v>
      </c>
      <c r="P71" s="171">
        <f t="shared" ca="1" si="70"/>
        <v>396230.95900938811</v>
      </c>
      <c r="Q71" s="171">
        <f t="shared" ca="1" si="70"/>
        <v>545567.03938925627</v>
      </c>
      <c r="R71" s="171">
        <f t="shared" ca="1" si="70"/>
        <v>767468.86620053696</v>
      </c>
      <c r="S71" s="171">
        <f t="shared" ca="1" si="70"/>
        <v>0</v>
      </c>
      <c r="T71" s="171">
        <f t="shared" ca="1" si="70"/>
        <v>115485.48729343922</v>
      </c>
      <c r="U71" s="171">
        <f t="shared" ca="1" si="70"/>
        <v>406522.27386913868</v>
      </c>
      <c r="V71" s="171">
        <f t="shared" ca="1" si="70"/>
        <v>702249.30980158295</v>
      </c>
      <c r="W71" s="171">
        <f t="shared" ca="1" si="70"/>
        <v>993707.20897714107</v>
      </c>
      <c r="X71" s="171">
        <f t="shared" ca="1" si="70"/>
        <v>1289311.9444598863</v>
      </c>
      <c r="Y71" s="171">
        <f t="shared" ca="1" si="70"/>
        <v>0</v>
      </c>
      <c r="Z71" s="171">
        <f t="shared" ca="1" si="70"/>
        <v>264041.911334106</v>
      </c>
      <c r="AA71" s="171">
        <f t="shared" ca="1" si="70"/>
        <v>528330.74586197827</v>
      </c>
      <c r="AB71" s="171">
        <f t="shared" ca="1" si="70"/>
        <v>600822.366668973</v>
      </c>
      <c r="AC71" s="171">
        <f t="shared" ca="1" si="70"/>
        <v>766189.61684228317</v>
      </c>
      <c r="AD71" s="171">
        <f t="shared" ca="1" si="70"/>
        <v>1005896.0092316743</v>
      </c>
      <c r="AE71" s="171">
        <f t="shared" ca="1" si="70"/>
        <v>0</v>
      </c>
      <c r="AF71" s="171">
        <f t="shared" ca="1" si="70"/>
        <v>132602.74182730122</v>
      </c>
      <c r="AG71" s="171">
        <f t="shared" ca="1" si="70"/>
        <v>445110.45356237434</v>
      </c>
      <c r="AH71" s="171">
        <f t="shared" ca="1" si="70"/>
        <v>762390.45662198495</v>
      </c>
      <c r="AI71" s="171">
        <f t="shared" ca="1" si="70"/>
        <v>1075298.9251751399</v>
      </c>
      <c r="AJ71" s="171">
        <f t="shared" ca="1" si="70"/>
        <v>1392422.5965998783</v>
      </c>
      <c r="AK71" s="171">
        <f t="shared" ca="1" si="70"/>
        <v>0</v>
      </c>
      <c r="AL71" s="171">
        <f t="shared" ca="1" si="70"/>
        <v>296536.12260418897</v>
      </c>
      <c r="AM71" s="171">
        <f t="shared" ca="1" si="70"/>
        <v>572850.23752949038</v>
      </c>
      <c r="AN71" s="171">
        <f t="shared" ca="1" si="70"/>
        <v>828866.39381829381</v>
      </c>
      <c r="AO71" s="171">
        <f t="shared" ca="1" si="70"/>
        <v>1149035.6011122237</v>
      </c>
      <c r="AP71" s="171">
        <f t="shared" ca="1" si="70"/>
        <v>1401134.6049115926</v>
      </c>
      <c r="AQ71" s="171">
        <f t="shared" ca="1" si="70"/>
        <v>0</v>
      </c>
      <c r="AR71" s="171">
        <f t="shared" ca="1" si="70"/>
        <v>324301.11221579532</v>
      </c>
      <c r="AS71" s="171">
        <f t="shared" ca="1" si="70"/>
        <v>-410127.62609423627</v>
      </c>
      <c r="AT71" s="171">
        <f t="shared" ca="1" si="70"/>
        <v>-1116685.5357942972</v>
      </c>
      <c r="AU71" s="171">
        <f t="shared" ca="1" si="70"/>
        <v>-1895572.0652333782</v>
      </c>
      <c r="AV71" s="171">
        <f t="shared" ca="1" si="70"/>
        <v>-2605270.3797138459</v>
      </c>
      <c r="AW71" s="171">
        <f t="shared" ca="1" si="70"/>
        <v>-3336239.8716530381</v>
      </c>
      <c r="AX71" s="171">
        <f t="shared" ca="1" si="70"/>
        <v>-2999702.488496488</v>
      </c>
      <c r="AY71" s="171">
        <f t="shared" ca="1" si="70"/>
        <v>-2654717.2007113383</v>
      </c>
      <c r="AZ71" s="171">
        <f t="shared" ca="1" si="70"/>
        <v>-2307512.7697325475</v>
      </c>
      <c r="BA71" s="171">
        <f t="shared" ca="1" si="70"/>
        <v>-1967222.738516394</v>
      </c>
      <c r="BB71" s="171">
        <f t="shared" ca="1" si="70"/>
        <v>-1669090.0795090355</v>
      </c>
      <c r="BC71" s="171">
        <f t="shared" ca="1" si="70"/>
        <v>-1324842.8594188956</v>
      </c>
      <c r="BD71" s="171">
        <f t="shared" ca="1" si="70"/>
        <v>-952851.74284572643</v>
      </c>
      <c r="BE71" s="171">
        <f t="shared" ca="1" si="70"/>
        <v>-575817.61732174072</v>
      </c>
      <c r="BF71" s="171">
        <f t="shared" ca="1" si="70"/>
        <v>-194284.16679601616</v>
      </c>
      <c r="BG71" s="171">
        <f t="shared" ca="1" si="70"/>
        <v>185646.87295680749</v>
      </c>
      <c r="BH71" s="171">
        <f t="shared" ca="1" si="70"/>
        <v>570086.68452109513</v>
      </c>
      <c r="BI71" s="171">
        <f t="shared" ca="1" si="70"/>
        <v>0</v>
      </c>
      <c r="BJ71" s="171">
        <f t="shared" ca="1" si="70"/>
        <v>374837.27594168356</v>
      </c>
      <c r="BK71" s="171">
        <f t="shared" ca="1" si="70"/>
        <v>758367.24292097148</v>
      </c>
      <c r="BL71" s="171">
        <f t="shared" ca="1" si="70"/>
        <v>1150727.2338486863</v>
      </c>
      <c r="BM71" s="171">
        <f t="shared" ca="1" si="70"/>
        <v>1551484.6670699771</v>
      </c>
      <c r="BN71" s="171">
        <f t="shared" ca="1" si="70"/>
        <v>1880767.3144669407</v>
      </c>
      <c r="BO71" s="171">
        <f t="shared" ca="1" si="70"/>
        <v>0</v>
      </c>
      <c r="BP71" s="171">
        <f t="shared" ca="1" si="70"/>
        <v>406054.92172926839</v>
      </c>
      <c r="BQ71" s="171">
        <f t="shared" ca="1" si="70"/>
        <v>816701.69626084424</v>
      </c>
      <c r="BR71" s="171">
        <f t="shared" ca="1" si="70"/>
        <v>1231953.7164987342</v>
      </c>
      <c r="BS71" s="171">
        <f t="shared" ca="1" si="70"/>
        <v>1645742.6579093342</v>
      </c>
      <c r="BT71" s="171">
        <f t="shared" ca="1" si="70"/>
        <v>2064147.032093117</v>
      </c>
      <c r="BU71" s="171">
        <f t="shared" ca="1" si="70"/>
        <v>0</v>
      </c>
      <c r="BV71" s="171">
        <f t="shared" ca="1" si="70"/>
        <v>462512.34967445058</v>
      </c>
      <c r="BW71" s="171">
        <f t="shared" ca="1" si="70"/>
        <v>934020.72071031958</v>
      </c>
      <c r="BX71" s="171">
        <f t="shared" ca="1" si="70"/>
        <v>1414578.2723545204</v>
      </c>
      <c r="BY71" s="171">
        <f t="shared" ca="1" si="70"/>
        <v>1904396.8090587487</v>
      </c>
      <c r="BZ71" s="171">
        <f t="shared" ref="BZ71:DT71" ca="1" si="71">BZ68+BZ69-BZ70</f>
        <v>2320951.9943210203</v>
      </c>
      <c r="CA71" s="171">
        <f t="shared" ca="1" si="71"/>
        <v>0</v>
      </c>
      <c r="CB71" s="171">
        <f t="shared" ca="1" si="71"/>
        <v>496159.3134352382</v>
      </c>
      <c r="CC71" s="171">
        <f t="shared" ca="1" si="71"/>
        <v>997026.23666960071</v>
      </c>
      <c r="CD71" s="171">
        <f t="shared" ca="1" si="71"/>
        <v>1502614.5002316684</v>
      </c>
      <c r="CE71" s="171">
        <f t="shared" ca="1" si="71"/>
        <v>2007364.5625730406</v>
      </c>
      <c r="CF71" s="171">
        <f t="shared" ca="1" si="71"/>
        <v>2516848.3390383217</v>
      </c>
      <c r="CG71" s="171">
        <f t="shared" ca="1" si="71"/>
        <v>0</v>
      </c>
      <c r="CH71" s="171">
        <f t="shared" ca="1" si="71"/>
        <v>500136.27848234447</v>
      </c>
      <c r="CI71" s="171">
        <f t="shared" ca="1" si="71"/>
        <v>1009584.6948791003</v>
      </c>
      <c r="CJ71" s="171">
        <f t="shared" ca="1" si="71"/>
        <v>1528313.9829136529</v>
      </c>
      <c r="CK71" s="171">
        <f t="shared" ca="1" si="71"/>
        <v>2056718.9151891444</v>
      </c>
      <c r="CL71" s="171">
        <f t="shared" ca="1" si="71"/>
        <v>2510032.8800108838</v>
      </c>
      <c r="CM71" s="171">
        <f t="shared" ca="1" si="71"/>
        <v>0</v>
      </c>
      <c r="CN71" s="171">
        <f t="shared" ca="1" si="71"/>
        <v>535193.13474426302</v>
      </c>
      <c r="CO71" s="171">
        <f t="shared" ca="1" si="71"/>
        <v>1075216.3799503131</v>
      </c>
      <c r="CP71" s="171">
        <f t="shared" ca="1" si="71"/>
        <v>1620083.8234403306</v>
      </c>
      <c r="CQ71" s="171">
        <f t="shared" ca="1" si="71"/>
        <v>2164279.9931300906</v>
      </c>
      <c r="CR71" s="171">
        <f t="shared" ca="1" si="71"/>
        <v>2713333.6063067159</v>
      </c>
      <c r="CS71" s="171">
        <f t="shared" ca="1" si="71"/>
        <v>0</v>
      </c>
      <c r="CT71" s="171">
        <f t="shared" ca="1" si="71"/>
        <v>540361.36583006405</v>
      </c>
      <c r="CU71" s="171">
        <f t="shared" ca="1" si="71"/>
        <v>1090362.1477462256</v>
      </c>
      <c r="CV71" s="171">
        <f t="shared" ca="1" si="71"/>
        <v>1649886.3549783118</v>
      </c>
      <c r="CW71" s="171">
        <f t="shared" ca="1" si="71"/>
        <v>2219516.3521554149</v>
      </c>
      <c r="CX71" s="171">
        <f t="shared" ca="1" si="71"/>
        <v>2712187.134685412</v>
      </c>
      <c r="CY71" s="171">
        <f t="shared" ca="1" si="71"/>
        <v>0</v>
      </c>
      <c r="CZ71" s="171">
        <f t="shared" ca="1" si="71"/>
        <v>-59974.349688226474</v>
      </c>
      <c r="DA71" s="171">
        <f t="shared" ca="1" si="71"/>
        <v>483120.53642617166</v>
      </c>
      <c r="DB71" s="171">
        <f t="shared" ca="1" si="71"/>
        <v>1031066.8841632681</v>
      </c>
      <c r="DC71" s="171">
        <f t="shared" ca="1" si="71"/>
        <v>1501214.9504414992</v>
      </c>
      <c r="DD71" s="171">
        <f t="shared" ca="1" si="71"/>
        <v>2053366.7497967656</v>
      </c>
      <c r="DE71" s="171">
        <f t="shared" ca="1" si="71"/>
        <v>0</v>
      </c>
      <c r="DF71" s="171">
        <f t="shared" ca="1" si="71"/>
        <v>543502.10941317712</v>
      </c>
      <c r="DG71" s="171">
        <f t="shared" ca="1" si="71"/>
        <v>1096663.6031738089</v>
      </c>
      <c r="DH71" s="171">
        <f t="shared" ca="1" si="71"/>
        <v>1641732.3035739122</v>
      </c>
      <c r="DI71" s="171">
        <f t="shared" ca="1" si="71"/>
        <v>2172647.7543014446</v>
      </c>
      <c r="DJ71" s="171">
        <f t="shared" ca="1" si="71"/>
        <v>2750590.2668155925</v>
      </c>
      <c r="DK71" s="171">
        <f t="shared" ca="1" si="71"/>
        <v>0</v>
      </c>
      <c r="DL71" s="171">
        <f t="shared" ca="1" si="71"/>
        <v>580047.00460461585</v>
      </c>
      <c r="DM71" s="171">
        <f t="shared" ca="1" si="71"/>
        <v>1165694.3367627403</v>
      </c>
      <c r="DN71" s="171">
        <f t="shared" ca="1" si="71"/>
        <v>1756326.5606477791</v>
      </c>
      <c r="DO71" s="171">
        <f t="shared" ca="1" si="71"/>
        <v>2346573.9893548191</v>
      </c>
      <c r="DP71" s="171">
        <f t="shared" ca="1" si="71"/>
        <v>2941820.8552902108</v>
      </c>
      <c r="DQ71" s="171">
        <f t="shared" ca="1" si="71"/>
        <v>0</v>
      </c>
      <c r="DR71" s="171">
        <f t="shared" ca="1" si="71"/>
        <v>586780.87618816784</v>
      </c>
      <c r="DS71" s="171">
        <f t="shared" ca="1" si="71"/>
        <v>1183559.9086313392</v>
      </c>
      <c r="DT71" s="171">
        <f t="shared" ca="1" si="71"/>
        <v>1790084.7976648277</v>
      </c>
      <c r="DU71" s="171">
        <f t="shared" ref="DU71:ER71" ca="1" si="72">DU68+DU69-DU70</f>
        <v>2407083.9139531641</v>
      </c>
      <c r="DV71" s="171">
        <f t="shared" ca="1" si="72"/>
        <v>3029165.9886401435</v>
      </c>
      <c r="DW71" s="171">
        <f t="shared" ca="1" si="72"/>
        <v>0</v>
      </c>
      <c r="DX71" s="171">
        <f t="shared" ca="1" si="72"/>
        <v>625405.75693671266</v>
      </c>
      <c r="DY71" s="171">
        <f t="shared" ca="1" si="72"/>
        <v>1255921.9458544441</v>
      </c>
      <c r="DZ71" s="171">
        <f t="shared" ca="1" si="72"/>
        <v>1891563.4721798054</v>
      </c>
      <c r="EA71" s="171">
        <f t="shared" ca="1" si="72"/>
        <v>2526987.7532312935</v>
      </c>
      <c r="EB71" s="171">
        <f t="shared" ca="1" si="72"/>
        <v>3167552.8437261339</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1094</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4">
        <f>'A&amp;R'!H111</f>
        <v>7.0000000000000007E-2</v>
      </c>
      <c r="H74" s="913">
        <f>'A&amp;R'!G111</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1095</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0</v>
      </c>
      <c r="BE78" s="908">
        <f t="shared" ca="1" si="80"/>
        <v>312500</v>
      </c>
      <c r="BF78" s="908">
        <f t="shared" ca="1" si="80"/>
        <v>625000</v>
      </c>
      <c r="BG78" s="908">
        <f t="shared" ca="1" si="80"/>
        <v>937500</v>
      </c>
      <c r="BH78" s="908">
        <f t="shared" ca="1" si="80"/>
        <v>1250000</v>
      </c>
      <c r="BI78" s="908">
        <f t="shared" ca="1" si="80"/>
        <v>1562500</v>
      </c>
      <c r="BJ78" s="908">
        <f t="shared" ca="1" si="80"/>
        <v>0</v>
      </c>
      <c r="BK78" s="908">
        <f t="shared" ca="1" si="80"/>
        <v>312500</v>
      </c>
      <c r="BL78" s="908">
        <f t="shared" ca="1" si="80"/>
        <v>625000</v>
      </c>
      <c r="BM78" s="908">
        <f t="shared" ca="1" si="80"/>
        <v>937500</v>
      </c>
      <c r="BN78" s="908">
        <f t="shared" ca="1" si="80"/>
        <v>1250000</v>
      </c>
      <c r="BO78" s="908">
        <f t="shared" ca="1" si="80"/>
        <v>1562500</v>
      </c>
      <c r="BP78" s="908">
        <f t="shared" ca="1" si="80"/>
        <v>18943.696118907072</v>
      </c>
      <c r="BQ78" s="908">
        <f t="shared" ca="1" si="80"/>
        <v>331443.69611890707</v>
      </c>
      <c r="BR78" s="908">
        <f t="shared" ca="1" si="80"/>
        <v>643943.69611890707</v>
      </c>
      <c r="BS78" s="908">
        <f t="shared" ca="1" si="80"/>
        <v>956443.69611890707</v>
      </c>
      <c r="BT78" s="908">
        <f t="shared" ca="1" si="80"/>
        <v>1268943.6961189071</v>
      </c>
      <c r="BU78" s="908">
        <f t="shared" ca="1" si="80"/>
        <v>1581443.6961189071</v>
      </c>
      <c r="BV78" s="908">
        <f t="shared" ca="1" si="80"/>
        <v>132214.40231923852</v>
      </c>
      <c r="BW78" s="908">
        <f t="shared" ca="1" si="80"/>
        <v>444714.40231923852</v>
      </c>
      <c r="BX78" s="908">
        <f t="shared" ca="1" si="80"/>
        <v>757214.40231923852</v>
      </c>
      <c r="BY78" s="908">
        <f t="shared" ref="BY78:DD78" ca="1" si="81">BX81</f>
        <v>1069714.4023192385</v>
      </c>
      <c r="BZ78" s="908">
        <f t="shared" ca="1" si="81"/>
        <v>1382214.4023192385</v>
      </c>
      <c r="CA78" s="908">
        <f t="shared" ca="1" si="81"/>
        <v>1694714.4023192385</v>
      </c>
      <c r="CB78" s="908">
        <f t="shared" ca="1" si="81"/>
        <v>169132.02718360256</v>
      </c>
      <c r="CC78" s="908">
        <f t="shared" ca="1" si="81"/>
        <v>481632.02718360256</v>
      </c>
      <c r="CD78" s="908">
        <f t="shared" ca="1" si="81"/>
        <v>794132.02718360256</v>
      </c>
      <c r="CE78" s="908">
        <f t="shared" ca="1" si="81"/>
        <v>1106632.0271836026</v>
      </c>
      <c r="CF78" s="908">
        <f t="shared" ca="1" si="81"/>
        <v>1419132.0271836026</v>
      </c>
      <c r="CG78" s="908">
        <f t="shared" ca="1" si="81"/>
        <v>1731632.0271836026</v>
      </c>
      <c r="CH78" s="908">
        <f t="shared" ca="1" si="81"/>
        <v>0</v>
      </c>
      <c r="CI78" s="908">
        <f t="shared" ca="1" si="81"/>
        <v>312500</v>
      </c>
      <c r="CJ78" s="908">
        <f t="shared" ca="1" si="81"/>
        <v>625000</v>
      </c>
      <c r="CK78" s="908">
        <f t="shared" ca="1" si="81"/>
        <v>937500</v>
      </c>
      <c r="CL78" s="908">
        <f t="shared" ca="1" si="81"/>
        <v>1250000</v>
      </c>
      <c r="CM78" s="908">
        <f t="shared" ca="1" si="81"/>
        <v>1562500</v>
      </c>
      <c r="CN78" s="908">
        <f t="shared" ca="1" si="81"/>
        <v>0</v>
      </c>
      <c r="CO78" s="908">
        <f t="shared" ca="1" si="81"/>
        <v>312500</v>
      </c>
      <c r="CP78" s="908">
        <f t="shared" ca="1" si="81"/>
        <v>625000</v>
      </c>
      <c r="CQ78" s="908">
        <f t="shared" ca="1" si="81"/>
        <v>937500</v>
      </c>
      <c r="CR78" s="908">
        <f t="shared" ca="1" si="81"/>
        <v>1250000</v>
      </c>
      <c r="CS78" s="908">
        <f t="shared" ca="1" si="81"/>
        <v>1562500</v>
      </c>
      <c r="CT78" s="908">
        <f t="shared" ca="1" si="81"/>
        <v>0</v>
      </c>
      <c r="CU78" s="908">
        <f t="shared" ca="1" si="81"/>
        <v>312500</v>
      </c>
      <c r="CV78" s="908">
        <f t="shared" ca="1" si="81"/>
        <v>625000</v>
      </c>
      <c r="CW78" s="908">
        <f t="shared" ca="1" si="81"/>
        <v>937500</v>
      </c>
      <c r="CX78" s="908">
        <f t="shared" ca="1" si="81"/>
        <v>1250000</v>
      </c>
      <c r="CY78" s="908">
        <f t="shared" ca="1" si="81"/>
        <v>1562500</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6">
        <f>'A&amp;R'!H112</f>
        <v>7.4999999999999997E-2</v>
      </c>
      <c r="H79" s="913">
        <f>'A&amp;R'!G112</f>
        <v>46691</v>
      </c>
      <c r="I79" s="921">
        <f>'A&amp;R'!S42</f>
        <v>7.4999999999999997E-2</v>
      </c>
      <c r="J79" s="914">
        <f ca="1">K69-K74</f>
        <v>28463706.729123581</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1875000</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1875000</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1856056.3038810929</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1761729.2937996686</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1838082.375135636</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2044132.0271836026</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1875000</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1875000</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1875000</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0</v>
      </c>
      <c r="BD81" s="171">
        <f t="shared" ca="1" si="84"/>
        <v>312500</v>
      </c>
      <c r="BE81" s="171">
        <f t="shared" ca="1" si="84"/>
        <v>625000</v>
      </c>
      <c r="BF81" s="171">
        <f t="shared" ca="1" si="84"/>
        <v>937500</v>
      </c>
      <c r="BG81" s="171">
        <f t="shared" ca="1" si="84"/>
        <v>1250000</v>
      </c>
      <c r="BH81" s="171">
        <f t="shared" ca="1" si="84"/>
        <v>1562500</v>
      </c>
      <c r="BI81" s="171">
        <f t="shared" ca="1" si="84"/>
        <v>0</v>
      </c>
      <c r="BJ81" s="171">
        <f t="shared" ca="1" si="84"/>
        <v>312500</v>
      </c>
      <c r="BK81" s="171">
        <f t="shared" ca="1" si="84"/>
        <v>625000</v>
      </c>
      <c r="BL81" s="171">
        <f t="shared" ca="1" si="84"/>
        <v>937500</v>
      </c>
      <c r="BM81" s="171">
        <f t="shared" ca="1" si="84"/>
        <v>1250000</v>
      </c>
      <c r="BN81" s="171">
        <f t="shared" ca="1" si="84"/>
        <v>1562500</v>
      </c>
      <c r="BO81" s="171">
        <f t="shared" ca="1" si="84"/>
        <v>18943.696118907072</v>
      </c>
      <c r="BP81" s="171">
        <f t="shared" ca="1" si="84"/>
        <v>331443.69611890707</v>
      </c>
      <c r="BQ81" s="171">
        <f t="shared" ca="1" si="84"/>
        <v>643943.69611890707</v>
      </c>
      <c r="BR81" s="171">
        <f t="shared" ca="1" si="84"/>
        <v>956443.69611890707</v>
      </c>
      <c r="BS81" s="171">
        <f t="shared" ca="1" si="84"/>
        <v>1268943.6961189071</v>
      </c>
      <c r="BT81" s="171">
        <f t="shared" ca="1" si="84"/>
        <v>1581443.6961189071</v>
      </c>
      <c r="BU81" s="171">
        <f t="shared" ca="1" si="84"/>
        <v>132214.40231923852</v>
      </c>
      <c r="BV81" s="171">
        <f t="shared" ca="1" si="84"/>
        <v>444714.40231923852</v>
      </c>
      <c r="BW81" s="171">
        <f t="shared" ca="1" si="84"/>
        <v>757214.40231923852</v>
      </c>
      <c r="BX81" s="171">
        <f t="shared" ca="1" si="84"/>
        <v>1069714.4023192385</v>
      </c>
      <c r="BY81" s="171">
        <f t="shared" ca="1" si="84"/>
        <v>1382214.4023192385</v>
      </c>
      <c r="BZ81" s="171">
        <f t="shared" ref="BZ81:EK81" ca="1" si="85">BZ78+BZ79-BZ80</f>
        <v>1694714.4023192385</v>
      </c>
      <c r="CA81" s="171">
        <f t="shared" ca="1" si="85"/>
        <v>169132.02718360256</v>
      </c>
      <c r="CB81" s="171">
        <f t="shared" ca="1" si="85"/>
        <v>481632.02718360256</v>
      </c>
      <c r="CC81" s="171">
        <f t="shared" ca="1" si="85"/>
        <v>794132.02718360256</v>
      </c>
      <c r="CD81" s="171">
        <f t="shared" ca="1" si="85"/>
        <v>1106632.0271836026</v>
      </c>
      <c r="CE81" s="171">
        <f t="shared" ca="1" si="85"/>
        <v>1419132.0271836026</v>
      </c>
      <c r="CF81" s="171">
        <f t="shared" ca="1" si="85"/>
        <v>1731632.0271836026</v>
      </c>
      <c r="CG81" s="171">
        <f t="shared" ca="1" si="85"/>
        <v>0</v>
      </c>
      <c r="CH81" s="171">
        <f t="shared" ca="1" si="85"/>
        <v>312500</v>
      </c>
      <c r="CI81" s="171">
        <f t="shared" ca="1" si="85"/>
        <v>625000</v>
      </c>
      <c r="CJ81" s="171">
        <f t="shared" ca="1" si="85"/>
        <v>937500</v>
      </c>
      <c r="CK81" s="171">
        <f t="shared" ca="1" si="85"/>
        <v>1250000</v>
      </c>
      <c r="CL81" s="171">
        <f t="shared" ca="1" si="85"/>
        <v>1562500</v>
      </c>
      <c r="CM81" s="171">
        <f t="shared" ca="1" si="85"/>
        <v>0</v>
      </c>
      <c r="CN81" s="171">
        <f t="shared" ca="1" si="85"/>
        <v>312500</v>
      </c>
      <c r="CO81" s="171">
        <f t="shared" ca="1" si="85"/>
        <v>625000</v>
      </c>
      <c r="CP81" s="171">
        <f t="shared" ca="1" si="85"/>
        <v>937500</v>
      </c>
      <c r="CQ81" s="171">
        <f t="shared" ca="1" si="85"/>
        <v>1250000</v>
      </c>
      <c r="CR81" s="171">
        <f t="shared" ca="1" si="85"/>
        <v>1562500</v>
      </c>
      <c r="CS81" s="171">
        <f t="shared" ca="1" si="85"/>
        <v>0</v>
      </c>
      <c r="CT81" s="171">
        <f t="shared" ca="1" si="85"/>
        <v>312500</v>
      </c>
      <c r="CU81" s="171">
        <f t="shared" ca="1" si="85"/>
        <v>625000</v>
      </c>
      <c r="CV81" s="171">
        <f t="shared" ca="1" si="85"/>
        <v>937500</v>
      </c>
      <c r="CW81" s="171">
        <f t="shared" ca="1" si="85"/>
        <v>1250000</v>
      </c>
      <c r="CX81" s="171">
        <f t="shared" ca="1" si="85"/>
        <v>1562500</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1096</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551</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-1425566.8961168667</v>
      </c>
      <c r="AG88" s="908">
        <f t="shared" ca="1" si="95"/>
        <v>-1425566.8961168667</v>
      </c>
      <c r="AH88" s="908">
        <f t="shared" ca="1" si="95"/>
        <v>-1425566.8961168667</v>
      </c>
      <c r="AI88" s="908">
        <f t="shared" ca="1" si="95"/>
        <v>-1425566.8961168667</v>
      </c>
      <c r="AJ88" s="908">
        <f t="shared" ca="1" si="95"/>
        <v>-1425566.8961168667</v>
      </c>
      <c r="AK88" s="908">
        <f t="shared" ca="1" si="95"/>
        <v>-1425566.8961168667</v>
      </c>
      <c r="AL88" s="908">
        <f t="shared" ca="1" si="95"/>
        <v>-2448576.6483024266</v>
      </c>
      <c r="AM88" s="908">
        <f t="shared" ca="1" si="95"/>
        <v>-2448576.6483024266</v>
      </c>
      <c r="AN88" s="908">
        <f t="shared" ca="1" si="95"/>
        <v>-2448576.6483024266</v>
      </c>
      <c r="AO88" s="908">
        <f t="shared" ca="1" si="95"/>
        <v>-2448576.6483024266</v>
      </c>
      <c r="AP88" s="908">
        <f t="shared" ca="1" si="95"/>
        <v>-2448576.6483024266</v>
      </c>
      <c r="AQ88" s="908">
        <f t="shared" ca="1" si="95"/>
        <v>-2448576.6483024266</v>
      </c>
      <c r="AR88" s="908">
        <f t="shared" ca="1" si="95"/>
        <v>-3465400.4349817079</v>
      </c>
      <c r="AS88" s="908">
        <f t="shared" ca="1" si="95"/>
        <v>-3465400.4349817079</v>
      </c>
      <c r="AT88" s="908">
        <f t="shared" ca="1" si="95"/>
        <v>-3465400.4349817079</v>
      </c>
      <c r="AU88" s="908">
        <f t="shared" ca="1" si="95"/>
        <v>-3465400.4349817079</v>
      </c>
      <c r="AV88" s="908">
        <f t="shared" ca="1" si="95"/>
        <v>-3465400.4349817079</v>
      </c>
      <c r="AW88" s="908">
        <f t="shared" ca="1" si="95"/>
        <v>-3465400.4349817079</v>
      </c>
      <c r="AX88" s="908">
        <f t="shared" ca="1" si="95"/>
        <v>-6180400.4349817075</v>
      </c>
      <c r="AY88" s="908">
        <f t="shared" ca="1" si="95"/>
        <v>-6180400.4349817075</v>
      </c>
      <c r="AZ88" s="908">
        <f t="shared" ca="1" si="95"/>
        <v>-6180400.4349817075</v>
      </c>
      <c r="BA88" s="908">
        <f t="shared" ca="1" si="95"/>
        <v>-6180400.4349817075</v>
      </c>
      <c r="BB88" s="908">
        <f t="shared" ca="1" si="95"/>
        <v>-6180400.4349817075</v>
      </c>
      <c r="BC88" s="908">
        <f t="shared" ca="1" si="95"/>
        <v>-6180400.4349817075</v>
      </c>
      <c r="BD88" s="908">
        <f t="shared" ca="1" si="95"/>
        <v>-8895400.4349817075</v>
      </c>
      <c r="BE88" s="908">
        <f t="shared" ca="1" si="95"/>
        <v>-8895400.4349817075</v>
      </c>
      <c r="BF88" s="908">
        <f t="shared" ca="1" si="95"/>
        <v>-8895400.4349817075</v>
      </c>
      <c r="BG88" s="908">
        <f t="shared" ca="1" si="95"/>
        <v>-8895400.4349817075</v>
      </c>
      <c r="BH88" s="908">
        <f t="shared" ca="1" si="95"/>
        <v>-8895400.4349817075</v>
      </c>
      <c r="BI88" s="908">
        <f t="shared" ca="1" si="95"/>
        <v>-8895400.4349817075</v>
      </c>
      <c r="BJ88" s="908">
        <f t="shared" ca="1" si="95"/>
        <v>-10652452.178215021</v>
      </c>
      <c r="BK88" s="908">
        <f t="shared" ca="1" si="95"/>
        <v>-10652452.178215021</v>
      </c>
      <c r="BL88" s="908">
        <f t="shared" ca="1" si="95"/>
        <v>-10652452.178215021</v>
      </c>
      <c r="BM88" s="908">
        <f t="shared" ca="1" si="95"/>
        <v>-10652452.178215021</v>
      </c>
      <c r="BN88" s="908">
        <f t="shared" ca="1" si="95"/>
        <v>-10652452.178215021</v>
      </c>
      <c r="BO88" s="908">
        <f t="shared" ca="1" si="95"/>
        <v>-10652452.178215021</v>
      </c>
      <c r="BP88" s="908">
        <f t="shared" ca="1" si="95"/>
        <v>-11091199.103582747</v>
      </c>
      <c r="BQ88" s="908">
        <f t="shared" ca="1" si="95"/>
        <v>-11091199.103582747</v>
      </c>
      <c r="BR88" s="908">
        <f t="shared" ca="1" si="95"/>
        <v>-11091199.103582747</v>
      </c>
      <c r="BS88" s="908">
        <f t="shared" ca="1" si="95"/>
        <v>-11091199.103582747</v>
      </c>
      <c r="BT88" s="908">
        <f t="shared" ca="1" si="95"/>
        <v>-11091199.103582747</v>
      </c>
      <c r="BU88" s="908">
        <f t="shared" ca="1" si="95"/>
        <v>-11091199.103582747</v>
      </c>
      <c r="BV88" s="908">
        <f t="shared" ca="1" si="95"/>
        <v>-11206831.755942302</v>
      </c>
      <c r="BW88" s="908">
        <f t="shared" ca="1" si="95"/>
        <v>-11206831.755942302</v>
      </c>
      <c r="BX88" s="908">
        <f t="shared" ca="1" si="95"/>
        <v>-11206831.755942302</v>
      </c>
      <c r="BY88" s="908">
        <f t="shared" ca="1" si="95"/>
        <v>-11206831.755942302</v>
      </c>
      <c r="BZ88" s="908">
        <f t="shared" ref="BZ88:DT88" ca="1" si="96">BY91</f>
        <v>-11206831.755942302</v>
      </c>
      <c r="CA88" s="908">
        <f t="shared" ca="1" si="96"/>
        <v>-11206831.755942302</v>
      </c>
      <c r="CB88" s="908">
        <f t="shared" ca="1" si="96"/>
        <v>-11098967.750347553</v>
      </c>
      <c r="CC88" s="908">
        <f t="shared" ca="1" si="96"/>
        <v>-11098967.750347553</v>
      </c>
      <c r="CD88" s="908">
        <f t="shared" ca="1" si="96"/>
        <v>-11098967.750347553</v>
      </c>
      <c r="CE88" s="908">
        <f t="shared" ca="1" si="96"/>
        <v>-11098967.750347553</v>
      </c>
      <c r="CF88" s="908">
        <f t="shared" ca="1" si="96"/>
        <v>-11098967.750347553</v>
      </c>
      <c r="CG88" s="908">
        <f t="shared" ca="1" si="96"/>
        <v>-11098967.750347553</v>
      </c>
      <c r="CH88" s="908">
        <f t="shared" ca="1" si="96"/>
        <v>-10953087.545637006</v>
      </c>
      <c r="CI88" s="908">
        <f t="shared" ca="1" si="96"/>
        <v>-10953087.545637006</v>
      </c>
      <c r="CJ88" s="908">
        <f t="shared" ca="1" si="96"/>
        <v>-10953087.545637006</v>
      </c>
      <c r="CK88" s="908">
        <f t="shared" ca="1" si="96"/>
        <v>-10953087.545637006</v>
      </c>
      <c r="CL88" s="908">
        <f t="shared" ca="1" si="96"/>
        <v>-10953087.545637006</v>
      </c>
      <c r="CM88" s="908">
        <f t="shared" ca="1" si="96"/>
        <v>-10953087.545637006</v>
      </c>
      <c r="CN88" s="908">
        <f t="shared" ca="1" si="96"/>
        <v>-10655086.540281685</v>
      </c>
      <c r="CO88" s="908">
        <f t="shared" ca="1" si="96"/>
        <v>-10655086.540281685</v>
      </c>
      <c r="CP88" s="908">
        <f t="shared" ca="1" si="96"/>
        <v>-10655086.540281685</v>
      </c>
      <c r="CQ88" s="908">
        <f t="shared" ca="1" si="96"/>
        <v>-10655086.540281685</v>
      </c>
      <c r="CR88" s="908">
        <f t="shared" ca="1" si="96"/>
        <v>-10655086.540281685</v>
      </c>
      <c r="CS88" s="908">
        <f t="shared" ca="1" si="96"/>
        <v>-10655086.540281685</v>
      </c>
      <c r="CT88" s="908">
        <f t="shared" ca="1" si="96"/>
        <v>-10103879.10310154</v>
      </c>
      <c r="CU88" s="908">
        <f t="shared" ca="1" si="96"/>
        <v>-10103879.10310154</v>
      </c>
      <c r="CV88" s="908">
        <f t="shared" ca="1" si="96"/>
        <v>-10103879.10310154</v>
      </c>
      <c r="CW88" s="908">
        <f t="shared" ca="1" si="96"/>
        <v>-10103879.10310154</v>
      </c>
      <c r="CX88" s="908">
        <f t="shared" ca="1" si="96"/>
        <v>-10103879.10310154</v>
      </c>
      <c r="CY88" s="908">
        <f t="shared" ca="1" si="96"/>
        <v>-10103879.10310154</v>
      </c>
      <c r="CZ88" s="908">
        <f t="shared" ca="1" si="96"/>
        <v>-9563116.6180286445</v>
      </c>
      <c r="DA88" s="908">
        <f t="shared" ca="1" si="96"/>
        <v>-9563116.6180286445</v>
      </c>
      <c r="DB88" s="908">
        <f t="shared" ca="1" si="96"/>
        <v>-9563116.6180286445</v>
      </c>
      <c r="DC88" s="908">
        <f t="shared" ca="1" si="96"/>
        <v>-9563116.6180286445</v>
      </c>
      <c r="DD88" s="908">
        <f t="shared" ca="1" si="96"/>
        <v>-9563116.6180286445</v>
      </c>
      <c r="DE88" s="908">
        <f t="shared" ca="1" si="96"/>
        <v>-9563116.6180286445</v>
      </c>
      <c r="DF88" s="908">
        <f t="shared" ca="1" si="96"/>
        <v>-9668754.7126630396</v>
      </c>
      <c r="DG88" s="908">
        <f t="shared" ca="1" si="96"/>
        <v>-9668754.7126630396</v>
      </c>
      <c r="DH88" s="908">
        <f t="shared" ca="1" si="96"/>
        <v>-9668754.7126630396</v>
      </c>
      <c r="DI88" s="908">
        <f t="shared" ca="1" si="96"/>
        <v>-9668754.7126630396</v>
      </c>
      <c r="DJ88" s="908">
        <f t="shared" ca="1" si="96"/>
        <v>-9668754.7126630396</v>
      </c>
      <c r="DK88" s="908">
        <f t="shared" ca="1" si="96"/>
        <v>-9668754.7126630396</v>
      </c>
      <c r="DL88" s="908">
        <f t="shared" ca="1" si="96"/>
        <v>-9076349.500714587</v>
      </c>
      <c r="DM88" s="908">
        <f t="shared" ca="1" si="96"/>
        <v>-9076349.500714587</v>
      </c>
      <c r="DN88" s="908">
        <f t="shared" ca="1" si="96"/>
        <v>-9076349.500714587</v>
      </c>
      <c r="DO88" s="908">
        <f t="shared" ca="1" si="96"/>
        <v>-9076349.500714587</v>
      </c>
      <c r="DP88" s="908">
        <f t="shared" ca="1" si="96"/>
        <v>-9076349.500714587</v>
      </c>
      <c r="DQ88" s="908">
        <f t="shared" ca="1" si="96"/>
        <v>-9076349.500714587</v>
      </c>
      <c r="DR88" s="908">
        <f t="shared" ca="1" si="96"/>
        <v>-8250287.8486657739</v>
      </c>
      <c r="DS88" s="908">
        <f t="shared" ca="1" si="96"/>
        <v>-8250287.8486657739</v>
      </c>
      <c r="DT88" s="908">
        <f t="shared" ca="1" si="96"/>
        <v>-8250287.8486657739</v>
      </c>
      <c r="DU88" s="908">
        <f t="shared" ref="DU88:ER88" ca="1" si="97">DT91</f>
        <v>-8250287.8486657739</v>
      </c>
      <c r="DV88" s="908">
        <f t="shared" ca="1" si="97"/>
        <v>-8250287.8486657739</v>
      </c>
      <c r="DW88" s="908">
        <f t="shared" ca="1" si="97"/>
        <v>-8250287.8486657739</v>
      </c>
      <c r="DX88" s="908">
        <f t="shared" ca="1" si="97"/>
        <v>-7303610.1901652329</v>
      </c>
      <c r="DY88" s="908">
        <f t="shared" ca="1" si="97"/>
        <v>-7303610.1901652329</v>
      </c>
      <c r="DZ88" s="908">
        <f t="shared" ca="1" si="97"/>
        <v>-7303610.1901652329</v>
      </c>
      <c r="EA88" s="908">
        <f t="shared" ca="1" si="97"/>
        <v>-7303610.1901652329</v>
      </c>
      <c r="EB88" s="908">
        <f t="shared" ca="1" si="97"/>
        <v>-7303610.1901652329</v>
      </c>
      <c r="EC88" s="908">
        <f t="shared" ca="1" si="97"/>
        <v>-7303610.1901652329</v>
      </c>
      <c r="ED88" s="908">
        <f t="shared" ca="1" si="97"/>
        <v>-6206341.2392489519</v>
      </c>
      <c r="EE88" s="908">
        <f t="shared" ca="1" si="97"/>
        <v>-6206341.2392489519</v>
      </c>
      <c r="EF88" s="908">
        <f t="shared" ca="1" si="97"/>
        <v>-6206341.2392489519</v>
      </c>
      <c r="EG88" s="908">
        <f t="shared" ca="1" si="97"/>
        <v>-6206341.2392489519</v>
      </c>
      <c r="EH88" s="908">
        <f t="shared" ca="1" si="97"/>
        <v>-6206341.2392489519</v>
      </c>
      <c r="EI88" s="908">
        <f t="shared" ca="1" si="97"/>
        <v>-6206341.2392489519</v>
      </c>
      <c r="EJ88" s="908">
        <f t="shared" ca="1" si="97"/>
        <v>-6206341.2392489519</v>
      </c>
      <c r="EK88" s="908">
        <f t="shared" ca="1" si="97"/>
        <v>-6206341.2392489519</v>
      </c>
      <c r="EL88" s="908">
        <f t="shared" ca="1" si="97"/>
        <v>-6206341.2392489519</v>
      </c>
      <c r="EM88" s="908">
        <f t="shared" ca="1" si="97"/>
        <v>-6206341.2392489519</v>
      </c>
      <c r="EN88" s="908">
        <f t="shared" ca="1" si="97"/>
        <v>-6206341.2392489519</v>
      </c>
      <c r="EO88" s="908">
        <f t="shared" ca="1" si="97"/>
        <v>-6206341.2392489519</v>
      </c>
      <c r="EP88" s="908">
        <f t="shared" ca="1" si="97"/>
        <v>-6206341.2392489519</v>
      </c>
      <c r="EQ88" s="908">
        <f t="shared" ca="1" si="97"/>
        <v>-6206341.2392489519</v>
      </c>
      <c r="ER88" s="908">
        <f t="shared" ca="1" si="97"/>
        <v>-6206341.2392489519</v>
      </c>
    </row>
    <row r="89" spans="2:148" ht="11.25" customHeight="1">
      <c r="B89" s="218"/>
      <c r="C89" s="911" t="s">
        <v>231</v>
      </c>
      <c r="D89" s="912"/>
      <c r="E89" s="912"/>
      <c r="F89" s="912"/>
      <c r="G89" s="912"/>
      <c r="H89" s="912"/>
      <c r="I89" s="913"/>
      <c r="J89" s="914"/>
      <c r="K89" s="918">
        <f ca="1">SUM(M89:ER89)</f>
        <v>-5096341.2392489519</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-1425566.8961168667</v>
      </c>
      <c r="AF89" s="920">
        <f t="shared" ca="1" si="98"/>
        <v>0</v>
      </c>
      <c r="AG89" s="920">
        <f t="shared" ca="1" si="98"/>
        <v>0</v>
      </c>
      <c r="AH89" s="920">
        <f t="shared" ca="1" si="98"/>
        <v>0</v>
      </c>
      <c r="AI89" s="920">
        <f t="shared" ca="1" si="98"/>
        <v>0</v>
      </c>
      <c r="AJ89" s="920">
        <f t="shared" ca="1" si="98"/>
        <v>0</v>
      </c>
      <c r="AK89" s="920">
        <f t="shared" ca="1" si="98"/>
        <v>-1023009.7521855599</v>
      </c>
      <c r="AL89" s="920">
        <f t="shared" ca="1" si="98"/>
        <v>0</v>
      </c>
      <c r="AM89" s="920">
        <f t="shared" ca="1" si="98"/>
        <v>0</v>
      </c>
      <c r="AN89" s="920">
        <f t="shared" ca="1" si="98"/>
        <v>0</v>
      </c>
      <c r="AO89" s="920">
        <f t="shared" ca="1" si="98"/>
        <v>0</v>
      </c>
      <c r="AP89" s="920">
        <f t="shared" ca="1" si="98"/>
        <v>0</v>
      </c>
      <c r="AQ89" s="920">
        <f t="shared" ca="1" si="98"/>
        <v>-1016823.7866792813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-2715000</v>
      </c>
      <c r="BD89" s="920">
        <f t="shared" ca="1" si="98"/>
        <v>0</v>
      </c>
      <c r="BE89" s="920">
        <f t="shared" ca="1" si="98"/>
        <v>0</v>
      </c>
      <c r="BF89" s="920">
        <f t="shared" ca="1" si="98"/>
        <v>0</v>
      </c>
      <c r="BG89" s="920">
        <f t="shared" ca="1" si="98"/>
        <v>0</v>
      </c>
      <c r="BH89" s="920">
        <f t="shared" ca="1" si="98"/>
        <v>0</v>
      </c>
      <c r="BI89" s="920">
        <f t="shared" ca="1" si="98"/>
        <v>-1757051.7432333131</v>
      </c>
      <c r="BJ89" s="920">
        <f t="shared" ca="1" si="98"/>
        <v>0</v>
      </c>
      <c r="BK89" s="920">
        <f t="shared" ca="1" si="98"/>
        <v>0</v>
      </c>
      <c r="BL89" s="920">
        <f t="shared" ca="1" si="98"/>
        <v>0</v>
      </c>
      <c r="BM89" s="920">
        <f t="shared" ca="1" si="98"/>
        <v>0</v>
      </c>
      <c r="BN89" s="920">
        <f t="shared" ca="1" si="98"/>
        <v>0</v>
      </c>
      <c r="BO89" s="920">
        <f t="shared" ca="1" si="98"/>
        <v>-438746.92536772648</v>
      </c>
      <c r="BP89" s="920">
        <f t="shared" ca="1" si="98"/>
        <v>0</v>
      </c>
      <c r="BQ89" s="920">
        <f t="shared" ca="1" si="98"/>
        <v>0</v>
      </c>
      <c r="BR89" s="920">
        <f t="shared" ca="1" si="98"/>
        <v>0</v>
      </c>
      <c r="BS89" s="920">
        <f t="shared" ca="1" si="98"/>
        <v>0</v>
      </c>
      <c r="BT89" s="920">
        <f t="shared" ca="1" si="98"/>
        <v>0</v>
      </c>
      <c r="BU89" s="920">
        <f t="shared" ca="1" si="98"/>
        <v>-115632.65235955454</v>
      </c>
      <c r="BV89" s="920">
        <f t="shared" ca="1" si="98"/>
        <v>0</v>
      </c>
      <c r="BW89" s="920">
        <f t="shared" ca="1" si="98"/>
        <v>0</v>
      </c>
      <c r="BX89" s="920">
        <f t="shared" ca="1" si="98"/>
        <v>0</v>
      </c>
      <c r="BY89" s="920">
        <f t="shared" ca="1" si="98"/>
        <v>0</v>
      </c>
      <c r="BZ89" s="920">
        <f t="shared" ref="BZ89:EK89" ca="1" si="99">BZ70-BZ75+BZ65-BZ80-BZ85</f>
        <v>0</v>
      </c>
      <c r="CA89" s="920">
        <f t="shared" ca="1" si="99"/>
        <v>107864.005594749</v>
      </c>
      <c r="CB89" s="920">
        <f t="shared" ca="1" si="99"/>
        <v>0</v>
      </c>
      <c r="CC89" s="920">
        <f t="shared" ca="1" si="99"/>
        <v>0</v>
      </c>
      <c r="CD89" s="920">
        <f t="shared" ca="1" si="99"/>
        <v>0</v>
      </c>
      <c r="CE89" s="920">
        <f t="shared" ca="1" si="99"/>
        <v>0</v>
      </c>
      <c r="CF89" s="920">
        <f t="shared" ca="1" si="99"/>
        <v>0</v>
      </c>
      <c r="CG89" s="920">
        <f t="shared" ca="1" si="99"/>
        <v>145880.20471054688</v>
      </c>
      <c r="CH89" s="920">
        <f t="shared" ca="1" si="99"/>
        <v>0</v>
      </c>
      <c r="CI89" s="920">
        <f t="shared" ca="1" si="99"/>
        <v>0</v>
      </c>
      <c r="CJ89" s="920">
        <f t="shared" ca="1" si="99"/>
        <v>0</v>
      </c>
      <c r="CK89" s="920">
        <f t="shared" ca="1" si="99"/>
        <v>0</v>
      </c>
      <c r="CL89" s="920">
        <f t="shared" ca="1" si="99"/>
        <v>0</v>
      </c>
      <c r="CM89" s="920">
        <f t="shared" ca="1" si="99"/>
        <v>298001.00535532087</v>
      </c>
      <c r="CN89" s="920">
        <f t="shared" ca="1" si="99"/>
        <v>0</v>
      </c>
      <c r="CO89" s="920">
        <f t="shared" ca="1" si="99"/>
        <v>0</v>
      </c>
      <c r="CP89" s="920">
        <f t="shared" ca="1" si="99"/>
        <v>0</v>
      </c>
      <c r="CQ89" s="920">
        <f t="shared" ca="1" si="99"/>
        <v>0</v>
      </c>
      <c r="CR89" s="920">
        <f t="shared" ca="1" si="99"/>
        <v>0</v>
      </c>
      <c r="CS89" s="920">
        <f t="shared" ca="1" si="99"/>
        <v>551207.43718014564</v>
      </c>
      <c r="CT89" s="920">
        <f t="shared" ca="1" si="99"/>
        <v>0</v>
      </c>
      <c r="CU89" s="920">
        <f t="shared" ca="1" si="99"/>
        <v>0</v>
      </c>
      <c r="CV89" s="920">
        <f t="shared" ca="1" si="99"/>
        <v>0</v>
      </c>
      <c r="CW89" s="920">
        <f t="shared" ca="1" si="99"/>
        <v>0</v>
      </c>
      <c r="CX89" s="920">
        <f t="shared" ca="1" si="99"/>
        <v>0</v>
      </c>
      <c r="CY89" s="920">
        <f t="shared" ca="1" si="99"/>
        <v>540762.48507289495</v>
      </c>
      <c r="CZ89" s="920">
        <f t="shared" ca="1" si="99"/>
        <v>0</v>
      </c>
      <c r="DA89" s="920">
        <f t="shared" ca="1" si="99"/>
        <v>0</v>
      </c>
      <c r="DB89" s="920">
        <f t="shared" ca="1" si="99"/>
        <v>0</v>
      </c>
      <c r="DC89" s="920">
        <f t="shared" ca="1" si="99"/>
        <v>0</v>
      </c>
      <c r="DD89" s="920">
        <f t="shared" ca="1" si="99"/>
        <v>0</v>
      </c>
      <c r="DE89" s="920">
        <f t="shared" ca="1" si="99"/>
        <v>-105638.09463439509</v>
      </c>
      <c r="DF89" s="920">
        <f t="shared" ca="1" si="99"/>
        <v>0</v>
      </c>
      <c r="DG89" s="920">
        <f t="shared" ca="1" si="99"/>
        <v>0</v>
      </c>
      <c r="DH89" s="920">
        <f t="shared" ca="1" si="99"/>
        <v>0</v>
      </c>
      <c r="DI89" s="920">
        <f t="shared" ca="1" si="99"/>
        <v>0</v>
      </c>
      <c r="DJ89" s="920">
        <f t="shared" ca="1" si="99"/>
        <v>0</v>
      </c>
      <c r="DK89" s="920">
        <f t="shared" ca="1" si="99"/>
        <v>592405.21194845205</v>
      </c>
      <c r="DL89" s="920">
        <f t="shared" ca="1" si="99"/>
        <v>0</v>
      </c>
      <c r="DM89" s="920">
        <f t="shared" ca="1" si="99"/>
        <v>0</v>
      </c>
      <c r="DN89" s="920">
        <f t="shared" ca="1" si="99"/>
        <v>0</v>
      </c>
      <c r="DO89" s="920">
        <f t="shared" ca="1" si="99"/>
        <v>0</v>
      </c>
      <c r="DP89" s="920">
        <f t="shared" ca="1" si="99"/>
        <v>0</v>
      </c>
      <c r="DQ89" s="920">
        <f t="shared" ca="1" si="99"/>
        <v>826061.65204881318</v>
      </c>
      <c r="DR89" s="920">
        <f t="shared" ca="1" si="99"/>
        <v>0</v>
      </c>
      <c r="DS89" s="920">
        <f t="shared" ca="1" si="99"/>
        <v>0</v>
      </c>
      <c r="DT89" s="920">
        <f t="shared" ca="1" si="99"/>
        <v>0</v>
      </c>
      <c r="DU89" s="920">
        <f t="shared" ca="1" si="99"/>
        <v>0</v>
      </c>
      <c r="DV89" s="920">
        <f t="shared" ca="1" si="99"/>
        <v>0</v>
      </c>
      <c r="DW89" s="920">
        <f t="shared" ca="1" si="99"/>
        <v>946677.658500541</v>
      </c>
      <c r="DX89" s="920">
        <f t="shared" ca="1" si="99"/>
        <v>0</v>
      </c>
      <c r="DY89" s="920">
        <f t="shared" ca="1" si="99"/>
        <v>0</v>
      </c>
      <c r="DZ89" s="920">
        <f t="shared" ca="1" si="99"/>
        <v>0</v>
      </c>
      <c r="EA89" s="920">
        <f t="shared" ca="1" si="99"/>
        <v>0</v>
      </c>
      <c r="EB89" s="920">
        <f t="shared" ca="1" si="99"/>
        <v>0</v>
      </c>
      <c r="EC89" s="920">
        <f t="shared" ca="1" si="99"/>
        <v>1097268.950916281</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-1425566.8961168667</v>
      </c>
      <c r="AF91" s="922">
        <f t="shared" ca="1" si="101"/>
        <v>-1425566.8961168667</v>
      </c>
      <c r="AG91" s="922">
        <f t="shared" ca="1" si="101"/>
        <v>-1425566.8961168667</v>
      </c>
      <c r="AH91" s="922">
        <f t="shared" ca="1" si="101"/>
        <v>-1425566.8961168667</v>
      </c>
      <c r="AI91" s="922">
        <f t="shared" ca="1" si="101"/>
        <v>-1425566.8961168667</v>
      </c>
      <c r="AJ91" s="922">
        <f t="shared" ca="1" si="101"/>
        <v>-1425566.8961168667</v>
      </c>
      <c r="AK91" s="922">
        <f t="shared" ca="1" si="101"/>
        <v>-2448576.6483024266</v>
      </c>
      <c r="AL91" s="922">
        <f t="shared" ca="1" si="101"/>
        <v>-2448576.6483024266</v>
      </c>
      <c r="AM91" s="922">
        <f t="shared" ca="1" si="101"/>
        <v>-2448576.6483024266</v>
      </c>
      <c r="AN91" s="922">
        <f t="shared" ca="1" si="101"/>
        <v>-2448576.6483024266</v>
      </c>
      <c r="AO91" s="922">
        <f t="shared" ca="1" si="101"/>
        <v>-2448576.6483024266</v>
      </c>
      <c r="AP91" s="922">
        <f t="shared" ca="1" si="101"/>
        <v>-2448576.6483024266</v>
      </c>
      <c r="AQ91" s="922">
        <f t="shared" ca="1" si="101"/>
        <v>-3465400.4349817079</v>
      </c>
      <c r="AR91" s="922">
        <f t="shared" ca="1" si="101"/>
        <v>-3465400.4349817079</v>
      </c>
      <c r="AS91" s="922">
        <f t="shared" ca="1" si="101"/>
        <v>-3465400.4349817079</v>
      </c>
      <c r="AT91" s="922">
        <f t="shared" ca="1" si="101"/>
        <v>-3465400.4349817079</v>
      </c>
      <c r="AU91" s="922">
        <f t="shared" ca="1" si="101"/>
        <v>-3465400.4349817079</v>
      </c>
      <c r="AV91" s="922">
        <f t="shared" ca="1" si="101"/>
        <v>-3465400.4349817079</v>
      </c>
      <c r="AW91" s="922">
        <f t="shared" ca="1" si="101"/>
        <v>-6180400.4349817075</v>
      </c>
      <c r="AX91" s="922">
        <f t="shared" ca="1" si="101"/>
        <v>-6180400.4349817075</v>
      </c>
      <c r="AY91" s="922">
        <f t="shared" ca="1" si="101"/>
        <v>-6180400.4349817075</v>
      </c>
      <c r="AZ91" s="922">
        <f t="shared" ca="1" si="101"/>
        <v>-6180400.4349817075</v>
      </c>
      <c r="BA91" s="922">
        <f t="shared" ca="1" si="101"/>
        <v>-6180400.4349817075</v>
      </c>
      <c r="BB91" s="922">
        <f t="shared" ca="1" si="101"/>
        <v>-6180400.4349817075</v>
      </c>
      <c r="BC91" s="922">
        <f t="shared" ca="1" si="101"/>
        <v>-8895400.4349817075</v>
      </c>
      <c r="BD91" s="922">
        <f t="shared" ca="1" si="101"/>
        <v>-8895400.4349817075</v>
      </c>
      <c r="BE91" s="922">
        <f t="shared" ca="1" si="101"/>
        <v>-8895400.4349817075</v>
      </c>
      <c r="BF91" s="922">
        <f t="shared" ca="1" si="101"/>
        <v>-8895400.4349817075</v>
      </c>
      <c r="BG91" s="922">
        <f t="shared" ca="1" si="101"/>
        <v>-8895400.4349817075</v>
      </c>
      <c r="BH91" s="922">
        <f t="shared" ca="1" si="101"/>
        <v>-8895400.4349817075</v>
      </c>
      <c r="BI91" s="922">
        <f t="shared" ca="1" si="101"/>
        <v>-10652452.178215021</v>
      </c>
      <c r="BJ91" s="922">
        <f t="shared" ca="1" si="101"/>
        <v>-10652452.178215021</v>
      </c>
      <c r="BK91" s="922">
        <f t="shared" ca="1" si="101"/>
        <v>-10652452.178215021</v>
      </c>
      <c r="BL91" s="922">
        <f t="shared" ca="1" si="101"/>
        <v>-10652452.178215021</v>
      </c>
      <c r="BM91" s="922">
        <f t="shared" ca="1" si="101"/>
        <v>-10652452.178215021</v>
      </c>
      <c r="BN91" s="922">
        <f t="shared" ca="1" si="101"/>
        <v>-10652452.178215021</v>
      </c>
      <c r="BO91" s="922">
        <f t="shared" ca="1" si="101"/>
        <v>-11091199.103582747</v>
      </c>
      <c r="BP91" s="922">
        <f t="shared" ca="1" si="101"/>
        <v>-11091199.103582747</v>
      </c>
      <c r="BQ91" s="922">
        <f t="shared" ca="1" si="101"/>
        <v>-11091199.103582747</v>
      </c>
      <c r="BR91" s="922">
        <f t="shared" ca="1" si="101"/>
        <v>-11091199.103582747</v>
      </c>
      <c r="BS91" s="922">
        <f t="shared" ca="1" si="101"/>
        <v>-11091199.103582747</v>
      </c>
      <c r="BT91" s="922">
        <f t="shared" ca="1" si="101"/>
        <v>-11091199.103582747</v>
      </c>
      <c r="BU91" s="922">
        <f t="shared" ca="1" si="101"/>
        <v>-11206831.755942302</v>
      </c>
      <c r="BV91" s="922">
        <f t="shared" ca="1" si="101"/>
        <v>-11206831.755942302</v>
      </c>
      <c r="BW91" s="922">
        <f t="shared" ca="1" si="101"/>
        <v>-11206831.755942302</v>
      </c>
      <c r="BX91" s="922">
        <f t="shared" ca="1" si="101"/>
        <v>-11206831.755942302</v>
      </c>
      <c r="BY91" s="922">
        <f t="shared" ca="1" si="101"/>
        <v>-11206831.755942302</v>
      </c>
      <c r="BZ91" s="922">
        <f t="shared" ref="BZ91:DT91" ca="1" si="102">BZ88+BZ89-BZ90</f>
        <v>-11206831.755942302</v>
      </c>
      <c r="CA91" s="922">
        <f t="shared" ca="1" si="102"/>
        <v>-11098967.750347553</v>
      </c>
      <c r="CB91" s="922">
        <f t="shared" ca="1" si="102"/>
        <v>-11098967.750347553</v>
      </c>
      <c r="CC91" s="922">
        <f t="shared" ca="1" si="102"/>
        <v>-11098967.750347553</v>
      </c>
      <c r="CD91" s="922">
        <f t="shared" ca="1" si="102"/>
        <v>-11098967.750347553</v>
      </c>
      <c r="CE91" s="922">
        <f t="shared" ca="1" si="102"/>
        <v>-11098967.750347553</v>
      </c>
      <c r="CF91" s="922">
        <f t="shared" ca="1" si="102"/>
        <v>-11098967.750347553</v>
      </c>
      <c r="CG91" s="922">
        <f t="shared" ca="1" si="102"/>
        <v>-10953087.545637006</v>
      </c>
      <c r="CH91" s="922">
        <f t="shared" ca="1" si="102"/>
        <v>-10953087.545637006</v>
      </c>
      <c r="CI91" s="922">
        <f t="shared" ca="1" si="102"/>
        <v>-10953087.545637006</v>
      </c>
      <c r="CJ91" s="922">
        <f t="shared" ca="1" si="102"/>
        <v>-10953087.545637006</v>
      </c>
      <c r="CK91" s="922">
        <f t="shared" ca="1" si="102"/>
        <v>-10953087.545637006</v>
      </c>
      <c r="CL91" s="922">
        <f t="shared" ca="1" si="102"/>
        <v>-10953087.545637006</v>
      </c>
      <c r="CM91" s="922">
        <f t="shared" ca="1" si="102"/>
        <v>-10655086.540281685</v>
      </c>
      <c r="CN91" s="922">
        <f t="shared" ca="1" si="102"/>
        <v>-10655086.540281685</v>
      </c>
      <c r="CO91" s="922">
        <f t="shared" ca="1" si="102"/>
        <v>-10655086.540281685</v>
      </c>
      <c r="CP91" s="922">
        <f t="shared" ca="1" si="102"/>
        <v>-10655086.540281685</v>
      </c>
      <c r="CQ91" s="922">
        <f t="shared" ca="1" si="102"/>
        <v>-10655086.540281685</v>
      </c>
      <c r="CR91" s="922">
        <f t="shared" ca="1" si="102"/>
        <v>-10655086.540281685</v>
      </c>
      <c r="CS91" s="922">
        <f t="shared" ca="1" si="102"/>
        <v>-10103879.10310154</v>
      </c>
      <c r="CT91" s="922">
        <f t="shared" ca="1" si="102"/>
        <v>-10103879.10310154</v>
      </c>
      <c r="CU91" s="922">
        <f t="shared" ca="1" si="102"/>
        <v>-10103879.10310154</v>
      </c>
      <c r="CV91" s="922">
        <f t="shared" ca="1" si="102"/>
        <v>-10103879.10310154</v>
      </c>
      <c r="CW91" s="922">
        <f t="shared" ca="1" si="102"/>
        <v>-10103879.10310154</v>
      </c>
      <c r="CX91" s="922">
        <f t="shared" ca="1" si="102"/>
        <v>-10103879.10310154</v>
      </c>
      <c r="CY91" s="922">
        <f t="shared" ca="1" si="102"/>
        <v>-9563116.6180286445</v>
      </c>
      <c r="CZ91" s="922">
        <f t="shared" ca="1" si="102"/>
        <v>-9563116.6180286445</v>
      </c>
      <c r="DA91" s="922">
        <f t="shared" ca="1" si="102"/>
        <v>-9563116.6180286445</v>
      </c>
      <c r="DB91" s="922">
        <f t="shared" ca="1" si="102"/>
        <v>-9563116.6180286445</v>
      </c>
      <c r="DC91" s="922">
        <f t="shared" ca="1" si="102"/>
        <v>-9563116.6180286445</v>
      </c>
      <c r="DD91" s="922">
        <f t="shared" ca="1" si="102"/>
        <v>-9563116.6180286445</v>
      </c>
      <c r="DE91" s="922">
        <f t="shared" ca="1" si="102"/>
        <v>-9668754.7126630396</v>
      </c>
      <c r="DF91" s="922">
        <f t="shared" ca="1" si="102"/>
        <v>-9668754.7126630396</v>
      </c>
      <c r="DG91" s="922">
        <f t="shared" ca="1" si="102"/>
        <v>-9668754.7126630396</v>
      </c>
      <c r="DH91" s="922">
        <f t="shared" ca="1" si="102"/>
        <v>-9668754.7126630396</v>
      </c>
      <c r="DI91" s="922">
        <f t="shared" ca="1" si="102"/>
        <v>-9668754.7126630396</v>
      </c>
      <c r="DJ91" s="922">
        <f t="shared" ca="1" si="102"/>
        <v>-9668754.7126630396</v>
      </c>
      <c r="DK91" s="922">
        <f t="shared" ca="1" si="102"/>
        <v>-9076349.500714587</v>
      </c>
      <c r="DL91" s="922">
        <f t="shared" ca="1" si="102"/>
        <v>-9076349.500714587</v>
      </c>
      <c r="DM91" s="922">
        <f t="shared" ca="1" si="102"/>
        <v>-9076349.500714587</v>
      </c>
      <c r="DN91" s="922">
        <f t="shared" ca="1" si="102"/>
        <v>-9076349.500714587</v>
      </c>
      <c r="DO91" s="922">
        <f t="shared" ca="1" si="102"/>
        <v>-9076349.500714587</v>
      </c>
      <c r="DP91" s="922">
        <f t="shared" ca="1" si="102"/>
        <v>-9076349.500714587</v>
      </c>
      <c r="DQ91" s="922">
        <f t="shared" ca="1" si="102"/>
        <v>-8250287.8486657739</v>
      </c>
      <c r="DR91" s="922">
        <f t="shared" ca="1" si="102"/>
        <v>-8250287.8486657739</v>
      </c>
      <c r="DS91" s="922">
        <f t="shared" ca="1" si="102"/>
        <v>-8250287.8486657739</v>
      </c>
      <c r="DT91" s="922">
        <f t="shared" ca="1" si="102"/>
        <v>-8250287.8486657739</v>
      </c>
      <c r="DU91" s="922">
        <f t="shared" ref="DU91:ER91" ca="1" si="103">DU88+DU89-DU90</f>
        <v>-8250287.8486657739</v>
      </c>
      <c r="DV91" s="922">
        <f t="shared" ca="1" si="103"/>
        <v>-8250287.8486657739</v>
      </c>
      <c r="DW91" s="922">
        <f t="shared" ca="1" si="103"/>
        <v>-7303610.1901652329</v>
      </c>
      <c r="DX91" s="922">
        <f t="shared" ca="1" si="103"/>
        <v>-7303610.1901652329</v>
      </c>
      <c r="DY91" s="922">
        <f t="shared" ca="1" si="103"/>
        <v>-7303610.1901652329</v>
      </c>
      <c r="DZ91" s="922">
        <f t="shared" ca="1" si="103"/>
        <v>-7303610.1901652329</v>
      </c>
      <c r="EA91" s="922">
        <f t="shared" ca="1" si="103"/>
        <v>-7303610.1901652329</v>
      </c>
      <c r="EB91" s="922">
        <f t="shared" ca="1" si="103"/>
        <v>-7303610.1901652329</v>
      </c>
      <c r="EC91" s="922">
        <f t="shared" ca="1" si="103"/>
        <v>-6206341.2392489519</v>
      </c>
      <c r="ED91" s="922">
        <f t="shared" ca="1" si="103"/>
        <v>-6206341.2392489519</v>
      </c>
      <c r="EE91" s="922">
        <f t="shared" ca="1" si="103"/>
        <v>-6206341.2392489519</v>
      </c>
      <c r="EF91" s="922">
        <f t="shared" ca="1" si="103"/>
        <v>-6206341.2392489519</v>
      </c>
      <c r="EG91" s="922">
        <f t="shared" ca="1" si="103"/>
        <v>-6206341.2392489519</v>
      </c>
      <c r="EH91" s="922">
        <f t="shared" ca="1" si="103"/>
        <v>-6206341.2392489519</v>
      </c>
      <c r="EI91" s="922">
        <f t="shared" ca="1" si="103"/>
        <v>-6206341.2392489519</v>
      </c>
      <c r="EJ91" s="922">
        <f t="shared" ca="1" si="103"/>
        <v>-6206341.2392489519</v>
      </c>
      <c r="EK91" s="922">
        <f t="shared" ca="1" si="103"/>
        <v>-6206341.2392489519</v>
      </c>
      <c r="EL91" s="922">
        <f t="shared" ca="1" si="103"/>
        <v>-6206341.2392489519</v>
      </c>
      <c r="EM91" s="922">
        <f t="shared" ca="1" si="103"/>
        <v>-6206341.2392489519</v>
      </c>
      <c r="EN91" s="922">
        <f t="shared" ca="1" si="103"/>
        <v>-6206341.2392489519</v>
      </c>
      <c r="EO91" s="922">
        <f t="shared" ca="1" si="103"/>
        <v>-6206341.2392489519</v>
      </c>
      <c r="EP91" s="922">
        <f t="shared" ca="1" si="103"/>
        <v>-6206341.2392489519</v>
      </c>
      <c r="EQ91" s="922">
        <f t="shared" ca="1" si="103"/>
        <v>-6206341.2392489519</v>
      </c>
      <c r="ER91" s="922">
        <f t="shared" ca="1" si="103"/>
        <v>-6206341.2392489519</v>
      </c>
    </row>
    <row r="92" spans="2:148" ht="11.25" customHeight="1" thickTop="1">
      <c r="B92" s="875" t="s">
        <v>621</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-1425566.8961168667</v>
      </c>
      <c r="AG93" s="908">
        <f t="shared" ca="1" si="104"/>
        <v>-1425566.8961168667</v>
      </c>
      <c r="AH93" s="908">
        <f t="shared" ca="1" si="104"/>
        <v>-1425566.8961168667</v>
      </c>
      <c r="AI93" s="908">
        <f t="shared" ca="1" si="104"/>
        <v>-1425566.8961168667</v>
      </c>
      <c r="AJ93" s="908">
        <f t="shared" ca="1" si="104"/>
        <v>-1425566.8961168667</v>
      </c>
      <c r="AK93" s="908">
        <f t="shared" ca="1" si="104"/>
        <v>-1425566.8961168667</v>
      </c>
      <c r="AL93" s="908">
        <f t="shared" ca="1" si="104"/>
        <v>-2448576.6483024266</v>
      </c>
      <c r="AM93" s="908">
        <f t="shared" ca="1" si="104"/>
        <v>-2448576.6483024266</v>
      </c>
      <c r="AN93" s="908">
        <f t="shared" ca="1" si="104"/>
        <v>-2448576.6483024266</v>
      </c>
      <c r="AO93" s="908">
        <f t="shared" ca="1" si="104"/>
        <v>-2448576.6483024266</v>
      </c>
      <c r="AP93" s="908">
        <f t="shared" ca="1" si="104"/>
        <v>-2448576.6483024266</v>
      </c>
      <c r="AQ93" s="908">
        <f t="shared" ca="1" si="104"/>
        <v>-2448576.6483024266</v>
      </c>
      <c r="AR93" s="908">
        <f t="shared" ca="1" si="104"/>
        <v>-3465400.4349817079</v>
      </c>
      <c r="AS93" s="908">
        <f t="shared" ca="1" si="104"/>
        <v>-3465400.4349817079</v>
      </c>
      <c r="AT93" s="908">
        <f t="shared" ca="1" si="104"/>
        <v>-3465400.4349817079</v>
      </c>
      <c r="AU93" s="908">
        <f t="shared" ca="1" si="104"/>
        <v>-3465400.4349817079</v>
      </c>
      <c r="AV93" s="908">
        <f t="shared" ca="1" si="104"/>
        <v>-3465400.4349817079</v>
      </c>
      <c r="AW93" s="908">
        <f t="shared" ca="1" si="104"/>
        <v>-3465400.4349817079</v>
      </c>
      <c r="AX93" s="908">
        <f t="shared" ca="1" si="104"/>
        <v>-6180400.4349817075</v>
      </c>
      <c r="AY93" s="908">
        <f t="shared" ca="1" si="104"/>
        <v>-6180400.4349817075</v>
      </c>
      <c r="AZ93" s="908">
        <f t="shared" ca="1" si="104"/>
        <v>-6180400.4349817075</v>
      </c>
      <c r="BA93" s="908">
        <f t="shared" ca="1" si="104"/>
        <v>-6180400.4349817075</v>
      </c>
      <c r="BB93" s="908">
        <f t="shared" ca="1" si="104"/>
        <v>-6180400.4349817075</v>
      </c>
      <c r="BC93" s="908">
        <f t="shared" ca="1" si="104"/>
        <v>-6180400.4349817075</v>
      </c>
      <c r="BD93" s="908">
        <f t="shared" ca="1" si="104"/>
        <v>-8895400.4349817075</v>
      </c>
      <c r="BE93" s="908">
        <f t="shared" ca="1" si="104"/>
        <v>-8895400.4349817075</v>
      </c>
      <c r="BF93" s="908">
        <f t="shared" ca="1" si="104"/>
        <v>-8895400.4349817075</v>
      </c>
      <c r="BG93" s="908">
        <f t="shared" ca="1" si="104"/>
        <v>-8895400.4349817075</v>
      </c>
      <c r="BH93" s="908">
        <f t="shared" ca="1" si="104"/>
        <v>-8895400.4349817075</v>
      </c>
      <c r="BI93" s="908">
        <f t="shared" ca="1" si="104"/>
        <v>-8895400.4349817075</v>
      </c>
      <c r="BJ93" s="908">
        <f t="shared" ca="1" si="104"/>
        <v>-10652452.178215021</v>
      </c>
      <c r="BK93" s="908">
        <f t="shared" ca="1" si="104"/>
        <v>-10652452.178215021</v>
      </c>
      <c r="BL93" s="908">
        <f t="shared" ca="1" si="104"/>
        <v>-10652452.178215021</v>
      </c>
      <c r="BM93" s="908">
        <f t="shared" ca="1" si="104"/>
        <v>-10652452.178215021</v>
      </c>
      <c r="BN93" s="908">
        <f t="shared" ca="1" si="104"/>
        <v>-10652452.178215021</v>
      </c>
      <c r="BO93" s="908">
        <f t="shared" ca="1" si="104"/>
        <v>-10652452.178215021</v>
      </c>
      <c r="BP93" s="908">
        <f t="shared" ca="1" si="104"/>
        <v>-11091199.103582747</v>
      </c>
      <c r="BQ93" s="908">
        <f t="shared" ca="1" si="104"/>
        <v>-11091199.103582747</v>
      </c>
      <c r="BR93" s="908">
        <f t="shared" ca="1" si="104"/>
        <v>-11091199.103582747</v>
      </c>
      <c r="BS93" s="908">
        <f t="shared" ca="1" si="104"/>
        <v>-11091199.103582747</v>
      </c>
      <c r="BT93" s="908">
        <f t="shared" ca="1" si="104"/>
        <v>-11091199.103582747</v>
      </c>
      <c r="BU93" s="908">
        <f t="shared" ca="1" si="104"/>
        <v>-11091199.103582747</v>
      </c>
      <c r="BV93" s="908">
        <f t="shared" ca="1" si="104"/>
        <v>-11206831.755942302</v>
      </c>
      <c r="BW93" s="908">
        <f t="shared" ca="1" si="104"/>
        <v>-11206831.755942302</v>
      </c>
      <c r="BX93" s="908">
        <f t="shared" ca="1" si="104"/>
        <v>-11206831.755942302</v>
      </c>
      <c r="BY93" s="908">
        <f t="shared" ca="1" si="104"/>
        <v>-11206831.755942302</v>
      </c>
      <c r="BZ93" s="908">
        <f t="shared" ref="BZ93:DT93" ca="1" si="105">BY96</f>
        <v>-11206831.755942302</v>
      </c>
      <c r="CA93" s="908">
        <f t="shared" ca="1" si="105"/>
        <v>-11206831.755942302</v>
      </c>
      <c r="CB93" s="908">
        <f t="shared" ca="1" si="105"/>
        <v>-11098967.750347553</v>
      </c>
      <c r="CC93" s="908">
        <f t="shared" ca="1" si="105"/>
        <v>-11098967.750347553</v>
      </c>
      <c r="CD93" s="908">
        <f t="shared" ca="1" si="105"/>
        <v>-11098967.750347553</v>
      </c>
      <c r="CE93" s="908">
        <f t="shared" ca="1" si="105"/>
        <v>-11098967.750347553</v>
      </c>
      <c r="CF93" s="908">
        <f t="shared" ca="1" si="105"/>
        <v>-11098967.750347553</v>
      </c>
      <c r="CG93" s="908">
        <f t="shared" ca="1" si="105"/>
        <v>-11098967.750347553</v>
      </c>
      <c r="CH93" s="908">
        <f t="shared" ca="1" si="105"/>
        <v>-10953087.545637006</v>
      </c>
      <c r="CI93" s="908">
        <f t="shared" ca="1" si="105"/>
        <v>-10953087.545637006</v>
      </c>
      <c r="CJ93" s="908">
        <f t="shared" ca="1" si="105"/>
        <v>-10953087.545637006</v>
      </c>
      <c r="CK93" s="908">
        <f t="shared" ca="1" si="105"/>
        <v>-10953087.545637006</v>
      </c>
      <c r="CL93" s="908">
        <f t="shared" ca="1" si="105"/>
        <v>-10953087.545637006</v>
      </c>
      <c r="CM93" s="908">
        <f t="shared" ca="1" si="105"/>
        <v>-10953087.545637006</v>
      </c>
      <c r="CN93" s="908">
        <f t="shared" ca="1" si="105"/>
        <v>-10655086.540281685</v>
      </c>
      <c r="CO93" s="908">
        <f t="shared" ca="1" si="105"/>
        <v>-10655086.540281685</v>
      </c>
      <c r="CP93" s="908">
        <f t="shared" ca="1" si="105"/>
        <v>-10655086.540281685</v>
      </c>
      <c r="CQ93" s="908">
        <f t="shared" ca="1" si="105"/>
        <v>-10655086.540281685</v>
      </c>
      <c r="CR93" s="908">
        <f t="shared" ca="1" si="105"/>
        <v>-10655086.540281685</v>
      </c>
      <c r="CS93" s="908">
        <f t="shared" ca="1" si="105"/>
        <v>-10655086.540281685</v>
      </c>
      <c r="CT93" s="908">
        <f t="shared" ca="1" si="105"/>
        <v>-10103879.10310154</v>
      </c>
      <c r="CU93" s="908">
        <f t="shared" ca="1" si="105"/>
        <v>-10103879.10310154</v>
      </c>
      <c r="CV93" s="908">
        <f t="shared" ca="1" si="105"/>
        <v>-10103879.10310154</v>
      </c>
      <c r="CW93" s="908">
        <f t="shared" ca="1" si="105"/>
        <v>-10103879.10310154</v>
      </c>
      <c r="CX93" s="908">
        <f t="shared" ca="1" si="105"/>
        <v>-10103879.10310154</v>
      </c>
      <c r="CY93" s="908">
        <f t="shared" ca="1" si="105"/>
        <v>-10103879.10310154</v>
      </c>
      <c r="CZ93" s="908">
        <f t="shared" ca="1" si="105"/>
        <v>-9563116.6180286445</v>
      </c>
      <c r="DA93" s="908">
        <f t="shared" ca="1" si="105"/>
        <v>-9563116.6180286445</v>
      </c>
      <c r="DB93" s="908">
        <f t="shared" ca="1" si="105"/>
        <v>-9563116.6180286445</v>
      </c>
      <c r="DC93" s="908">
        <f t="shared" ca="1" si="105"/>
        <v>-9563116.6180286445</v>
      </c>
      <c r="DD93" s="908">
        <f t="shared" ca="1" si="105"/>
        <v>-9563116.6180286445</v>
      </c>
      <c r="DE93" s="908">
        <f t="shared" ca="1" si="105"/>
        <v>-9563116.6180286445</v>
      </c>
      <c r="DF93" s="908">
        <f t="shared" ca="1" si="105"/>
        <v>-9668754.7126630396</v>
      </c>
      <c r="DG93" s="908">
        <f t="shared" ca="1" si="105"/>
        <v>-9668754.7126630396</v>
      </c>
      <c r="DH93" s="908">
        <f t="shared" ca="1" si="105"/>
        <v>-9668754.7126630396</v>
      </c>
      <c r="DI93" s="908">
        <f t="shared" ca="1" si="105"/>
        <v>-9668754.7126630396</v>
      </c>
      <c r="DJ93" s="908">
        <f t="shared" ca="1" si="105"/>
        <v>-9668754.7126630396</v>
      </c>
      <c r="DK93" s="908">
        <f t="shared" ca="1" si="105"/>
        <v>-9668754.7126630396</v>
      </c>
      <c r="DL93" s="908">
        <f t="shared" ca="1" si="105"/>
        <v>-9076349.500714587</v>
      </c>
      <c r="DM93" s="908">
        <f t="shared" ca="1" si="105"/>
        <v>-9076349.500714587</v>
      </c>
      <c r="DN93" s="908">
        <f t="shared" ca="1" si="105"/>
        <v>-9076349.500714587</v>
      </c>
      <c r="DO93" s="908">
        <f t="shared" ca="1" si="105"/>
        <v>-9076349.500714587</v>
      </c>
      <c r="DP93" s="908">
        <f t="shared" ca="1" si="105"/>
        <v>-9076349.500714587</v>
      </c>
      <c r="DQ93" s="908">
        <f t="shared" ca="1" si="105"/>
        <v>-9076349.500714587</v>
      </c>
      <c r="DR93" s="908">
        <f t="shared" ca="1" si="105"/>
        <v>-8250287.8486657739</v>
      </c>
      <c r="DS93" s="908">
        <f t="shared" ca="1" si="105"/>
        <v>-8250287.8486657739</v>
      </c>
      <c r="DT93" s="908">
        <f t="shared" ca="1" si="105"/>
        <v>-8250287.8486657739</v>
      </c>
      <c r="DU93" s="908">
        <f t="shared" ref="DU93:ER93" ca="1" si="106">DT96</f>
        <v>-8250287.8486657739</v>
      </c>
      <c r="DV93" s="908">
        <f t="shared" ca="1" si="106"/>
        <v>-8250287.8486657739</v>
      </c>
      <c r="DW93" s="908">
        <f t="shared" ca="1" si="106"/>
        <v>-8250287.8486657739</v>
      </c>
      <c r="DX93" s="908">
        <f t="shared" ca="1" si="106"/>
        <v>-7303610.1901652329</v>
      </c>
      <c r="DY93" s="908">
        <f t="shared" ca="1" si="106"/>
        <v>-7303610.1901652329</v>
      </c>
      <c r="DZ93" s="908">
        <f t="shared" ca="1" si="106"/>
        <v>-7303610.1901652329</v>
      </c>
      <c r="EA93" s="908">
        <f t="shared" ca="1" si="106"/>
        <v>-7303610.1901652329</v>
      </c>
      <c r="EB93" s="908">
        <f t="shared" ca="1" si="106"/>
        <v>-7303610.1901652329</v>
      </c>
      <c r="EC93" s="908">
        <f t="shared" ca="1" si="106"/>
        <v>-7303610.1901652329</v>
      </c>
      <c r="ED93" s="908">
        <f t="shared" ca="1" si="106"/>
        <v>-6206341.2392489519</v>
      </c>
      <c r="EE93" s="908">
        <f t="shared" ca="1" si="106"/>
        <v>-6206341.2392489519</v>
      </c>
      <c r="EF93" s="908">
        <f t="shared" ca="1" si="106"/>
        <v>-6206341.2392489519</v>
      </c>
      <c r="EG93" s="908">
        <f t="shared" ca="1" si="106"/>
        <v>-6206341.2392489519</v>
      </c>
      <c r="EH93" s="908">
        <f t="shared" ca="1" si="106"/>
        <v>-6206341.2392489519</v>
      </c>
      <c r="EI93" s="908">
        <f t="shared" ca="1" si="106"/>
        <v>-6206341.2392489519</v>
      </c>
      <c r="EJ93" s="908">
        <f t="shared" ca="1" si="106"/>
        <v>-6206341.2392489519</v>
      </c>
      <c r="EK93" s="908">
        <f t="shared" ca="1" si="106"/>
        <v>-6206341.2392489519</v>
      </c>
      <c r="EL93" s="908">
        <f t="shared" ca="1" si="106"/>
        <v>-6206341.2392489519</v>
      </c>
      <c r="EM93" s="908">
        <f t="shared" ca="1" si="106"/>
        <v>-6206341.2392489519</v>
      </c>
      <c r="EN93" s="908">
        <f t="shared" ca="1" si="106"/>
        <v>-6206341.2392489519</v>
      </c>
      <c r="EO93" s="908">
        <f t="shared" ca="1" si="106"/>
        <v>-6206341.2392489519</v>
      </c>
      <c r="EP93" s="908">
        <f t="shared" ca="1" si="106"/>
        <v>-6206341.2392489519</v>
      </c>
      <c r="EQ93" s="908">
        <f t="shared" ca="1" si="106"/>
        <v>-6206341.2392489519</v>
      </c>
      <c r="ER93" s="908">
        <f t="shared" ca="1" si="106"/>
        <v>-6206341.2392489519</v>
      </c>
    </row>
    <row r="94" spans="2:148" ht="11.25" customHeight="1">
      <c r="B94" s="218"/>
      <c r="C94" s="911" t="s">
        <v>231</v>
      </c>
      <c r="D94" s="912"/>
      <c r="E94" s="912"/>
      <c r="F94" s="912"/>
      <c r="G94" s="912"/>
      <c r="H94" s="912"/>
      <c r="I94" s="913"/>
      <c r="J94" s="914" t="b">
        <f ca="1">ABS(SUM(K94,K99)+'CF(M)'!J113)&lt;1</f>
        <v>0</v>
      </c>
      <c r="K94" s="918">
        <f ca="1">SUM(M94:ER94)</f>
        <v>-5096341.2392489519</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-1425566.8961168667</v>
      </c>
      <c r="AF94" s="920">
        <f t="shared" ca="1" si="107"/>
        <v>0</v>
      </c>
      <c r="AG94" s="920">
        <f t="shared" ca="1" si="107"/>
        <v>0</v>
      </c>
      <c r="AH94" s="920">
        <f t="shared" ca="1" si="107"/>
        <v>0</v>
      </c>
      <c r="AI94" s="920">
        <f t="shared" ca="1" si="107"/>
        <v>0</v>
      </c>
      <c r="AJ94" s="920">
        <f t="shared" ca="1" si="107"/>
        <v>0</v>
      </c>
      <c r="AK94" s="920">
        <f t="shared" ca="1" si="107"/>
        <v>-1023009.7521855599</v>
      </c>
      <c r="AL94" s="920">
        <f t="shared" ca="1" si="107"/>
        <v>0</v>
      </c>
      <c r="AM94" s="920">
        <f t="shared" ca="1" si="107"/>
        <v>0</v>
      </c>
      <c r="AN94" s="920">
        <f t="shared" ca="1" si="107"/>
        <v>0</v>
      </c>
      <c r="AO94" s="920">
        <f t="shared" ca="1" si="107"/>
        <v>0</v>
      </c>
      <c r="AP94" s="920">
        <f t="shared" ca="1" si="107"/>
        <v>0</v>
      </c>
      <c r="AQ94" s="920">
        <f t="shared" ca="1" si="107"/>
        <v>-1016823.7866792813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-2715000</v>
      </c>
      <c r="BD94" s="920">
        <f t="shared" ca="1" si="107"/>
        <v>0</v>
      </c>
      <c r="BE94" s="920">
        <f t="shared" ca="1" si="107"/>
        <v>0</v>
      </c>
      <c r="BF94" s="920">
        <f t="shared" ca="1" si="107"/>
        <v>0</v>
      </c>
      <c r="BG94" s="920">
        <f t="shared" ca="1" si="107"/>
        <v>0</v>
      </c>
      <c r="BH94" s="920">
        <f t="shared" ca="1" si="107"/>
        <v>0</v>
      </c>
      <c r="BI94" s="920">
        <f t="shared" ca="1" si="107"/>
        <v>-1757051.7432333131</v>
      </c>
      <c r="BJ94" s="920">
        <f t="shared" ca="1" si="107"/>
        <v>0</v>
      </c>
      <c r="BK94" s="920">
        <f t="shared" ca="1" si="107"/>
        <v>0</v>
      </c>
      <c r="BL94" s="920">
        <f t="shared" ca="1" si="107"/>
        <v>0</v>
      </c>
      <c r="BM94" s="920">
        <f t="shared" ca="1" si="107"/>
        <v>0</v>
      </c>
      <c r="BN94" s="920">
        <f t="shared" ca="1" si="107"/>
        <v>0</v>
      </c>
      <c r="BO94" s="920">
        <f t="shared" ca="1" si="107"/>
        <v>-438746.92536772648</v>
      </c>
      <c r="BP94" s="920">
        <f t="shared" ca="1" si="107"/>
        <v>0</v>
      </c>
      <c r="BQ94" s="920">
        <f t="shared" ca="1" si="107"/>
        <v>0</v>
      </c>
      <c r="BR94" s="920">
        <f t="shared" ca="1" si="107"/>
        <v>0</v>
      </c>
      <c r="BS94" s="920">
        <f t="shared" ca="1" si="107"/>
        <v>0</v>
      </c>
      <c r="BT94" s="920">
        <f t="shared" ca="1" si="107"/>
        <v>0</v>
      </c>
      <c r="BU94" s="920">
        <f t="shared" ca="1" si="107"/>
        <v>-115632.65235955454</v>
      </c>
      <c r="BV94" s="920">
        <f t="shared" ca="1" si="107"/>
        <v>0</v>
      </c>
      <c r="BW94" s="920">
        <f t="shared" ca="1" si="107"/>
        <v>0</v>
      </c>
      <c r="BX94" s="920">
        <f t="shared" ca="1" si="107"/>
        <v>0</v>
      </c>
      <c r="BY94" s="920">
        <f t="shared" ca="1" si="107"/>
        <v>0</v>
      </c>
      <c r="BZ94" s="920">
        <f t="shared" ref="BZ94:EK94" ca="1" si="108">BZ89</f>
        <v>0</v>
      </c>
      <c r="CA94" s="920">
        <f t="shared" ca="1" si="108"/>
        <v>107864.005594749</v>
      </c>
      <c r="CB94" s="920">
        <f t="shared" ca="1" si="108"/>
        <v>0</v>
      </c>
      <c r="CC94" s="920">
        <f t="shared" ca="1" si="108"/>
        <v>0</v>
      </c>
      <c r="CD94" s="920">
        <f t="shared" ca="1" si="108"/>
        <v>0</v>
      </c>
      <c r="CE94" s="920">
        <f t="shared" ca="1" si="108"/>
        <v>0</v>
      </c>
      <c r="CF94" s="920">
        <f t="shared" ca="1" si="108"/>
        <v>0</v>
      </c>
      <c r="CG94" s="920">
        <f t="shared" ca="1" si="108"/>
        <v>145880.20471054688</v>
      </c>
      <c r="CH94" s="920">
        <f t="shared" ca="1" si="108"/>
        <v>0</v>
      </c>
      <c r="CI94" s="920">
        <f t="shared" ca="1" si="108"/>
        <v>0</v>
      </c>
      <c r="CJ94" s="920">
        <f t="shared" ca="1" si="108"/>
        <v>0</v>
      </c>
      <c r="CK94" s="920">
        <f t="shared" ca="1" si="108"/>
        <v>0</v>
      </c>
      <c r="CL94" s="920">
        <f t="shared" ca="1" si="108"/>
        <v>0</v>
      </c>
      <c r="CM94" s="920">
        <f t="shared" ca="1" si="108"/>
        <v>298001.00535532087</v>
      </c>
      <c r="CN94" s="920">
        <f t="shared" ca="1" si="108"/>
        <v>0</v>
      </c>
      <c r="CO94" s="920">
        <f t="shared" ca="1" si="108"/>
        <v>0</v>
      </c>
      <c r="CP94" s="920">
        <f t="shared" ca="1" si="108"/>
        <v>0</v>
      </c>
      <c r="CQ94" s="920">
        <f t="shared" ca="1" si="108"/>
        <v>0</v>
      </c>
      <c r="CR94" s="920">
        <f t="shared" ca="1" si="108"/>
        <v>0</v>
      </c>
      <c r="CS94" s="920">
        <f t="shared" ca="1" si="108"/>
        <v>551207.43718014564</v>
      </c>
      <c r="CT94" s="920">
        <f t="shared" ca="1" si="108"/>
        <v>0</v>
      </c>
      <c r="CU94" s="920">
        <f t="shared" ca="1" si="108"/>
        <v>0</v>
      </c>
      <c r="CV94" s="920">
        <f t="shared" ca="1" si="108"/>
        <v>0</v>
      </c>
      <c r="CW94" s="920">
        <f t="shared" ca="1" si="108"/>
        <v>0</v>
      </c>
      <c r="CX94" s="920">
        <f t="shared" ca="1" si="108"/>
        <v>0</v>
      </c>
      <c r="CY94" s="920">
        <f t="shared" ca="1" si="108"/>
        <v>540762.48507289495</v>
      </c>
      <c r="CZ94" s="920">
        <f t="shared" ca="1" si="108"/>
        <v>0</v>
      </c>
      <c r="DA94" s="920">
        <f t="shared" ca="1" si="108"/>
        <v>0</v>
      </c>
      <c r="DB94" s="920">
        <f t="shared" ca="1" si="108"/>
        <v>0</v>
      </c>
      <c r="DC94" s="920">
        <f t="shared" ca="1" si="108"/>
        <v>0</v>
      </c>
      <c r="DD94" s="920">
        <f t="shared" ca="1" si="108"/>
        <v>0</v>
      </c>
      <c r="DE94" s="920">
        <f t="shared" ca="1" si="108"/>
        <v>-105638.09463439509</v>
      </c>
      <c r="DF94" s="920">
        <f t="shared" ca="1" si="108"/>
        <v>0</v>
      </c>
      <c r="DG94" s="920">
        <f t="shared" ca="1" si="108"/>
        <v>0</v>
      </c>
      <c r="DH94" s="920">
        <f t="shared" ca="1" si="108"/>
        <v>0</v>
      </c>
      <c r="DI94" s="920">
        <f t="shared" ca="1" si="108"/>
        <v>0</v>
      </c>
      <c r="DJ94" s="920">
        <f t="shared" ca="1" si="108"/>
        <v>0</v>
      </c>
      <c r="DK94" s="920">
        <f t="shared" ca="1" si="108"/>
        <v>592405.21194845205</v>
      </c>
      <c r="DL94" s="920">
        <f t="shared" ca="1" si="108"/>
        <v>0</v>
      </c>
      <c r="DM94" s="920">
        <f t="shared" ca="1" si="108"/>
        <v>0</v>
      </c>
      <c r="DN94" s="920">
        <f t="shared" ca="1" si="108"/>
        <v>0</v>
      </c>
      <c r="DO94" s="920">
        <f t="shared" ca="1" si="108"/>
        <v>0</v>
      </c>
      <c r="DP94" s="920">
        <f t="shared" ca="1" si="108"/>
        <v>0</v>
      </c>
      <c r="DQ94" s="920">
        <f t="shared" ca="1" si="108"/>
        <v>826061.65204881318</v>
      </c>
      <c r="DR94" s="920">
        <f t="shared" ca="1" si="108"/>
        <v>0</v>
      </c>
      <c r="DS94" s="920">
        <f t="shared" ca="1" si="108"/>
        <v>0</v>
      </c>
      <c r="DT94" s="920">
        <f t="shared" ca="1" si="108"/>
        <v>0</v>
      </c>
      <c r="DU94" s="920">
        <f t="shared" ca="1" si="108"/>
        <v>0</v>
      </c>
      <c r="DV94" s="920">
        <f t="shared" ca="1" si="108"/>
        <v>0</v>
      </c>
      <c r="DW94" s="920">
        <f t="shared" ca="1" si="108"/>
        <v>946677.658500541</v>
      </c>
      <c r="DX94" s="920">
        <f t="shared" ca="1" si="108"/>
        <v>0</v>
      </c>
      <c r="DY94" s="920">
        <f t="shared" ca="1" si="108"/>
        <v>0</v>
      </c>
      <c r="DZ94" s="920">
        <f t="shared" ca="1" si="108"/>
        <v>0</v>
      </c>
      <c r="EA94" s="920">
        <f t="shared" ca="1" si="108"/>
        <v>0</v>
      </c>
      <c r="EB94" s="920">
        <f t="shared" ca="1" si="108"/>
        <v>0</v>
      </c>
      <c r="EC94" s="920">
        <f t="shared" ca="1" si="108"/>
        <v>1097268.950916281</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-1425566.8961168667</v>
      </c>
      <c r="AF96" s="922">
        <f t="shared" ca="1" si="110"/>
        <v>-1425566.8961168667</v>
      </c>
      <c r="AG96" s="922">
        <f t="shared" ca="1" si="110"/>
        <v>-1425566.8961168667</v>
      </c>
      <c r="AH96" s="922">
        <f t="shared" ca="1" si="110"/>
        <v>-1425566.8961168667</v>
      </c>
      <c r="AI96" s="922">
        <f t="shared" ca="1" si="110"/>
        <v>-1425566.8961168667</v>
      </c>
      <c r="AJ96" s="922">
        <f t="shared" ca="1" si="110"/>
        <v>-1425566.8961168667</v>
      </c>
      <c r="AK96" s="922">
        <f t="shared" ca="1" si="110"/>
        <v>-2448576.6483024266</v>
      </c>
      <c r="AL96" s="922">
        <f t="shared" ca="1" si="110"/>
        <v>-2448576.6483024266</v>
      </c>
      <c r="AM96" s="922">
        <f t="shared" ca="1" si="110"/>
        <v>-2448576.6483024266</v>
      </c>
      <c r="AN96" s="922">
        <f t="shared" ca="1" si="110"/>
        <v>-2448576.6483024266</v>
      </c>
      <c r="AO96" s="922">
        <f t="shared" ca="1" si="110"/>
        <v>-2448576.6483024266</v>
      </c>
      <c r="AP96" s="922">
        <f t="shared" ca="1" si="110"/>
        <v>-2448576.6483024266</v>
      </c>
      <c r="AQ96" s="922">
        <f t="shared" ca="1" si="110"/>
        <v>-3465400.4349817079</v>
      </c>
      <c r="AR96" s="922">
        <f t="shared" ca="1" si="110"/>
        <v>-3465400.4349817079</v>
      </c>
      <c r="AS96" s="922">
        <f t="shared" ca="1" si="110"/>
        <v>-3465400.4349817079</v>
      </c>
      <c r="AT96" s="922">
        <f t="shared" ca="1" si="110"/>
        <v>-3465400.4349817079</v>
      </c>
      <c r="AU96" s="922">
        <f t="shared" ca="1" si="110"/>
        <v>-3465400.4349817079</v>
      </c>
      <c r="AV96" s="922">
        <f t="shared" ca="1" si="110"/>
        <v>-3465400.4349817079</v>
      </c>
      <c r="AW96" s="922">
        <f t="shared" ca="1" si="110"/>
        <v>-6180400.4349817075</v>
      </c>
      <c r="AX96" s="922">
        <f t="shared" ca="1" si="110"/>
        <v>-6180400.4349817075</v>
      </c>
      <c r="AY96" s="922">
        <f t="shared" ca="1" si="110"/>
        <v>-6180400.4349817075</v>
      </c>
      <c r="AZ96" s="922">
        <f t="shared" ca="1" si="110"/>
        <v>-6180400.4349817075</v>
      </c>
      <c r="BA96" s="922">
        <f t="shared" ca="1" si="110"/>
        <v>-6180400.4349817075</v>
      </c>
      <c r="BB96" s="922">
        <f t="shared" ca="1" si="110"/>
        <v>-6180400.4349817075</v>
      </c>
      <c r="BC96" s="922">
        <f t="shared" ca="1" si="110"/>
        <v>-8895400.4349817075</v>
      </c>
      <c r="BD96" s="922">
        <f t="shared" ca="1" si="110"/>
        <v>-8895400.4349817075</v>
      </c>
      <c r="BE96" s="922">
        <f t="shared" ca="1" si="110"/>
        <v>-8895400.4349817075</v>
      </c>
      <c r="BF96" s="922">
        <f t="shared" ca="1" si="110"/>
        <v>-8895400.4349817075</v>
      </c>
      <c r="BG96" s="922">
        <f t="shared" ca="1" si="110"/>
        <v>-8895400.4349817075</v>
      </c>
      <c r="BH96" s="922">
        <f t="shared" ca="1" si="110"/>
        <v>-8895400.4349817075</v>
      </c>
      <c r="BI96" s="922">
        <f t="shared" ca="1" si="110"/>
        <v>-10652452.178215021</v>
      </c>
      <c r="BJ96" s="922">
        <f t="shared" ca="1" si="110"/>
        <v>-10652452.178215021</v>
      </c>
      <c r="BK96" s="922">
        <f t="shared" ca="1" si="110"/>
        <v>-10652452.178215021</v>
      </c>
      <c r="BL96" s="922">
        <f t="shared" ca="1" si="110"/>
        <v>-10652452.178215021</v>
      </c>
      <c r="BM96" s="922">
        <f t="shared" ca="1" si="110"/>
        <v>-10652452.178215021</v>
      </c>
      <c r="BN96" s="922">
        <f t="shared" ca="1" si="110"/>
        <v>-10652452.178215021</v>
      </c>
      <c r="BO96" s="922">
        <f t="shared" ca="1" si="110"/>
        <v>-11091199.103582747</v>
      </c>
      <c r="BP96" s="922">
        <f t="shared" ca="1" si="110"/>
        <v>-11091199.103582747</v>
      </c>
      <c r="BQ96" s="922">
        <f t="shared" ca="1" si="110"/>
        <v>-11091199.103582747</v>
      </c>
      <c r="BR96" s="922">
        <f t="shared" ca="1" si="110"/>
        <v>-11091199.103582747</v>
      </c>
      <c r="BS96" s="922">
        <f t="shared" ca="1" si="110"/>
        <v>-11091199.103582747</v>
      </c>
      <c r="BT96" s="922">
        <f t="shared" ca="1" si="110"/>
        <v>-11091199.103582747</v>
      </c>
      <c r="BU96" s="922">
        <f t="shared" ca="1" si="110"/>
        <v>-11206831.755942302</v>
      </c>
      <c r="BV96" s="922">
        <f t="shared" ca="1" si="110"/>
        <v>-11206831.755942302</v>
      </c>
      <c r="BW96" s="922">
        <f t="shared" ca="1" si="110"/>
        <v>-11206831.755942302</v>
      </c>
      <c r="BX96" s="922">
        <f t="shared" ca="1" si="110"/>
        <v>-11206831.755942302</v>
      </c>
      <c r="BY96" s="922">
        <f t="shared" ca="1" si="110"/>
        <v>-11206831.755942302</v>
      </c>
      <c r="BZ96" s="922">
        <f t="shared" ref="BZ96:DT96" ca="1" si="111">BZ93+BZ94-BZ95</f>
        <v>-11206831.755942302</v>
      </c>
      <c r="CA96" s="922">
        <f t="shared" ca="1" si="111"/>
        <v>-11098967.750347553</v>
      </c>
      <c r="CB96" s="922">
        <f t="shared" ca="1" si="111"/>
        <v>-11098967.750347553</v>
      </c>
      <c r="CC96" s="922">
        <f t="shared" ca="1" si="111"/>
        <v>-11098967.750347553</v>
      </c>
      <c r="CD96" s="922">
        <f t="shared" ca="1" si="111"/>
        <v>-11098967.750347553</v>
      </c>
      <c r="CE96" s="922">
        <f t="shared" ca="1" si="111"/>
        <v>-11098967.750347553</v>
      </c>
      <c r="CF96" s="922">
        <f t="shared" ca="1" si="111"/>
        <v>-11098967.750347553</v>
      </c>
      <c r="CG96" s="922">
        <f t="shared" ca="1" si="111"/>
        <v>-10953087.545637006</v>
      </c>
      <c r="CH96" s="922">
        <f t="shared" ca="1" si="111"/>
        <v>-10953087.545637006</v>
      </c>
      <c r="CI96" s="922">
        <f t="shared" ca="1" si="111"/>
        <v>-10953087.545637006</v>
      </c>
      <c r="CJ96" s="922">
        <f t="shared" ca="1" si="111"/>
        <v>-10953087.545637006</v>
      </c>
      <c r="CK96" s="922">
        <f t="shared" ca="1" si="111"/>
        <v>-10953087.545637006</v>
      </c>
      <c r="CL96" s="922">
        <f t="shared" ca="1" si="111"/>
        <v>-10953087.545637006</v>
      </c>
      <c r="CM96" s="922">
        <f t="shared" ca="1" si="111"/>
        <v>-10655086.540281685</v>
      </c>
      <c r="CN96" s="922">
        <f t="shared" ca="1" si="111"/>
        <v>-10655086.540281685</v>
      </c>
      <c r="CO96" s="922">
        <f t="shared" ca="1" si="111"/>
        <v>-10655086.540281685</v>
      </c>
      <c r="CP96" s="922">
        <f t="shared" ca="1" si="111"/>
        <v>-10655086.540281685</v>
      </c>
      <c r="CQ96" s="922">
        <f t="shared" ca="1" si="111"/>
        <v>-10655086.540281685</v>
      </c>
      <c r="CR96" s="922">
        <f t="shared" ca="1" si="111"/>
        <v>-10655086.540281685</v>
      </c>
      <c r="CS96" s="922">
        <f t="shared" ca="1" si="111"/>
        <v>-10103879.10310154</v>
      </c>
      <c r="CT96" s="922">
        <f t="shared" ca="1" si="111"/>
        <v>-10103879.10310154</v>
      </c>
      <c r="CU96" s="922">
        <f t="shared" ca="1" si="111"/>
        <v>-10103879.10310154</v>
      </c>
      <c r="CV96" s="922">
        <f t="shared" ca="1" si="111"/>
        <v>-10103879.10310154</v>
      </c>
      <c r="CW96" s="922">
        <f t="shared" ca="1" si="111"/>
        <v>-10103879.10310154</v>
      </c>
      <c r="CX96" s="922">
        <f t="shared" ca="1" si="111"/>
        <v>-10103879.10310154</v>
      </c>
      <c r="CY96" s="922">
        <f t="shared" ca="1" si="111"/>
        <v>-9563116.6180286445</v>
      </c>
      <c r="CZ96" s="922">
        <f t="shared" ca="1" si="111"/>
        <v>-9563116.6180286445</v>
      </c>
      <c r="DA96" s="922">
        <f t="shared" ca="1" si="111"/>
        <v>-9563116.6180286445</v>
      </c>
      <c r="DB96" s="922">
        <f t="shared" ca="1" si="111"/>
        <v>-9563116.6180286445</v>
      </c>
      <c r="DC96" s="922">
        <f t="shared" ca="1" si="111"/>
        <v>-9563116.6180286445</v>
      </c>
      <c r="DD96" s="922">
        <f t="shared" ca="1" si="111"/>
        <v>-9563116.6180286445</v>
      </c>
      <c r="DE96" s="922">
        <f t="shared" ca="1" si="111"/>
        <v>-9668754.7126630396</v>
      </c>
      <c r="DF96" s="922">
        <f t="shared" ca="1" si="111"/>
        <v>-9668754.7126630396</v>
      </c>
      <c r="DG96" s="922">
        <f t="shared" ca="1" si="111"/>
        <v>-9668754.7126630396</v>
      </c>
      <c r="DH96" s="922">
        <f t="shared" ca="1" si="111"/>
        <v>-9668754.7126630396</v>
      </c>
      <c r="DI96" s="922">
        <f t="shared" ca="1" si="111"/>
        <v>-9668754.7126630396</v>
      </c>
      <c r="DJ96" s="922">
        <f t="shared" ca="1" si="111"/>
        <v>-9668754.7126630396</v>
      </c>
      <c r="DK96" s="922">
        <f t="shared" ca="1" si="111"/>
        <v>-9076349.500714587</v>
      </c>
      <c r="DL96" s="922">
        <f t="shared" ca="1" si="111"/>
        <v>-9076349.500714587</v>
      </c>
      <c r="DM96" s="922">
        <f t="shared" ca="1" si="111"/>
        <v>-9076349.500714587</v>
      </c>
      <c r="DN96" s="922">
        <f t="shared" ca="1" si="111"/>
        <v>-9076349.500714587</v>
      </c>
      <c r="DO96" s="922">
        <f t="shared" ca="1" si="111"/>
        <v>-9076349.500714587</v>
      </c>
      <c r="DP96" s="922">
        <f t="shared" ca="1" si="111"/>
        <v>-9076349.500714587</v>
      </c>
      <c r="DQ96" s="922">
        <f t="shared" ca="1" si="111"/>
        <v>-8250287.8486657739</v>
      </c>
      <c r="DR96" s="922">
        <f t="shared" ca="1" si="111"/>
        <v>-8250287.8486657739</v>
      </c>
      <c r="DS96" s="922">
        <f t="shared" ca="1" si="111"/>
        <v>-8250287.8486657739</v>
      </c>
      <c r="DT96" s="922">
        <f t="shared" ca="1" si="111"/>
        <v>-8250287.8486657739</v>
      </c>
      <c r="DU96" s="922">
        <f t="shared" ref="DU96:ER96" ca="1" si="112">DU93+DU94-DU95</f>
        <v>-8250287.8486657739</v>
      </c>
      <c r="DV96" s="922">
        <f t="shared" ca="1" si="112"/>
        <v>-8250287.8486657739</v>
      </c>
      <c r="DW96" s="922">
        <f t="shared" ca="1" si="112"/>
        <v>-7303610.1901652329</v>
      </c>
      <c r="DX96" s="922">
        <f t="shared" ca="1" si="112"/>
        <v>-7303610.1901652329</v>
      </c>
      <c r="DY96" s="922">
        <f t="shared" ca="1" si="112"/>
        <v>-7303610.1901652329</v>
      </c>
      <c r="DZ96" s="922">
        <f t="shared" ca="1" si="112"/>
        <v>-7303610.1901652329</v>
      </c>
      <c r="EA96" s="922">
        <f t="shared" ca="1" si="112"/>
        <v>-7303610.1901652329</v>
      </c>
      <c r="EB96" s="922">
        <f t="shared" ca="1" si="112"/>
        <v>-7303610.1901652329</v>
      </c>
      <c r="EC96" s="922">
        <f t="shared" ca="1" si="112"/>
        <v>-6206341.2392489519</v>
      </c>
      <c r="ED96" s="922">
        <f t="shared" ca="1" si="112"/>
        <v>-6206341.2392489519</v>
      </c>
      <c r="EE96" s="922">
        <f t="shared" ca="1" si="112"/>
        <v>-6206341.2392489519</v>
      </c>
      <c r="EF96" s="922">
        <f t="shared" ca="1" si="112"/>
        <v>-6206341.2392489519</v>
      </c>
      <c r="EG96" s="922">
        <f t="shared" ca="1" si="112"/>
        <v>-6206341.2392489519</v>
      </c>
      <c r="EH96" s="922">
        <f t="shared" ca="1" si="112"/>
        <v>-6206341.2392489519</v>
      </c>
      <c r="EI96" s="922">
        <f t="shared" ca="1" si="112"/>
        <v>-6206341.2392489519</v>
      </c>
      <c r="EJ96" s="922">
        <f t="shared" ca="1" si="112"/>
        <v>-6206341.2392489519</v>
      </c>
      <c r="EK96" s="922">
        <f t="shared" ca="1" si="112"/>
        <v>-6206341.2392489519</v>
      </c>
      <c r="EL96" s="922">
        <f t="shared" ca="1" si="112"/>
        <v>-6206341.2392489519</v>
      </c>
      <c r="EM96" s="922">
        <f t="shared" ca="1" si="112"/>
        <v>-6206341.2392489519</v>
      </c>
      <c r="EN96" s="922">
        <f t="shared" ca="1" si="112"/>
        <v>-6206341.2392489519</v>
      </c>
      <c r="EO96" s="922">
        <f t="shared" ca="1" si="112"/>
        <v>-6206341.2392489519</v>
      </c>
      <c r="EP96" s="922">
        <f t="shared" ca="1" si="112"/>
        <v>-6206341.2392489519</v>
      </c>
      <c r="EQ96" s="922">
        <f t="shared" ca="1" si="112"/>
        <v>-6206341.2392489519</v>
      </c>
      <c r="ER96" s="922">
        <f t="shared" ca="1" si="112"/>
        <v>-6206341.2392489519</v>
      </c>
    </row>
    <row r="97" spans="2:148" ht="11.25" customHeight="1" thickTop="1">
      <c r="B97" s="875" t="s">
        <v>622</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623</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48460427.819552772</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48460427.819552772</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48460427.819552772</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48460427.819552772</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624</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51"/>
  <sheetViews>
    <sheetView showGridLines="0" zoomScale="85" zoomScaleNormal="85" workbookViewId="0">
      <pane xSplit="10" ySplit="11" topLeftCell="K130" activePane="bottomRight" state="frozen"/>
      <selection activeCell="M268" sqref="M268"/>
      <selection pane="topRight" activeCell="M268" sqref="M268"/>
      <selection pane="bottomLeft" activeCell="M268" sqref="M268"/>
      <selection pane="bottomRight" activeCell="H145" sqref="H145"/>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45263706.729123607</v>
      </c>
      <c r="L14" s="216">
        <f t="shared" ref="L14:AQ14" ca="1" si="5">SUM(L15,L22,L34,L40,L49)</f>
        <v>-12856669.630531998</v>
      </c>
      <c r="M14" s="217">
        <f t="shared" ca="1" si="5"/>
        <v>617214.70108341926</v>
      </c>
      <c r="N14" s="217">
        <f t="shared" ca="1" si="5"/>
        <v>1349940.0235459546</v>
      </c>
      <c r="O14" s="217">
        <f t="shared" ca="1" si="5"/>
        <v>10917406.210963102</v>
      </c>
      <c r="P14" s="217">
        <f t="shared" ca="1" si="5"/>
        <v>1265044.5193413824</v>
      </c>
      <c r="Q14" s="217">
        <f t="shared" ca="1" si="5"/>
        <v>1344497.8690977946</v>
      </c>
      <c r="R14" s="217">
        <f t="shared" ca="1" si="5"/>
        <v>-1689342.6170720174</v>
      </c>
      <c r="S14" s="217">
        <f t="shared" ca="1" si="5"/>
        <v>1228494.2253463285</v>
      </c>
      <c r="T14" s="217">
        <f t="shared" ca="1" si="5"/>
        <v>1421242.3437410886</v>
      </c>
      <c r="U14" s="217">
        <f t="shared" ca="1" si="5"/>
        <v>-1650547.1809323635</v>
      </c>
      <c r="V14" s="217">
        <f t="shared" ca="1" si="5"/>
        <v>1421772.4481784473</v>
      </c>
      <c r="W14" s="217">
        <f t="shared" ca="1" si="5"/>
        <v>1064574.582818968</v>
      </c>
      <c r="X14" s="217">
        <f t="shared" ca="1" si="5"/>
        <v>-1697806.7911766157</v>
      </c>
      <c r="Y14" s="217">
        <f t="shared" ca="1" si="5"/>
        <v>663859.16545206867</v>
      </c>
      <c r="Z14" s="217">
        <f t="shared" ca="1" si="5"/>
        <v>1261901.9043419552</v>
      </c>
      <c r="AA14" s="217">
        <f t="shared" ca="1" si="5"/>
        <v>-1733376.2704799136</v>
      </c>
      <c r="AB14" s="217">
        <f t="shared" ca="1" si="5"/>
        <v>1282699.9319420601</v>
      </c>
      <c r="AC14" s="217">
        <f t="shared" ca="1" si="5"/>
        <v>1364098.8675662659</v>
      </c>
      <c r="AD14" s="217">
        <f t="shared" ca="1" si="5"/>
        <v>-1677824.1821149162</v>
      </c>
      <c r="AE14" s="217">
        <f t="shared" ca="1" si="5"/>
        <v>1247168.2301647104</v>
      </c>
      <c r="AF14" s="217">
        <f t="shared" ca="1" si="5"/>
        <v>1444699.9396627953</v>
      </c>
      <c r="AG14" s="217">
        <f t="shared" ca="1" si="5"/>
        <v>-1690326.0595347714</v>
      </c>
      <c r="AH14" s="217">
        <f t="shared" ca="1" si="5"/>
        <v>1445212.4131143144</v>
      </c>
      <c r="AI14" s="217">
        <f t="shared" ca="1" si="5"/>
        <v>1060653.5665108981</v>
      </c>
      <c r="AJ14" s="217">
        <f t="shared" ca="1" si="5"/>
        <v>-1684676.3577285071</v>
      </c>
      <c r="AK14" s="217">
        <f t="shared" ca="1" si="5"/>
        <v>740280.49944611965</v>
      </c>
      <c r="AL14" s="217">
        <f t="shared" ca="1" si="5"/>
        <v>1298646.8595596715</v>
      </c>
      <c r="AM14" s="217">
        <f t="shared" ca="1" si="5"/>
        <v>-1609533.8249678724</v>
      </c>
      <c r="AN14" s="217">
        <f t="shared" ca="1" si="5"/>
        <v>1479041.8787040734</v>
      </c>
      <c r="AO14" s="217">
        <f t="shared" ca="1" si="5"/>
        <v>1403733.2676454342</v>
      </c>
      <c r="AP14" s="217">
        <f t="shared" ca="1" si="5"/>
        <v>-1736888.5039270821</v>
      </c>
      <c r="AQ14" s="217">
        <f t="shared" ca="1" si="5"/>
        <v>1484044.632180752</v>
      </c>
      <c r="AR14" s="217">
        <f t="shared" ref="AR14:BW14" ca="1" si="6">SUM(AR15,AR22,AR34,AR40,AR49)</f>
        <v>319008.95025128993</v>
      </c>
      <c r="AS14" s="217">
        <f t="shared" ca="1" si="6"/>
        <v>-2687753.7996065901</v>
      </c>
      <c r="AT14" s="217">
        <f t="shared" ca="1" si="6"/>
        <v>270796.26392373088</v>
      </c>
      <c r="AU14" s="217">
        <f t="shared" ca="1" si="6"/>
        <v>-36118.120598313864</v>
      </c>
      <c r="AV14" s="217">
        <f t="shared" ca="1" si="6"/>
        <v>-2567437.9342492488</v>
      </c>
      <c r="AW14" s="217">
        <f t="shared" ca="1" si="6"/>
        <v>799656.93368379155</v>
      </c>
      <c r="AX14" s="217">
        <f t="shared" ca="1" si="6"/>
        <v>1372643.7998478462</v>
      </c>
      <c r="AY14" s="217">
        <f t="shared" ca="1" si="6"/>
        <v>-1527433.4187014243</v>
      </c>
      <c r="AZ14" s="217">
        <f t="shared" ca="1" si="6"/>
        <v>1502229.1816115966</v>
      </c>
      <c r="BA14" s="217">
        <f t="shared" ca="1" si="6"/>
        <v>1455417.9220039519</v>
      </c>
      <c r="BB14" s="217">
        <f t="shared" ca="1" si="6"/>
        <v>-1704846.6340105759</v>
      </c>
      <c r="BC14" s="217">
        <f t="shared" ca="1" si="6"/>
        <v>1537526.8503673454</v>
      </c>
      <c r="BD14" s="217">
        <f t="shared" ca="1" si="6"/>
        <v>1542625.7148818865</v>
      </c>
      <c r="BE14" s="217">
        <f t="shared" ca="1" si="6"/>
        <v>-1721941.8510889688</v>
      </c>
      <c r="BF14" s="217">
        <f t="shared" ca="1" si="6"/>
        <v>1545864.6210733352</v>
      </c>
      <c r="BG14" s="217">
        <f t="shared" ca="1" si="6"/>
        <v>1173175.0907329174</v>
      </c>
      <c r="BH14" s="217">
        <f t="shared" ca="1" si="6"/>
        <v>-1671109.5507497806</v>
      </c>
      <c r="BI14" s="217">
        <f t="shared" ca="1" si="6"/>
        <v>855189.4828861414</v>
      </c>
      <c r="BJ14" s="217">
        <f t="shared" ca="1" si="6"/>
        <v>1411762.668338987</v>
      </c>
      <c r="BK14" s="217">
        <f t="shared" ca="1" si="6"/>
        <v>-1498338.9476625235</v>
      </c>
      <c r="BL14" s="217">
        <f t="shared" ca="1" si="6"/>
        <v>1568137.2499778226</v>
      </c>
      <c r="BM14" s="217">
        <f t="shared" ca="1" si="6"/>
        <v>1489057.6122064858</v>
      </c>
      <c r="BN14" s="217">
        <f t="shared" ca="1" si="6"/>
        <v>-1681292.4431801615</v>
      </c>
      <c r="BO14" s="217">
        <f t="shared" ca="1" si="6"/>
        <v>1574349.532219687</v>
      </c>
      <c r="BP14" s="217">
        <f t="shared" ca="1" si="6"/>
        <v>1578941.3850219944</v>
      </c>
      <c r="BQ14" s="217">
        <f t="shared" ca="1" si="6"/>
        <v>-1703484.4951032612</v>
      </c>
      <c r="BR14" s="217">
        <f t="shared" ca="1" si="6"/>
        <v>1582434.0936626948</v>
      </c>
      <c r="BS14" s="217">
        <f t="shared" ca="1" si="6"/>
        <v>1215509.1988162741</v>
      </c>
      <c r="BT14" s="217">
        <f t="shared" ca="1" si="6"/>
        <v>-1646020.4208177258</v>
      </c>
      <c r="BU14" s="217">
        <f t="shared" ca="1" si="6"/>
        <v>906059.40780073369</v>
      </c>
      <c r="BV14" s="217">
        <f t="shared" ca="1" si="6"/>
        <v>1446510.2417424815</v>
      </c>
      <c r="BW14" s="217">
        <f t="shared" ca="1" si="6"/>
        <v>-1311703.6925155558</v>
      </c>
      <c r="BX14" s="217">
        <f t="shared" ref="BX14:DC14" ca="1" si="7">SUM(BX15,BX22,BX34,BX40,BX49)</f>
        <v>1606759.2051058048</v>
      </c>
      <c r="BY14" s="217">
        <f t="shared" ca="1" si="7"/>
        <v>1525700.8804181635</v>
      </c>
      <c r="BZ14" s="217">
        <f t="shared" ca="1" si="7"/>
        <v>-1495243.6674159912</v>
      </c>
      <c r="CA14" s="217">
        <f t="shared" ca="1" si="7"/>
        <v>1614037.6454140488</v>
      </c>
      <c r="CB14" s="217">
        <f t="shared" ca="1" si="7"/>
        <v>1618745.2552131731</v>
      </c>
      <c r="CC14" s="217">
        <f t="shared" ca="1" si="7"/>
        <v>-1519287.180985929</v>
      </c>
      <c r="CD14" s="217">
        <f t="shared" ca="1" si="7"/>
        <v>1622987.6996259009</v>
      </c>
      <c r="CE14" s="217">
        <f t="shared" ca="1" si="7"/>
        <v>1261754.1910445001</v>
      </c>
      <c r="CF14" s="217">
        <f t="shared" ca="1" si="7"/>
        <v>-1457463.0719811174</v>
      </c>
      <c r="CG14" s="217">
        <f t="shared" ca="1" si="7"/>
        <v>959984.95663839846</v>
      </c>
      <c r="CH14" s="217">
        <f t="shared" ca="1" si="7"/>
        <v>1484545.5169597322</v>
      </c>
      <c r="CI14" s="217">
        <f t="shared" ca="1" si="7"/>
        <v>-1281707.2947447482</v>
      </c>
      <c r="CJ14" s="217">
        <f t="shared" ca="1" si="7"/>
        <v>1648288.5649772813</v>
      </c>
      <c r="CK14" s="217">
        <f t="shared" ca="1" si="7"/>
        <v>1565207.749946702</v>
      </c>
      <c r="CL14" s="217">
        <f t="shared" ca="1" si="7"/>
        <v>-1466330.3256248389</v>
      </c>
      <c r="CM14" s="217">
        <f t="shared" ca="1" si="7"/>
        <v>1656037.8726127178</v>
      </c>
      <c r="CN14" s="217">
        <f t="shared" ca="1" si="7"/>
        <v>1660867.9830745049</v>
      </c>
      <c r="CO14" s="217">
        <f t="shared" ca="1" si="7"/>
        <v>-1492852.5201829451</v>
      </c>
      <c r="CP14" s="217">
        <f t="shared" ca="1" si="7"/>
        <v>1665409.1954965761</v>
      </c>
      <c r="CQ14" s="217">
        <f t="shared" ca="1" si="7"/>
        <v>1309788.9246187112</v>
      </c>
      <c r="CR14" s="217">
        <f t="shared" ca="1" si="7"/>
        <v>-1427073.253882725</v>
      </c>
      <c r="CS14" s="217">
        <f t="shared" ca="1" si="7"/>
        <v>1016375.914437331</v>
      </c>
      <c r="CT14" s="217">
        <f t="shared" ca="1" si="7"/>
        <v>1525270.0876323078</v>
      </c>
      <c r="CU14" s="217">
        <f t="shared" ca="1" si="7"/>
        <v>-1249205.5434946995</v>
      </c>
      <c r="CV14" s="217">
        <f t="shared" ca="1" si="7"/>
        <v>1692590.7481270381</v>
      </c>
      <c r="CW14" s="217">
        <f t="shared" ca="1" si="7"/>
        <v>1607441.9397136848</v>
      </c>
      <c r="CX14" s="217">
        <f t="shared" ca="1" si="7"/>
        <v>-1434945.4531229935</v>
      </c>
      <c r="CY14" s="217">
        <f t="shared" ca="1" si="7"/>
        <v>1000273.8577983826</v>
      </c>
      <c r="CZ14" s="217">
        <f t="shared" ca="1" si="7"/>
        <v>1663358.2706394121</v>
      </c>
      <c r="DA14" s="217">
        <f t="shared" ca="1" si="7"/>
        <v>-1435450.209931175</v>
      </c>
      <c r="DB14" s="217">
        <f t="shared" ca="1" si="7"/>
        <v>1583050.2956352553</v>
      </c>
      <c r="DC14" s="217">
        <f t="shared" ca="1" si="7"/>
        <v>1317722.1303678411</v>
      </c>
      <c r="DD14" s="217">
        <f t="shared" ref="DD14:DP14" ca="1" si="8">SUM(DD15,DD22,DD34,DD40,DD49)</f>
        <v>-1426075.4991316826</v>
      </c>
      <c r="DE14" s="217">
        <f t="shared" ca="1" si="8"/>
        <v>1031880.070570633</v>
      </c>
      <c r="DF14" s="217">
        <f t="shared" ca="1" si="8"/>
        <v>1524987.5799367346</v>
      </c>
      <c r="DG14" s="217">
        <f t="shared" ca="1" si="8"/>
        <v>-1256970.7646978279</v>
      </c>
      <c r="DH14" s="217">
        <f t="shared" ca="1" si="8"/>
        <v>1649163.9844129432</v>
      </c>
      <c r="DI14" s="217">
        <f t="shared" ca="1" si="8"/>
        <v>1700412.7462160997</v>
      </c>
      <c r="DJ14" s="217">
        <f t="shared" ca="1" si="8"/>
        <v>-1435210.7900611474</v>
      </c>
      <c r="DK14" s="217">
        <f t="shared" ca="1" si="8"/>
        <v>1703442.211945069</v>
      </c>
      <c r="DL14" s="217">
        <f t="shared" ca="1" si="8"/>
        <v>1709105.7349421117</v>
      </c>
      <c r="DM14" s="217">
        <f t="shared" ca="1" si="8"/>
        <v>-1458555.5418526912</v>
      </c>
      <c r="DN14" s="217">
        <f t="shared" ca="1" si="8"/>
        <v>1714092.7640062678</v>
      </c>
      <c r="DO14" s="217">
        <f t="shared" ca="1" si="8"/>
        <v>1369347.7108150991</v>
      </c>
      <c r="DP14" s="217">
        <f t="shared" ca="1" si="8"/>
        <v>-1392406.2544444785</v>
      </c>
      <c r="DQ14" s="217">
        <f t="shared" ref="DQ14:EQ14" ca="1" si="9">SUM(DQ15,DQ22,DQ34,DQ40,DQ49)</f>
        <v>1091032.7176592315</v>
      </c>
      <c r="DR14" s="217">
        <f t="shared" ca="1" si="9"/>
        <v>1568890.9513007975</v>
      </c>
      <c r="DS14" s="217">
        <f t="shared" ca="1" si="9"/>
        <v>-1211710.7403679709</v>
      </c>
      <c r="DT14" s="217">
        <f t="shared" ca="1" si="9"/>
        <v>1742728.5938203605</v>
      </c>
      <c r="DU14" s="217">
        <f t="shared" ca="1" si="9"/>
        <v>1747811.5522190032</v>
      </c>
      <c r="DV14" s="217">
        <f t="shared" ca="1" si="9"/>
        <v>-1365971.8406052776</v>
      </c>
      <c r="DW14" s="217">
        <f t="shared" ca="1" si="9"/>
        <v>1752148.1077778225</v>
      </c>
      <c r="DX14" s="217">
        <f t="shared" ca="1" si="9"/>
        <v>1757258.5397588413</v>
      </c>
      <c r="DY14" s="217">
        <f t="shared" ca="1" si="9"/>
        <v>-1434275.5046017377</v>
      </c>
      <c r="DZ14" s="217">
        <f t="shared" ca="1" si="9"/>
        <v>1762563.2377207195</v>
      </c>
      <c r="EA14" s="217">
        <f t="shared" ca="1" si="9"/>
        <v>1423205.7241008442</v>
      </c>
      <c r="EB14" s="217">
        <f t="shared" ca="1" si="9"/>
        <v>-1518480.4811549087</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175149083.02034265</v>
      </c>
      <c r="K15" s="98"/>
      <c r="L15" s="162">
        <f>SUM(L16:L21)</f>
        <v>0</v>
      </c>
      <c r="M15" s="162">
        <f t="shared" ref="M15:BX15" ca="1" si="10">SUM(M16:M21)</f>
        <v>1324523.7716357496</v>
      </c>
      <c r="N15" s="162">
        <f t="shared" ca="1" si="10"/>
        <v>1324675.8517118264</v>
      </c>
      <c r="O15" s="162">
        <f t="shared" ca="1" si="10"/>
        <v>1137903.1661055023</v>
      </c>
      <c r="P15" s="162">
        <f t="shared" ca="1" si="10"/>
        <v>1227789.7227466032</v>
      </c>
      <c r="Q15" s="162">
        <f t="shared" ca="1" si="10"/>
        <v>1300355.4691780156</v>
      </c>
      <c r="R15" s="162">
        <f t="shared" ca="1" si="10"/>
        <v>1343156.9998962174</v>
      </c>
      <c r="S15" s="162">
        <f t="shared" ca="1" si="10"/>
        <v>1193939.1296601743</v>
      </c>
      <c r="T15" s="162">
        <f t="shared" ca="1" si="10"/>
        <v>1369490.4289424345</v>
      </c>
      <c r="U15" s="162">
        <f t="shared" ca="1" si="10"/>
        <v>1374180.6782991793</v>
      </c>
      <c r="V15" s="162">
        <f t="shared" ca="1" si="10"/>
        <v>1369911.5415422933</v>
      </c>
      <c r="W15" s="162">
        <f t="shared" ca="1" si="10"/>
        <v>1374058.3778494804</v>
      </c>
      <c r="X15" s="162">
        <f t="shared" ca="1" si="10"/>
        <v>1357017.4425493691</v>
      </c>
      <c r="Y15" s="162">
        <f t="shared" ca="1" si="10"/>
        <v>1342673.1499501036</v>
      </c>
      <c r="Z15" s="162">
        <f t="shared" ca="1" si="10"/>
        <v>1342920.0731438701</v>
      </c>
      <c r="AA15" s="162">
        <f t="shared" ca="1" si="10"/>
        <v>1151122.8594229924</v>
      </c>
      <c r="AB15" s="162">
        <f t="shared" ca="1" si="10"/>
        <v>1243998.4887893079</v>
      </c>
      <c r="AC15" s="162">
        <f t="shared" ca="1" si="10"/>
        <v>1318337.6310053887</v>
      </c>
      <c r="AD15" s="162">
        <f t="shared" ca="1" si="10"/>
        <v>1362168.3332674571</v>
      </c>
      <c r="AE15" s="162">
        <f t="shared" ca="1" si="10"/>
        <v>1211233.9804432988</v>
      </c>
      <c r="AF15" s="162">
        <f t="shared" ca="1" si="10"/>
        <v>1391138.9503510708</v>
      </c>
      <c r="AG15" s="162">
        <f t="shared" ca="1" si="10"/>
        <v>1395911.2416756083</v>
      </c>
      <c r="AH15" s="162">
        <f t="shared" ca="1" si="10"/>
        <v>1391539.7071691526</v>
      </c>
      <c r="AI15" s="162">
        <f t="shared" ca="1" si="10"/>
        <v>1395754.9100407362</v>
      </c>
      <c r="AJ15" s="162">
        <f t="shared" ca="1" si="10"/>
        <v>1378198.8898305597</v>
      </c>
      <c r="AK15" s="162">
        <f t="shared" ca="1" si="10"/>
        <v>1400748.1993715598</v>
      </c>
      <c r="AL15" s="162">
        <f t="shared" ca="1" si="10"/>
        <v>1380526.1916926722</v>
      </c>
      <c r="AM15" s="162">
        <f t="shared" ca="1" si="10"/>
        <v>1360228.2330561741</v>
      </c>
      <c r="AN15" s="162">
        <f t="shared" ca="1" si="10"/>
        <v>1424381.2840613006</v>
      </c>
      <c r="AO15" s="162">
        <f t="shared" ca="1" si="10"/>
        <v>1356311.0805667394</v>
      </c>
      <c r="AP15" s="162">
        <f t="shared" ca="1" si="10"/>
        <v>1401253.6851764971</v>
      </c>
      <c r="AQ15" s="162">
        <f t="shared" ca="1" si="10"/>
        <v>1428513.1889831659</v>
      </c>
      <c r="AR15" s="162">
        <f t="shared" ca="1" si="10"/>
        <v>369783.33845733909</v>
      </c>
      <c r="AS15" s="162">
        <f t="shared" ca="1" si="10"/>
        <v>397654.16706730984</v>
      </c>
      <c r="AT15" s="162">
        <f t="shared" ca="1" si="10"/>
        <v>393723.93985045882</v>
      </c>
      <c r="AU15" s="162">
        <f t="shared" ca="1" si="10"/>
        <v>394513.76228690305</v>
      </c>
      <c r="AV15" s="162">
        <f t="shared" ca="1" si="10"/>
        <v>373242.58482817875</v>
      </c>
      <c r="AW15" s="162">
        <f t="shared" ca="1" si="10"/>
        <v>1441067.0174542228</v>
      </c>
      <c r="AX15" s="162">
        <f t="shared" ca="1" si="10"/>
        <v>1449514.9220828221</v>
      </c>
      <c r="AY15" s="162">
        <f t="shared" ca="1" si="10"/>
        <v>1467276.2034079875</v>
      </c>
      <c r="AZ15" s="162">
        <f t="shared" ca="1" si="10"/>
        <v>1472474.4690571313</v>
      </c>
      <c r="BA15" s="162">
        <f t="shared" ca="1" si="10"/>
        <v>1402662.2933050313</v>
      </c>
      <c r="BB15" s="162">
        <f t="shared" ca="1" si="10"/>
        <v>1448776.8543878125</v>
      </c>
      <c r="BC15" s="162">
        <f t="shared" ca="1" si="10"/>
        <v>1477079.3065080869</v>
      </c>
      <c r="BD15" s="162">
        <f t="shared" ca="1" si="10"/>
        <v>1481563.7598216583</v>
      </c>
      <c r="BE15" s="162">
        <f t="shared" ca="1" si="10"/>
        <v>1486063.0848233972</v>
      </c>
      <c r="BF15" s="162">
        <f t="shared" ca="1" si="10"/>
        <v>1484460.6740504962</v>
      </c>
      <c r="BG15" s="162">
        <f t="shared" ca="1" si="10"/>
        <v>1488969.4458619601</v>
      </c>
      <c r="BH15" s="162">
        <f t="shared" ca="1" si="10"/>
        <v>1492391.2065432644</v>
      </c>
      <c r="BI15" s="162">
        <f t="shared" ca="1" si="10"/>
        <v>1479754.6910985082</v>
      </c>
      <c r="BJ15" s="162">
        <f t="shared" ca="1" si="10"/>
        <v>1488447.3821361125</v>
      </c>
      <c r="BK15" s="162">
        <f t="shared" ca="1" si="10"/>
        <v>1497277.4060845394</v>
      </c>
      <c r="BL15" s="162">
        <f t="shared" ca="1" si="10"/>
        <v>1505674.8483781156</v>
      </c>
      <c r="BM15" s="162">
        <f t="shared" ca="1" si="10"/>
        <v>1434200.0625537883</v>
      </c>
      <c r="BN15" s="162">
        <f t="shared" ca="1" si="10"/>
        <v>1481459.4792032505</v>
      </c>
      <c r="BO15" s="162">
        <f t="shared" ca="1" si="10"/>
        <v>1510972.336886093</v>
      </c>
      <c r="BP15" s="162">
        <f t="shared" ca="1" si="10"/>
        <v>1515564.1896884004</v>
      </c>
      <c r="BQ15" s="162">
        <f t="shared" ca="1" si="10"/>
        <v>1520169.4353947146</v>
      </c>
      <c r="BR15" s="162">
        <f t="shared" ca="1" si="10"/>
        <v>1518706.3565674247</v>
      </c>
      <c r="BS15" s="162">
        <f t="shared" ca="1" si="10"/>
        <v>1523321.7893406076</v>
      </c>
      <c r="BT15" s="162">
        <f t="shared" ca="1" si="10"/>
        <v>1526867.0245038217</v>
      </c>
      <c r="BU15" s="162">
        <f t="shared" ca="1" si="10"/>
        <v>1514637.9661830745</v>
      </c>
      <c r="BV15" s="162">
        <f t="shared" ca="1" si="10"/>
        <v>1523633.9875444931</v>
      </c>
      <c r="BW15" s="162">
        <f t="shared" ca="1" si="10"/>
        <v>1532683.1681528247</v>
      </c>
      <c r="BX15" s="162">
        <f t="shared" ca="1" si="10"/>
        <v>1541944.1532128521</v>
      </c>
      <c r="BY15" s="162">
        <f t="shared" ref="BY15:DP15" ca="1" si="11">SUM(BY16:BY21)</f>
        <v>1468680.8017708957</v>
      </c>
      <c r="BZ15" s="162">
        <f t="shared" ca="1" si="11"/>
        <v>1517120.0029179887</v>
      </c>
      <c r="CA15" s="162">
        <f t="shared" ca="1" si="11"/>
        <v>1548284.9299438621</v>
      </c>
      <c r="CB15" s="162">
        <f t="shared" ca="1" si="11"/>
        <v>1552992.5397429864</v>
      </c>
      <c r="CC15" s="162">
        <f t="shared" ca="1" si="11"/>
        <v>1557713.8800706915</v>
      </c>
      <c r="CD15" s="162">
        <f t="shared" ca="1" si="11"/>
        <v>1556875.6788499961</v>
      </c>
      <c r="CE15" s="162">
        <f t="shared" ca="1" si="11"/>
        <v>1561609.392973905</v>
      </c>
      <c r="CF15" s="162">
        <f t="shared" ca="1" si="11"/>
        <v>1565289.5093644515</v>
      </c>
      <c r="CG15" s="162">
        <f t="shared" ca="1" si="11"/>
        <v>1552790.7406307801</v>
      </c>
      <c r="CH15" s="162">
        <f t="shared" ca="1" si="11"/>
        <v>1562102.8785451916</v>
      </c>
      <c r="CI15" s="162">
        <f t="shared" ca="1" si="11"/>
        <v>1571383.7501829884</v>
      </c>
      <c r="CJ15" s="162">
        <f t="shared" ca="1" si="11"/>
        <v>1581059.3944239272</v>
      </c>
      <c r="CK15" s="162">
        <f t="shared" ca="1" si="11"/>
        <v>1505968.426970175</v>
      </c>
      <c r="CL15" s="162">
        <f t="shared" ca="1" si="11"/>
        <v>1555622.587492873</v>
      </c>
      <c r="CM15" s="162">
        <f t="shared" ca="1" si="11"/>
        <v>1587847.5968926989</v>
      </c>
      <c r="CN15" s="162">
        <f t="shared" ca="1" si="11"/>
        <v>1592677.707354486</v>
      </c>
      <c r="CO15" s="162">
        <f t="shared" ca="1" si="11"/>
        <v>1597521.9056384533</v>
      </c>
      <c r="CP15" s="162">
        <f t="shared" ca="1" si="11"/>
        <v>1596850.6318381962</v>
      </c>
      <c r="CQ15" s="162">
        <f t="shared" ca="1" si="11"/>
        <v>1601708.0753250611</v>
      </c>
      <c r="CR15" s="162">
        <f t="shared" ca="1" si="11"/>
        <v>1605528.2930218657</v>
      </c>
      <c r="CS15" s="162">
        <f t="shared" ca="1" si="11"/>
        <v>1593615.5684279057</v>
      </c>
      <c r="CT15" s="162">
        <f t="shared" ca="1" si="11"/>
        <v>1603254.9845140029</v>
      </c>
      <c r="CU15" s="162">
        <f t="shared" ca="1" si="11"/>
        <v>1612778.4098299278</v>
      </c>
      <c r="CV15" s="162">
        <f t="shared" ca="1" si="11"/>
        <v>1622884.1997749447</v>
      </c>
      <c r="CW15" s="162">
        <f t="shared" ca="1" si="11"/>
        <v>1545924.985127839</v>
      </c>
      <c r="CX15" s="162">
        <f t="shared" ca="1" si="11"/>
        <v>1596829.5529853243</v>
      </c>
      <c r="CY15" s="162">
        <f t="shared" ca="1" si="11"/>
        <v>1593431.623293661</v>
      </c>
      <c r="CZ15" s="162">
        <f t="shared" ca="1" si="11"/>
        <v>1596349.0887122396</v>
      </c>
      <c r="DA15" s="162">
        <f t="shared" ca="1" si="11"/>
        <v>1601200.5503349379</v>
      </c>
      <c r="DB15" s="162">
        <f t="shared" ca="1" si="11"/>
        <v>1600788.7719241716</v>
      </c>
      <c r="DC15" s="162">
        <f t="shared" ca="1" si="11"/>
        <v>1605406.0019531078</v>
      </c>
      <c r="DD15" s="162">
        <f t="shared" ca="1" si="11"/>
        <v>1609249.3581666807</v>
      </c>
      <c r="DE15" s="162">
        <f t="shared" ca="1" si="11"/>
        <v>1597427.2246227874</v>
      </c>
      <c r="DF15" s="162">
        <f t="shared" ca="1" si="11"/>
        <v>1607086.6089702419</v>
      </c>
      <c r="DG15" s="162">
        <f t="shared" ca="1" si="11"/>
        <v>1616578.3183376002</v>
      </c>
      <c r="DH15" s="162">
        <f t="shared" ca="1" si="11"/>
        <v>1627057.5661025536</v>
      </c>
      <c r="DI15" s="162">
        <f t="shared" ca="1" si="11"/>
        <v>1631867.6277237581</v>
      </c>
      <c r="DJ15" s="162">
        <f t="shared" ca="1" si="11"/>
        <v>1642028.932197242</v>
      </c>
      <c r="DK15" s="162">
        <f t="shared" ca="1" si="11"/>
        <v>1634604.0742495614</v>
      </c>
      <c r="DL15" s="162">
        <f t="shared" ca="1" si="11"/>
        <v>1639572.4473677347</v>
      </c>
      <c r="DM15" s="162">
        <f t="shared" ca="1" si="11"/>
        <v>1644557.3390946491</v>
      </c>
      <c r="DN15" s="162">
        <f t="shared" ca="1" si="11"/>
        <v>1644172.5439166503</v>
      </c>
      <c r="DO15" s="162">
        <f t="shared" ca="1" si="11"/>
        <v>1649171.9811450019</v>
      </c>
      <c r="DP15" s="162">
        <f t="shared" ca="1" si="11"/>
        <v>1653165.9119682126</v>
      </c>
      <c r="DQ15" s="162">
        <f t="shared" ref="DQ15:EQ15" ca="1" si="12">SUM(DQ16:DQ21)</f>
        <v>1641448.3804712044</v>
      </c>
      <c r="DR15" s="162">
        <f t="shared" ca="1" si="12"/>
        <v>1651446.5367262079</v>
      </c>
      <c r="DS15" s="162">
        <f t="shared" ca="1" si="12"/>
        <v>1661192.393316525</v>
      </c>
      <c r="DT15" s="162">
        <f t="shared" ca="1" si="12"/>
        <v>1671666.620571373</v>
      </c>
      <c r="DU15" s="162">
        <f t="shared" ca="1" si="12"/>
        <v>1676749.5789700157</v>
      </c>
      <c r="DV15" s="162">
        <f t="shared" ca="1" si="12"/>
        <v>1687179.174143434</v>
      </c>
      <c r="DW15" s="162">
        <f t="shared" ca="1" si="12"/>
        <v>1680073.2612197492</v>
      </c>
      <c r="DX15" s="162">
        <f t="shared" ca="1" si="12"/>
        <v>1685183.693200768</v>
      </c>
      <c r="DY15" s="162">
        <f t="shared" ca="1" si="12"/>
        <v>1690309.0306083979</v>
      </c>
      <c r="DZ15" s="162">
        <f t="shared" ca="1" si="12"/>
        <v>1690091.7853345247</v>
      </c>
      <c r="EA15" s="162">
        <f t="shared" ca="1" si="12"/>
        <v>1695232.5947778767</v>
      </c>
      <c r="EB15" s="162">
        <f t="shared" ca="1" si="12"/>
        <v>1699383.6114731708</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1737468.0866062997</v>
      </c>
      <c r="K20" s="98"/>
      <c r="L20" s="171">
        <f>'IS(M)'!M44</f>
        <v>0</v>
      </c>
      <c r="M20" s="171">
        <f ca="1">'IS(M)'!N44</f>
        <v>29166.666666666672</v>
      </c>
      <c r="N20" s="171">
        <f ca="1">'IS(M)'!O44</f>
        <v>30966.876211493309</v>
      </c>
      <c r="O20" s="171">
        <f ca="1">'IS(M)'!P44</f>
        <v>34904.201280169007</v>
      </c>
      <c r="P20" s="171">
        <f ca="1">'IS(M)'!Q44</f>
        <v>29248.016306426394</v>
      </c>
      <c r="Q20" s="171">
        <f ca="1">'IS(M)'!R44</f>
        <v>32937.729487838769</v>
      </c>
      <c r="R20" s="171">
        <f ca="1">'IS(M)'!S44</f>
        <v>36859.181606040664</v>
      </c>
      <c r="S20" s="171">
        <f ca="1">'IS(M)'!T44</f>
        <v>22394.432306247283</v>
      </c>
      <c r="T20" s="171">
        <f ca="1">'IS(M)'!U44</f>
        <v>25977.540463507408</v>
      </c>
      <c r="U20" s="171">
        <f ca="1">'IS(M)'!V44</f>
        <v>30122.830632752248</v>
      </c>
      <c r="V20" s="171">
        <f ca="1">'IS(M)'!W44</f>
        <v>25308.734688366192</v>
      </c>
      <c r="W20" s="171">
        <f ca="1">'IS(M)'!X44</f>
        <v>29455.570995553328</v>
      </c>
      <c r="X20" s="171">
        <f ca="1">'IS(M)'!Y44</f>
        <v>32560.580195441988</v>
      </c>
      <c r="Y20" s="171">
        <f ca="1">'IS(M)'!Z44</f>
        <v>18071.143721176857</v>
      </c>
      <c r="Z20" s="171">
        <f ca="1">'IS(M)'!AA44</f>
        <v>20007.399620412059</v>
      </c>
      <c r="AA20" s="171">
        <f ca="1">'IS(M)'!AB44</f>
        <v>23687.946841409426</v>
      </c>
      <c r="AB20" s="171">
        <f ca="1">'IS(M)'!AC44</f>
        <v>18632.266052509676</v>
      </c>
      <c r="AC20" s="171">
        <f ca="1">'IS(M)'!AD44</f>
        <v>22373.474187340689</v>
      </c>
      <c r="AD20" s="171">
        <f ca="1">'IS(M)'!AE44</f>
        <v>26352.095884408962</v>
      </c>
      <c r="AE20" s="171">
        <f ca="1">'IS(M)'!AF44</f>
        <v>13539.692019907123</v>
      </c>
      <c r="AF20" s="171">
        <f ca="1">'IS(M)'!AG44</f>
        <v>17177.266024554196</v>
      </c>
      <c r="AG20" s="171">
        <f ca="1">'IS(M)'!AH44</f>
        <v>21390.974181904017</v>
      </c>
      <c r="AH20" s="171">
        <f ca="1">'IS(M)'!AI44</f>
        <v>16460.856508260931</v>
      </c>
      <c r="AI20" s="171">
        <f ca="1">'IS(M)'!AJ44</f>
        <v>20676.059379844351</v>
      </c>
      <c r="AJ20" s="171">
        <f ca="1">'IS(M)'!AK44</f>
        <v>23769.632282167804</v>
      </c>
      <c r="AK20" s="171">
        <f ca="1">'IS(M)'!AL44</f>
        <v>25520.576238792997</v>
      </c>
      <c r="AL20" s="171">
        <f ca="1">'IS(M)'!AM44</f>
        <v>27679.727695510843</v>
      </c>
      <c r="AM20" s="171">
        <f ca="1">'IS(M)'!AN44</f>
        <v>31467.44770255989</v>
      </c>
      <c r="AN20" s="171">
        <f ca="1">'IS(M)'!AO44</f>
        <v>26772.974046403589</v>
      </c>
      <c r="AO20" s="171">
        <f ca="1">'IS(M)'!AP44</f>
        <v>31086.846192623805</v>
      </c>
      <c r="AP20" s="171">
        <f ca="1">'IS(M)'!AQ44</f>
        <v>35181.068223256319</v>
      </c>
      <c r="AQ20" s="171">
        <f ca="1">'IS(M)'!AR44</f>
        <v>22196.393420135664</v>
      </c>
      <c r="AR20" s="171">
        <f ca="1">'IS(M)'!AS44</f>
        <v>26524.85693066286</v>
      </c>
      <c r="AS20" s="171">
        <f ca="1">'IS(M)'!AT44</f>
        <v>27455.299702229124</v>
      </c>
      <c r="AT20" s="171">
        <f ca="1">'IS(M)'!AU44</f>
        <v>19616.017786709901</v>
      </c>
      <c r="AU20" s="171">
        <f ca="1">'IS(M)'!AV44</f>
        <v>20405.840223154115</v>
      </c>
      <c r="AV20" s="171">
        <f ca="1">'IS(M)'!AW44</f>
        <v>20300.495704742367</v>
      </c>
      <c r="AW20" s="171">
        <f ca="1">'IS(M)'!AX44</f>
        <v>4893.3850631820578</v>
      </c>
      <c r="AX20" s="171">
        <f ca="1">'IS(M)'!AY44</f>
        <v>7225.7177864264495</v>
      </c>
      <c r="AY20" s="171">
        <f ca="1">'IS(M)'!AZ44</f>
        <v>11229.262202649335</v>
      </c>
      <c r="AZ20" s="171">
        <f ca="1">'IS(M)'!BA44</f>
        <v>6774.2480647701814</v>
      </c>
      <c r="BA20" s="171">
        <f ca="1">'IS(M)'!BB44</f>
        <v>11155.749844470673</v>
      </c>
      <c r="BB20" s="171">
        <f ca="1">'IS(M)'!BC44</f>
        <v>15400.718783648867</v>
      </c>
      <c r="BC20" s="171">
        <f ca="1">'IS(M)'!BD44</f>
        <v>2509.4994344513516</v>
      </c>
      <c r="BD20" s="171">
        <f ca="1">'IS(M)'!BE44</f>
        <v>6993.9527480227762</v>
      </c>
      <c r="BE20" s="171">
        <f ca="1">'IS(M)'!BF44</f>
        <v>11493.277749761612</v>
      </c>
      <c r="BF20" s="171">
        <f ca="1">'IS(M)'!BG44</f>
        <v>6470.9473507521179</v>
      </c>
      <c r="BG20" s="171">
        <f ca="1">'IS(M)'!BH44</f>
        <v>10979.719162216012</v>
      </c>
      <c r="BH20" s="171">
        <f ca="1">'IS(M)'!BI44</f>
        <v>14401.479843520356</v>
      </c>
      <c r="BI20" s="171">
        <f ca="1">'IS(M)'!BJ44</f>
        <v>1608.6603205001609</v>
      </c>
      <c r="BJ20" s="171">
        <f ca="1">'IS(M)'!BK44</f>
        <v>4102.9629789180735</v>
      </c>
      <c r="BK20" s="171">
        <f ca="1">'IS(M)'!BL44</f>
        <v>8220.6040949067847</v>
      </c>
      <c r="BL20" s="171">
        <f ca="1">'IS(M)'!BM44</f>
        <v>3850.4488308910913</v>
      </c>
      <c r="BM20" s="171">
        <f ca="1">'IS(M)'!BN44</f>
        <v>8424.182476659742</v>
      </c>
      <c r="BN20" s="171">
        <f ca="1">'IS(M)'!BO44</f>
        <v>12767.26717892866</v>
      </c>
      <c r="BO20" s="171">
        <f ca="1">'IS(M)'!BP44</f>
        <v>0</v>
      </c>
      <c r="BP20" s="171">
        <f ca="1">'IS(M)'!BQ44</f>
        <v>4591.8528023074205</v>
      </c>
      <c r="BQ20" s="171">
        <f ca="1">'IS(M)'!BR44</f>
        <v>9197.0985086215715</v>
      </c>
      <c r="BR20" s="171">
        <f ca="1">'IS(M)'!BS44</f>
        <v>4228.6020645703929</v>
      </c>
      <c r="BS20" s="171">
        <f ca="1">'IS(M)'!BT44</f>
        <v>8844.0348377532518</v>
      </c>
      <c r="BT20" s="171">
        <f ca="1">'IS(M)'!BU44</f>
        <v>12389.270000967386</v>
      </c>
      <c r="BU20" s="171">
        <f ca="1">'IS(M)'!BV44</f>
        <v>0</v>
      </c>
      <c r="BV20" s="171">
        <f ca="1">'IS(M)'!BW44</f>
        <v>2642.6732727521403</v>
      </c>
      <c r="BW20" s="171">
        <f ca="1">'IS(M)'!BX44</f>
        <v>6861.6614778343783</v>
      </c>
      <c r="BX20" s="171">
        <f ca="1">'IS(M)'!BY44</f>
        <v>3035.8590413306733</v>
      </c>
      <c r="BY20" s="171">
        <f ca="1">'IS(M)'!BZ44</f>
        <v>7722.2400562226039</v>
      </c>
      <c r="BZ20" s="171">
        <f ca="1">'IS(M)'!CA44</f>
        <v>12172.200957442248</v>
      </c>
      <c r="CA20" s="171">
        <f ca="1">'IS(M)'!CB44</f>
        <v>0</v>
      </c>
      <c r="CB20" s="171">
        <f ca="1">'IS(M)'!CC44</f>
        <v>4707.6097991243096</v>
      </c>
      <c r="CC20" s="171">
        <f ca="1">'IS(M)'!CD44</f>
        <v>9428.9501268293989</v>
      </c>
      <c r="CD20" s="171">
        <f ca="1">'IS(M)'!CE44</f>
        <v>4997.695848953771</v>
      </c>
      <c r="CE20" s="171">
        <f ca="1">'IS(M)'!CF44</f>
        <v>9731.4099728626497</v>
      </c>
      <c r="CF20" s="171">
        <f ca="1">'IS(M)'!CG44</f>
        <v>13411.52636340911</v>
      </c>
      <c r="CG20" s="171">
        <f ca="1">'IS(M)'!CH44</f>
        <v>748.54065751200972</v>
      </c>
      <c r="CH20" s="171">
        <f ca="1">'IS(M)'!CI44</f>
        <v>3548.4967810406724</v>
      </c>
      <c r="CI20" s="171">
        <f ca="1">'IS(M)'!CJ44</f>
        <v>7878.4212055065591</v>
      </c>
      <c r="CJ20" s="171">
        <f ca="1">'IS(M)'!CK44</f>
        <v>4140.1082625010431</v>
      </c>
      <c r="CK20" s="171">
        <f ca="1">'IS(M)'!CL44</f>
        <v>8947.6165770181142</v>
      </c>
      <c r="CL20" s="171">
        <f ca="1">'IS(M)'!CM44</f>
        <v>13512.805847695998</v>
      </c>
      <c r="CM20" s="171">
        <f ca="1">'IS(M)'!CN44</f>
        <v>1317.2590646235481</v>
      </c>
      <c r="CN20" s="171">
        <f ca="1">'IS(M)'!CO44</f>
        <v>6147.3695264106427</v>
      </c>
      <c r="CO20" s="171">
        <f ca="1">'IS(M)'!CP44</f>
        <v>10991.56781037795</v>
      </c>
      <c r="CP20" s="171">
        <f ca="1">'IS(M)'!CQ44</f>
        <v>6637.4146265110257</v>
      </c>
      <c r="CQ20" s="171">
        <f ca="1">'IS(M)'!CR44</f>
        <v>11494.85811337604</v>
      </c>
      <c r="CR20" s="171">
        <f ca="1">'IS(M)'!CS44</f>
        <v>15315.075810180615</v>
      </c>
      <c r="CS20" s="171">
        <f ca="1">'IS(M)'!CT44</f>
        <v>3234.0288196893343</v>
      </c>
      <c r="CT20" s="171">
        <f ca="1">'IS(M)'!CU44</f>
        <v>6198.4585701315509</v>
      </c>
      <c r="CU20" s="171">
        <f ca="1">'IS(M)'!CV44</f>
        <v>10647.162992392448</v>
      </c>
      <c r="CV20" s="171">
        <f ca="1">'IS(M)'!CW44</f>
        <v>7003.6468238662419</v>
      </c>
      <c r="CW20" s="171">
        <f ca="1">'IS(M)'!CX44</f>
        <v>11940.369839236771</v>
      </c>
      <c r="CX20" s="171">
        <f ca="1">'IS(M)'!CY44</f>
        <v>16628.742163401683</v>
      </c>
      <c r="CY20" s="171">
        <f ca="1">'IS(M)'!CZ44</f>
        <v>4524.7345917929515</v>
      </c>
      <c r="CZ20" s="171">
        <f ca="1">'IS(M)'!DA44</f>
        <v>7442.2000103715682</v>
      </c>
      <c r="DA20" s="171">
        <f ca="1">'IS(M)'!DB44</f>
        <v>12293.661633069853</v>
      </c>
      <c r="DB20" s="171">
        <f ca="1">'IS(M)'!DC44</f>
        <v>8106.9318541039238</v>
      </c>
      <c r="DC20" s="171">
        <f ca="1">'IS(M)'!DD44</f>
        <v>12724.161883040084</v>
      </c>
      <c r="DD20" s="171">
        <f ca="1">'IS(M)'!DE44</f>
        <v>16567.518096612952</v>
      </c>
      <c r="DE20" s="171">
        <f ca="1">'IS(M)'!DF44</f>
        <v>4489.3812241455453</v>
      </c>
      <c r="DF20" s="171">
        <f ca="1">'IS(M)'!DG44</f>
        <v>7499.0314299765587</v>
      </c>
      <c r="DG20" s="171">
        <f ca="1">'IS(M)'!DH44</f>
        <v>11946.9118714587</v>
      </c>
      <c r="DH20" s="171">
        <f ca="1">'IS(M)'!DI44</f>
        <v>8280.7471410900362</v>
      </c>
      <c r="DI20" s="171">
        <f ca="1">'IS(M)'!DJ44</f>
        <v>13090.808762294453</v>
      </c>
      <c r="DJ20" s="171">
        <f ca="1">'IS(M)'!DK44</f>
        <v>18050.345938758077</v>
      </c>
      <c r="DK20" s="171">
        <f ca="1">'IS(M)'!DL44</f>
        <v>5945.5644677463979</v>
      </c>
      <c r="DL20" s="171">
        <f ca="1">'IS(M)'!DM44</f>
        <v>10913.937585919517</v>
      </c>
      <c r="DM20" s="171">
        <f ca="1">'IS(M)'!DN44</f>
        <v>15898.829312834008</v>
      </c>
      <c r="DN20" s="171">
        <f ca="1">'IS(M)'!DO44</f>
        <v>11644.708982430326</v>
      </c>
      <c r="DO20" s="171">
        <f ca="1">'IS(M)'!DP44</f>
        <v>16644.146210781939</v>
      </c>
      <c r="DP20" s="171">
        <f ca="1">'IS(M)'!DQ44</f>
        <v>20638.077033992646</v>
      </c>
      <c r="DQ20" s="171">
        <f ca="1">'IS(M)'!DR44</f>
        <v>8658.1421251962493</v>
      </c>
      <c r="DR20" s="171">
        <f ca="1">'IS(M)'!DS44</f>
        <v>11840.320885035675</v>
      </c>
      <c r="DS20" s="171">
        <f ca="1">'IS(M)'!DT44</f>
        <v>16416.252826329666</v>
      </c>
      <c r="DT20" s="171">
        <f ca="1">'IS(M)'!DU44</f>
        <v>12882.096500256417</v>
      </c>
      <c r="DU20" s="171">
        <f ca="1">'IS(M)'!DV44</f>
        <v>17965.054898899136</v>
      </c>
      <c r="DV20" s="171">
        <f ca="1">'IS(M)'!DW44</f>
        <v>23062.838592871227</v>
      </c>
      <c r="DW20" s="171">
        <f ca="1">'IS(M)'!DX44</f>
        <v>11160.004057772501</v>
      </c>
      <c r="DX20" s="171">
        <f ca="1">'IS(M)'!DY44</f>
        <v>16270.436038791151</v>
      </c>
      <c r="DY20" s="171">
        <f ca="1">'IS(M)'!DZ44</f>
        <v>21395.773446421106</v>
      </c>
      <c r="DZ20" s="171">
        <f ca="1">'IS(M)'!EA44</f>
        <v>17212.469891332705</v>
      </c>
      <c r="EA20" s="171">
        <f ca="1">'IS(M)'!EB44</f>
        <v>22353.279334684805</v>
      </c>
      <c r="EB20" s="171">
        <f ca="1">'IS(M)'!EC44</f>
        <v>26504.29602997893</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1018</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1019</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651</v>
      </c>
      <c r="E44" s="886"/>
      <c r="F44" s="886"/>
      <c r="G44" s="886"/>
      <c r="H44" s="1649"/>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1020</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1021</v>
      </c>
      <c r="E46" s="1018"/>
      <c r="F46" s="1018"/>
      <c r="G46" s="1018"/>
      <c r="H46" s="1020"/>
      <c r="I46" s="1650"/>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617</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-4390000</v>
      </c>
      <c r="K65" s="98"/>
      <c r="L65" s="171">
        <f>-TIC!M32</f>
        <v>-4390000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-235384.77486795187</v>
      </c>
      <c r="K66" s="98"/>
      <c r="L66" s="171">
        <f>-TIC!M36</f>
        <v>-235384.77486795187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-115985534.77444097</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-2715000</v>
      </c>
      <c r="BC67" s="216">
        <f t="shared" ca="1" si="38"/>
        <v>0</v>
      </c>
      <c r="BD67" s="216">
        <f t="shared" ca="1" si="38"/>
        <v>0</v>
      </c>
      <c r="BE67" s="216">
        <f t="shared" ca="1" si="38"/>
        <v>0</v>
      </c>
      <c r="BF67" s="216">
        <f t="shared" ca="1" si="38"/>
        <v>0</v>
      </c>
      <c r="BG67" s="216">
        <f t="shared" ca="1" si="38"/>
        <v>0</v>
      </c>
      <c r="BH67" s="216">
        <f t="shared" ca="1" si="38"/>
        <v>-2715000</v>
      </c>
      <c r="BI67" s="216">
        <f t="shared" ca="1" si="38"/>
        <v>0</v>
      </c>
      <c r="BJ67" s="216">
        <f t="shared" ca="1" si="38"/>
        <v>0</v>
      </c>
      <c r="BK67" s="216">
        <f t="shared" ca="1" si="38"/>
        <v>0</v>
      </c>
      <c r="BL67" s="216">
        <f t="shared" ca="1" si="38"/>
        <v>0</v>
      </c>
      <c r="BM67" s="216">
        <f t="shared" ca="1" si="38"/>
        <v>0</v>
      </c>
      <c r="BN67" s="216">
        <f t="shared" ca="1" si="38"/>
        <v>-2696056.3038810929</v>
      </c>
      <c r="BO67" s="216">
        <f t="shared" ca="1" si="38"/>
        <v>0</v>
      </c>
      <c r="BP67" s="216">
        <f t="shared" ca="1" si="38"/>
        <v>0</v>
      </c>
      <c r="BQ67" s="216">
        <f t="shared" ca="1" si="38"/>
        <v>0</v>
      </c>
      <c r="BR67" s="216">
        <f t="shared" ca="1" si="38"/>
        <v>0</v>
      </c>
      <c r="BS67" s="216">
        <f t="shared" ca="1" si="38"/>
        <v>0</v>
      </c>
      <c r="BT67" s="216">
        <f t="shared" ca="1" si="38"/>
        <v>-2601729.2937996686</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-2678082.375135636</v>
      </c>
      <c r="CA67" s="216">
        <f t="shared" ca="1" si="39"/>
        <v>0</v>
      </c>
      <c r="CB67" s="216">
        <f t="shared" ca="1" si="39"/>
        <v>0</v>
      </c>
      <c r="CC67" s="216">
        <f t="shared" ca="1" si="39"/>
        <v>0</v>
      </c>
      <c r="CD67" s="216">
        <f t="shared" ca="1" si="39"/>
        <v>0</v>
      </c>
      <c r="CE67" s="216">
        <f t="shared" ca="1" si="39"/>
        <v>0</v>
      </c>
      <c r="CF67" s="216">
        <f t="shared" ca="1" si="39"/>
        <v>-2884132.0271836026</v>
      </c>
      <c r="CG67" s="216">
        <f t="shared" ca="1" si="39"/>
        <v>0</v>
      </c>
      <c r="CH67" s="216">
        <f t="shared" ca="1" si="39"/>
        <v>0</v>
      </c>
      <c r="CI67" s="216">
        <f t="shared" ca="1" si="39"/>
        <v>0</v>
      </c>
      <c r="CJ67" s="216">
        <f t="shared" ca="1" si="39"/>
        <v>0</v>
      </c>
      <c r="CK67" s="216">
        <f t="shared" ca="1" si="39"/>
        <v>0</v>
      </c>
      <c r="CL67" s="216">
        <f t="shared" ca="1" si="39"/>
        <v>-2715000</v>
      </c>
      <c r="CM67" s="216">
        <f t="shared" ca="1" si="39"/>
        <v>0</v>
      </c>
      <c r="CN67" s="216">
        <f t="shared" ca="1" si="39"/>
        <v>0</v>
      </c>
      <c r="CO67" s="216">
        <f t="shared" ca="1" si="39"/>
        <v>0</v>
      </c>
      <c r="CP67" s="216">
        <f t="shared" ca="1" si="39"/>
        <v>0</v>
      </c>
      <c r="CQ67" s="216">
        <f t="shared" ca="1" si="39"/>
        <v>0</v>
      </c>
      <c r="CR67" s="216">
        <f t="shared" ca="1" si="39"/>
        <v>-2715000</v>
      </c>
      <c r="CS67" s="216">
        <f t="shared" ca="1" si="39"/>
        <v>0</v>
      </c>
      <c r="CT67" s="216">
        <f t="shared" ca="1" si="39"/>
        <v>0</v>
      </c>
      <c r="CU67" s="216">
        <f t="shared" ca="1" si="39"/>
        <v>0</v>
      </c>
      <c r="CV67" s="216">
        <f t="shared" ca="1" si="39"/>
        <v>0</v>
      </c>
      <c r="CW67" s="216">
        <f t="shared" ca="1" si="39"/>
        <v>0</v>
      </c>
      <c r="CX67" s="216">
        <f t="shared" ca="1" si="39"/>
        <v>-2715000</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-367190534.774441</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645</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606</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552</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$H$146*G99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-49615106.954888195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-1875000</v>
      </c>
      <c r="BC100" s="162">
        <f t="shared" ca="1" si="74"/>
        <v>0</v>
      </c>
      <c r="BD100" s="162">
        <f t="shared" ca="1" si="74"/>
        <v>0</v>
      </c>
      <c r="BE100" s="162">
        <f t="shared" ca="1" si="74"/>
        <v>0</v>
      </c>
      <c r="BF100" s="162">
        <f t="shared" ca="1" si="74"/>
        <v>0</v>
      </c>
      <c r="BG100" s="162">
        <f t="shared" ca="1" si="74"/>
        <v>0</v>
      </c>
      <c r="BH100" s="162">
        <f t="shared" ca="1" si="74"/>
        <v>-1875000</v>
      </c>
      <c r="BI100" s="162">
        <f t="shared" ca="1" si="74"/>
        <v>0</v>
      </c>
      <c r="BJ100" s="162">
        <f t="shared" ca="1" si="74"/>
        <v>0</v>
      </c>
      <c r="BK100" s="162">
        <f t="shared" ca="1" si="74"/>
        <v>0</v>
      </c>
      <c r="BL100" s="162">
        <f t="shared" ca="1" si="74"/>
        <v>0</v>
      </c>
      <c r="BM100" s="162">
        <f t="shared" ca="1" si="74"/>
        <v>0</v>
      </c>
      <c r="BN100" s="162">
        <f t="shared" ca="1" si="74"/>
        <v>-1856056.3038810929</v>
      </c>
      <c r="BO100" s="162">
        <f t="shared" ca="1" si="74"/>
        <v>0</v>
      </c>
      <c r="BP100" s="162">
        <f t="shared" ca="1" si="74"/>
        <v>0</v>
      </c>
      <c r="BQ100" s="162">
        <f t="shared" ca="1" si="74"/>
        <v>0</v>
      </c>
      <c r="BR100" s="162">
        <f t="shared" ca="1" si="74"/>
        <v>0</v>
      </c>
      <c r="BS100" s="162">
        <f t="shared" ca="1" si="74"/>
        <v>0</v>
      </c>
      <c r="BT100" s="162">
        <f t="shared" ca="1" si="74"/>
        <v>-1761729.2937996686</v>
      </c>
      <c r="BU100" s="162">
        <f t="shared" ca="1" si="74"/>
        <v>0</v>
      </c>
      <c r="BV100" s="162">
        <f t="shared" ca="1" si="74"/>
        <v>0</v>
      </c>
      <c r="BW100" s="162">
        <f t="shared" ca="1" si="74"/>
        <v>0</v>
      </c>
      <c r="BX100" s="162">
        <f t="shared" ca="1" si="74"/>
        <v>0</v>
      </c>
      <c r="BY100" s="162">
        <f t="shared" ref="BY100:EJ100" ca="1" si="75">SUM(BY101:BY104)</f>
        <v>0</v>
      </c>
      <c r="BZ100" s="162">
        <f t="shared" ca="1" si="75"/>
        <v>-1838082.375135636</v>
      </c>
      <c r="CA100" s="162">
        <f t="shared" ca="1" si="75"/>
        <v>0</v>
      </c>
      <c r="CB100" s="162">
        <f t="shared" ca="1" si="75"/>
        <v>0</v>
      </c>
      <c r="CC100" s="162">
        <f t="shared" ca="1" si="75"/>
        <v>0</v>
      </c>
      <c r="CD100" s="162">
        <f t="shared" ca="1" si="75"/>
        <v>0</v>
      </c>
      <c r="CE100" s="162">
        <f t="shared" ca="1" si="75"/>
        <v>0</v>
      </c>
      <c r="CF100" s="162">
        <f t="shared" ca="1" si="75"/>
        <v>-2044132.0271836026</v>
      </c>
      <c r="CG100" s="162">
        <f t="shared" ca="1" si="75"/>
        <v>0</v>
      </c>
      <c r="CH100" s="162">
        <f t="shared" ca="1" si="75"/>
        <v>0</v>
      </c>
      <c r="CI100" s="162">
        <f t="shared" ca="1" si="75"/>
        <v>0</v>
      </c>
      <c r="CJ100" s="162">
        <f t="shared" ca="1" si="75"/>
        <v>0</v>
      </c>
      <c r="CK100" s="162">
        <f t="shared" ca="1" si="75"/>
        <v>0</v>
      </c>
      <c r="CL100" s="162">
        <f t="shared" ca="1" si="75"/>
        <v>-1875000</v>
      </c>
      <c r="CM100" s="162">
        <f t="shared" ca="1" si="75"/>
        <v>0</v>
      </c>
      <c r="CN100" s="162">
        <f t="shared" ca="1" si="75"/>
        <v>0</v>
      </c>
      <c r="CO100" s="162">
        <f t="shared" ca="1" si="75"/>
        <v>0</v>
      </c>
      <c r="CP100" s="162">
        <f t="shared" ca="1" si="75"/>
        <v>0</v>
      </c>
      <c r="CQ100" s="162">
        <f t="shared" ca="1" si="75"/>
        <v>0</v>
      </c>
      <c r="CR100" s="162">
        <f t="shared" ca="1" si="75"/>
        <v>-1875000</v>
      </c>
      <c r="CS100" s="162">
        <f t="shared" ca="1" si="75"/>
        <v>0</v>
      </c>
      <c r="CT100" s="162">
        <f t="shared" ca="1" si="75"/>
        <v>0</v>
      </c>
      <c r="CU100" s="162">
        <f t="shared" ca="1" si="75"/>
        <v>0</v>
      </c>
      <c r="CV100" s="162">
        <f t="shared" ca="1" si="75"/>
        <v>0</v>
      </c>
      <c r="CW100" s="162">
        <f t="shared" ca="1" si="75"/>
        <v>0</v>
      </c>
      <c r="CX100" s="162">
        <f t="shared" ca="1" si="75"/>
        <v>-1875000</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-63990106.954888195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552</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-1875000</v>
      </c>
      <c r="BC103" s="171">
        <f ca="1">-'IS(M)'!BD80</f>
        <v>0</v>
      </c>
      <c r="BD103" s="171">
        <f ca="1">-'IS(M)'!BE80</f>
        <v>0</v>
      </c>
      <c r="BE103" s="171">
        <f ca="1">-'IS(M)'!BF80</f>
        <v>0</v>
      </c>
      <c r="BF103" s="171">
        <f ca="1">-'IS(M)'!BG80</f>
        <v>0</v>
      </c>
      <c r="BG103" s="171">
        <f ca="1">-'IS(M)'!BH80</f>
        <v>0</v>
      </c>
      <c r="BH103" s="171">
        <f ca="1">-'IS(M)'!BI80</f>
        <v>-1875000</v>
      </c>
      <c r="BI103" s="171">
        <f ca="1">-'IS(M)'!BJ80</f>
        <v>0</v>
      </c>
      <c r="BJ103" s="171">
        <f ca="1">-'IS(M)'!BK80</f>
        <v>0</v>
      </c>
      <c r="BK103" s="171">
        <f ca="1">-'IS(M)'!BL80</f>
        <v>0</v>
      </c>
      <c r="BL103" s="171">
        <f ca="1">-'IS(M)'!BM80</f>
        <v>0</v>
      </c>
      <c r="BM103" s="171">
        <f ca="1">-'IS(M)'!BN80</f>
        <v>0</v>
      </c>
      <c r="BN103" s="171">
        <f ca="1">-'IS(M)'!BO80</f>
        <v>-1856056.3038810929</v>
      </c>
      <c r="BO103" s="171">
        <f ca="1">-'IS(M)'!BP80</f>
        <v>0</v>
      </c>
      <c r="BP103" s="171">
        <f ca="1">-'IS(M)'!BQ80</f>
        <v>0</v>
      </c>
      <c r="BQ103" s="171">
        <f ca="1">-'IS(M)'!BR80</f>
        <v>0</v>
      </c>
      <c r="BR103" s="171">
        <f ca="1">-'IS(M)'!BS80</f>
        <v>0</v>
      </c>
      <c r="BS103" s="171">
        <f ca="1">-'IS(M)'!BT80</f>
        <v>0</v>
      </c>
      <c r="BT103" s="171">
        <f ca="1">-'IS(M)'!BU80</f>
        <v>-1761729.2937996686</v>
      </c>
      <c r="BU103" s="171">
        <f ca="1">-'IS(M)'!BV80</f>
        <v>0</v>
      </c>
      <c r="BV103" s="171">
        <f ca="1">-'IS(M)'!BW80</f>
        <v>0</v>
      </c>
      <c r="BW103" s="171">
        <f ca="1">-'IS(M)'!BX80</f>
        <v>0</v>
      </c>
      <c r="BX103" s="171">
        <f ca="1">-'IS(M)'!BY80</f>
        <v>0</v>
      </c>
      <c r="BY103" s="171">
        <f ca="1">-'IS(M)'!BZ80</f>
        <v>0</v>
      </c>
      <c r="BZ103" s="171">
        <f ca="1">-'IS(M)'!CA80</f>
        <v>-1838082.375135636</v>
      </c>
      <c r="CA103" s="171">
        <f ca="1">-'IS(M)'!CB80</f>
        <v>0</v>
      </c>
      <c r="CB103" s="171">
        <f ca="1">-'IS(M)'!CC80</f>
        <v>0</v>
      </c>
      <c r="CC103" s="171">
        <f ca="1">-'IS(M)'!CD80</f>
        <v>0</v>
      </c>
      <c r="CD103" s="171">
        <f ca="1">-'IS(M)'!CE80</f>
        <v>0</v>
      </c>
      <c r="CE103" s="171">
        <f ca="1">-'IS(M)'!CF80</f>
        <v>0</v>
      </c>
      <c r="CF103" s="171">
        <f ca="1">-'IS(M)'!CG80</f>
        <v>-2044132.0271836026</v>
      </c>
      <c r="CG103" s="171">
        <f ca="1">-'IS(M)'!CH80</f>
        <v>0</v>
      </c>
      <c r="CH103" s="171">
        <f ca="1">-'IS(M)'!CI80</f>
        <v>0</v>
      </c>
      <c r="CI103" s="171">
        <f ca="1">-'IS(M)'!CJ80</f>
        <v>0</v>
      </c>
      <c r="CJ103" s="171">
        <f ca="1">-'IS(M)'!CK80</f>
        <v>0</v>
      </c>
      <c r="CK103" s="171">
        <f ca="1">-'IS(M)'!CL80</f>
        <v>0</v>
      </c>
      <c r="CL103" s="171">
        <f ca="1">-'IS(M)'!CM80</f>
        <v>-1875000</v>
      </c>
      <c r="CM103" s="171">
        <f ca="1">-'IS(M)'!CN80</f>
        <v>0</v>
      </c>
      <c r="CN103" s="171">
        <f ca="1">-'IS(M)'!CO80</f>
        <v>0</v>
      </c>
      <c r="CO103" s="171">
        <f ca="1">-'IS(M)'!CP80</f>
        <v>0</v>
      </c>
      <c r="CP103" s="171">
        <f ca="1">-'IS(M)'!CQ80</f>
        <v>0</v>
      </c>
      <c r="CQ103" s="171">
        <f ca="1">-'IS(M)'!CR80</f>
        <v>0</v>
      </c>
      <c r="CR103" s="171">
        <f ca="1">-'IS(M)'!CS80</f>
        <v>-1875000</v>
      </c>
      <c r="CS103" s="171">
        <f ca="1">-'IS(M)'!CT80</f>
        <v>0</v>
      </c>
      <c r="CT103" s="171">
        <f ca="1">-'IS(M)'!CU80</f>
        <v>0</v>
      </c>
      <c r="CU103" s="171">
        <f ca="1">-'IS(M)'!CV80</f>
        <v>0</v>
      </c>
      <c r="CV103" s="171">
        <f ca="1">-'IS(M)'!CW80</f>
        <v>0</v>
      </c>
      <c r="CW103" s="171">
        <f ca="1">-'IS(M)'!CX80</f>
        <v>0</v>
      </c>
      <c r="CX103" s="171">
        <f ca="1">-'IS(M)'!CY80</f>
        <v>-1875000</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$H$146*G104</f>
        <v>12115106.954888193</v>
      </c>
      <c r="J104" s="171">
        <f>SUM(L104:EQ104)</f>
        <v>-12115106.954888193</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-12115106.954888193</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552</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$H$146*G109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-49570427.819552772</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-63260427.819552772</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552</v>
      </c>
      <c r="G112" s="13"/>
      <c r="H112" s="90">
        <f ca="1">-I112+J14</f>
        <v>49203658.760751069</v>
      </c>
      <c r="I112" s="229">
        <f>-'IS(FY)'!K78*('A&amp;R'!$F$102=1)</f>
        <v>-3939952.0316274604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-6206341.2392489519</v>
      </c>
      <c r="I113" s="229">
        <f ca="1">'IS(M)'!K94-'IS(M)'!K95</f>
        <v>-6206341.2392489519</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$H$146*G114</f>
        <v>48460427.819552772</v>
      </c>
      <c r="J114" s="171">
        <f>SUM(L114:EQ114)</f>
        <v>-48460427.819552772</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-48460427.819552772</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1028</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3" t="s">
        <v>261</v>
      </c>
      <c r="E118" s="1764"/>
      <c r="F118" s="1764"/>
      <c r="G118" s="1764"/>
      <c r="H118" s="1765"/>
      <c r="I118" s="1766"/>
      <c r="J118" s="1767">
        <f>SUM(L118:EQ118)</f>
        <v>0</v>
      </c>
      <c r="K118" s="1768"/>
      <c r="L118" s="1767">
        <v>0</v>
      </c>
      <c r="M118" s="1767">
        <v>0</v>
      </c>
      <c r="N118" s="1767">
        <v>0</v>
      </c>
      <c r="O118" s="1767">
        <v>0</v>
      </c>
      <c r="P118" s="1767">
        <v>0</v>
      </c>
      <c r="Q118" s="1767">
        <v>0</v>
      </c>
      <c r="R118" s="1767">
        <v>0</v>
      </c>
      <c r="S118" s="1767">
        <v>0</v>
      </c>
      <c r="T118" s="1767">
        <v>0</v>
      </c>
      <c r="U118" s="1767">
        <v>0</v>
      </c>
      <c r="V118" s="1767">
        <v>0</v>
      </c>
      <c r="W118" s="1767">
        <v>0</v>
      </c>
      <c r="X118" s="1767">
        <v>0</v>
      </c>
      <c r="Y118" s="1767">
        <v>0</v>
      </c>
      <c r="Z118" s="1767">
        <v>0</v>
      </c>
      <c r="AA118" s="1767">
        <v>0</v>
      </c>
      <c r="AB118" s="1767">
        <v>0</v>
      </c>
      <c r="AC118" s="1767">
        <v>0</v>
      </c>
      <c r="AD118" s="1767">
        <v>0</v>
      </c>
      <c r="AE118" s="1767">
        <v>0</v>
      </c>
      <c r="AF118" s="1767">
        <v>0</v>
      </c>
      <c r="AG118" s="1767">
        <v>0</v>
      </c>
      <c r="AH118" s="1767">
        <v>0</v>
      </c>
      <c r="AI118" s="1767">
        <v>0</v>
      </c>
      <c r="AJ118" s="1767">
        <v>0</v>
      </c>
      <c r="AK118" s="1767">
        <v>0</v>
      </c>
      <c r="AL118" s="1767">
        <v>0</v>
      </c>
      <c r="AM118" s="1767">
        <v>0</v>
      </c>
      <c r="AN118" s="1767">
        <v>0</v>
      </c>
      <c r="AO118" s="1767">
        <v>0</v>
      </c>
      <c r="AP118" s="1767">
        <v>0</v>
      </c>
      <c r="AQ118" s="1767">
        <v>0</v>
      </c>
      <c r="AR118" s="1767">
        <v>0</v>
      </c>
      <c r="AS118" s="1767">
        <v>0</v>
      </c>
      <c r="AT118" s="1767">
        <v>0</v>
      </c>
      <c r="AU118" s="1767">
        <v>0</v>
      </c>
      <c r="AV118" s="1767">
        <v>0</v>
      </c>
      <c r="AW118" s="1767">
        <v>0</v>
      </c>
      <c r="AX118" s="1767">
        <v>0</v>
      </c>
      <c r="AY118" s="1767">
        <v>0</v>
      </c>
      <c r="AZ118" s="1767">
        <v>0</v>
      </c>
      <c r="BA118" s="1767">
        <v>0</v>
      </c>
      <c r="BB118" s="1767">
        <v>0</v>
      </c>
      <c r="BC118" s="1767">
        <v>0</v>
      </c>
      <c r="BD118" s="1767">
        <v>0</v>
      </c>
      <c r="BE118" s="1767">
        <v>0</v>
      </c>
      <c r="BF118" s="1767">
        <v>0</v>
      </c>
      <c r="BG118" s="1767">
        <v>0</v>
      </c>
      <c r="BH118" s="1767">
        <v>0</v>
      </c>
      <c r="BI118" s="1767">
        <v>0</v>
      </c>
      <c r="BJ118" s="1767">
        <v>0</v>
      </c>
      <c r="BK118" s="1767">
        <v>0</v>
      </c>
      <c r="BL118" s="1767">
        <v>0</v>
      </c>
      <c r="BM118" s="1767">
        <v>0</v>
      </c>
      <c r="BN118" s="1767">
        <v>0</v>
      </c>
      <c r="BO118" s="1767">
        <v>0</v>
      </c>
      <c r="BP118" s="1767">
        <v>0</v>
      </c>
      <c r="BQ118" s="1767">
        <v>0</v>
      </c>
      <c r="BR118" s="1767">
        <v>0</v>
      </c>
      <c r="BS118" s="1767">
        <v>0</v>
      </c>
      <c r="BT118" s="1767">
        <v>0</v>
      </c>
      <c r="BU118" s="1767">
        <v>0</v>
      </c>
      <c r="BV118" s="1767">
        <v>0</v>
      </c>
      <c r="BW118" s="1767">
        <v>0</v>
      </c>
      <c r="BX118" s="1767">
        <v>0</v>
      </c>
      <c r="BY118" s="1767">
        <v>0</v>
      </c>
      <c r="BZ118" s="1767">
        <v>0</v>
      </c>
      <c r="CA118" s="1767">
        <v>0</v>
      </c>
      <c r="CB118" s="1767">
        <v>0</v>
      </c>
      <c r="CC118" s="1767">
        <v>0</v>
      </c>
      <c r="CD118" s="1767">
        <v>0</v>
      </c>
      <c r="CE118" s="1767">
        <v>0</v>
      </c>
      <c r="CF118" s="1767">
        <v>0</v>
      </c>
      <c r="CG118" s="1767">
        <v>0</v>
      </c>
      <c r="CH118" s="1767">
        <v>0</v>
      </c>
      <c r="CI118" s="1767">
        <v>0</v>
      </c>
      <c r="CJ118" s="1767">
        <v>0</v>
      </c>
      <c r="CK118" s="1767">
        <v>0</v>
      </c>
      <c r="CL118" s="1767">
        <v>0</v>
      </c>
      <c r="CM118" s="1767">
        <v>0</v>
      </c>
      <c r="CN118" s="1767">
        <v>0</v>
      </c>
      <c r="CO118" s="1767">
        <v>0</v>
      </c>
      <c r="CP118" s="1767">
        <v>0</v>
      </c>
      <c r="CQ118" s="1767">
        <v>0</v>
      </c>
      <c r="CR118" s="1767">
        <v>0</v>
      </c>
      <c r="CS118" s="1767">
        <v>0</v>
      </c>
      <c r="CT118" s="1767">
        <v>0</v>
      </c>
      <c r="CU118" s="1767">
        <v>0</v>
      </c>
      <c r="CV118" s="1767">
        <v>0</v>
      </c>
      <c r="CW118" s="1767">
        <v>0</v>
      </c>
      <c r="CX118" s="1767">
        <v>0</v>
      </c>
      <c r="CY118" s="1767">
        <v>0</v>
      </c>
      <c r="CZ118" s="1767">
        <v>0</v>
      </c>
      <c r="DA118" s="1767">
        <v>0</v>
      </c>
      <c r="DB118" s="1767">
        <v>0</v>
      </c>
      <c r="DC118" s="1767">
        <v>0</v>
      </c>
      <c r="DD118" s="1767">
        <v>0</v>
      </c>
      <c r="DE118" s="1767">
        <v>0</v>
      </c>
      <c r="DF118" s="1767">
        <v>0</v>
      </c>
      <c r="DG118" s="1767">
        <v>0</v>
      </c>
      <c r="DH118" s="1767">
        <v>0</v>
      </c>
      <c r="DI118" s="1767">
        <v>0</v>
      </c>
      <c r="DJ118" s="1767">
        <v>0</v>
      </c>
      <c r="DK118" s="1767">
        <v>0</v>
      </c>
      <c r="DL118" s="1767">
        <v>0</v>
      </c>
      <c r="DM118" s="1767">
        <v>0</v>
      </c>
      <c r="DN118" s="1767">
        <v>0</v>
      </c>
      <c r="DO118" s="1767">
        <v>0</v>
      </c>
      <c r="DP118" s="1767">
        <v>0</v>
      </c>
      <c r="DQ118" s="1767">
        <v>0</v>
      </c>
      <c r="DR118" s="1767">
        <v>0</v>
      </c>
      <c r="DS118" s="1767">
        <v>0</v>
      </c>
      <c r="DT118" s="1767">
        <v>0</v>
      </c>
      <c r="DU118" s="1767">
        <v>0</v>
      </c>
      <c r="DV118" s="1767">
        <v>0</v>
      </c>
      <c r="DW118" s="1767">
        <v>0</v>
      </c>
      <c r="DX118" s="1767">
        <v>0</v>
      </c>
      <c r="DY118" s="1767">
        <v>0</v>
      </c>
      <c r="DZ118" s="1767">
        <v>0</v>
      </c>
      <c r="EA118" s="1767">
        <v>0</v>
      </c>
      <c r="EB118" s="1767">
        <v>0</v>
      </c>
      <c r="EC118" s="1767">
        <v>0</v>
      </c>
      <c r="ED118" s="1767">
        <v>0</v>
      </c>
      <c r="EE118" s="1767">
        <v>0</v>
      </c>
      <c r="EF118" s="1767">
        <v>0</v>
      </c>
      <c r="EG118" s="1767">
        <v>0</v>
      </c>
      <c r="EH118" s="1767">
        <v>0</v>
      </c>
      <c r="EI118" s="1767">
        <v>0</v>
      </c>
      <c r="EJ118" s="1767">
        <v>0</v>
      </c>
      <c r="EK118" s="1767">
        <v>0</v>
      </c>
      <c r="EL118" s="1767">
        <v>0</v>
      </c>
      <c r="EM118" s="1767">
        <v>0</v>
      </c>
      <c r="EN118" s="1767">
        <v>0</v>
      </c>
      <c r="EO118" s="1767">
        <v>0</v>
      </c>
      <c r="EP118" s="1767">
        <v>0</v>
      </c>
      <c r="EQ118" s="1767">
        <v>0</v>
      </c>
    </row>
    <row r="119" spans="2:147" ht="11.25" customHeight="1">
      <c r="B119" s="218"/>
      <c r="C119" s="163"/>
      <c r="D119" s="1664" t="s">
        <v>469</v>
      </c>
      <c r="E119" s="1665"/>
      <c r="F119" s="1665"/>
      <c r="G119" s="1669"/>
      <c r="H119" s="1666"/>
      <c r="I119" s="1667"/>
      <c r="J119" s="1668">
        <f>SUM(L119:EQ119)</f>
        <v>0</v>
      </c>
      <c r="K119" s="98"/>
      <c r="L119" s="1668">
        <v>0</v>
      </c>
      <c r="M119" s="1668">
        <v>0</v>
      </c>
      <c r="N119" s="1668">
        <v>0</v>
      </c>
      <c r="O119" s="1668">
        <v>0</v>
      </c>
      <c r="P119" s="1668">
        <v>0</v>
      </c>
      <c r="Q119" s="1668">
        <v>0</v>
      </c>
      <c r="R119" s="1668">
        <v>0</v>
      </c>
      <c r="S119" s="1668">
        <v>0</v>
      </c>
      <c r="T119" s="1668">
        <v>0</v>
      </c>
      <c r="U119" s="1668">
        <v>0</v>
      </c>
      <c r="V119" s="1668">
        <v>0</v>
      </c>
      <c r="W119" s="1668">
        <v>0</v>
      </c>
      <c r="X119" s="1668">
        <v>0</v>
      </c>
      <c r="Y119" s="1668">
        <v>0</v>
      </c>
      <c r="Z119" s="1668">
        <v>0</v>
      </c>
      <c r="AA119" s="1668">
        <v>0</v>
      </c>
      <c r="AB119" s="1668">
        <v>0</v>
      </c>
      <c r="AC119" s="1668">
        <v>0</v>
      </c>
      <c r="AD119" s="1668">
        <v>0</v>
      </c>
      <c r="AE119" s="1668">
        <v>0</v>
      </c>
      <c r="AF119" s="1668">
        <v>0</v>
      </c>
      <c r="AG119" s="1668">
        <v>0</v>
      </c>
      <c r="AH119" s="1668">
        <v>0</v>
      </c>
      <c r="AI119" s="1668">
        <v>0</v>
      </c>
      <c r="AJ119" s="1668">
        <v>0</v>
      </c>
      <c r="AK119" s="1668">
        <v>0</v>
      </c>
      <c r="AL119" s="1668">
        <v>0</v>
      </c>
      <c r="AM119" s="1668">
        <v>0</v>
      </c>
      <c r="AN119" s="1668">
        <v>0</v>
      </c>
      <c r="AO119" s="1668">
        <v>0</v>
      </c>
      <c r="AP119" s="1668">
        <v>0</v>
      </c>
      <c r="AQ119" s="1668">
        <v>0</v>
      </c>
      <c r="AR119" s="1668">
        <v>0</v>
      </c>
      <c r="AS119" s="1668">
        <v>0</v>
      </c>
      <c r="AT119" s="1668">
        <v>0</v>
      </c>
      <c r="AU119" s="1668">
        <v>0</v>
      </c>
      <c r="AV119" s="1668">
        <v>0</v>
      </c>
      <c r="AW119" s="1668">
        <v>0</v>
      </c>
      <c r="AX119" s="1668">
        <v>0</v>
      </c>
      <c r="AY119" s="1668">
        <v>0</v>
      </c>
      <c r="AZ119" s="1668">
        <v>0</v>
      </c>
      <c r="BA119" s="1668">
        <v>0</v>
      </c>
      <c r="BB119" s="1668">
        <v>0</v>
      </c>
      <c r="BC119" s="1668">
        <v>0</v>
      </c>
      <c r="BD119" s="1668">
        <v>0</v>
      </c>
      <c r="BE119" s="1668">
        <v>0</v>
      </c>
      <c r="BF119" s="1668">
        <v>0</v>
      </c>
      <c r="BG119" s="1668">
        <v>0</v>
      </c>
      <c r="BH119" s="1668">
        <v>0</v>
      </c>
      <c r="BI119" s="1668">
        <v>0</v>
      </c>
      <c r="BJ119" s="1668">
        <v>0</v>
      </c>
      <c r="BK119" s="1668">
        <v>0</v>
      </c>
      <c r="BL119" s="1668">
        <v>0</v>
      </c>
      <c r="BM119" s="1668">
        <v>0</v>
      </c>
      <c r="BN119" s="1668">
        <v>0</v>
      </c>
      <c r="BO119" s="1668">
        <v>0</v>
      </c>
      <c r="BP119" s="1668">
        <v>0</v>
      </c>
      <c r="BQ119" s="1668">
        <v>0</v>
      </c>
      <c r="BR119" s="1668">
        <v>0</v>
      </c>
      <c r="BS119" s="1668">
        <v>0</v>
      </c>
      <c r="BT119" s="1668">
        <v>0</v>
      </c>
      <c r="BU119" s="1668">
        <v>0</v>
      </c>
      <c r="BV119" s="1668">
        <v>0</v>
      </c>
      <c r="BW119" s="1668">
        <v>0</v>
      </c>
      <c r="BX119" s="1668">
        <v>0</v>
      </c>
      <c r="BY119" s="1668">
        <v>0</v>
      </c>
      <c r="BZ119" s="1668">
        <v>0</v>
      </c>
      <c r="CA119" s="1668">
        <v>0</v>
      </c>
      <c r="CB119" s="1668">
        <v>0</v>
      </c>
      <c r="CC119" s="1668">
        <v>0</v>
      </c>
      <c r="CD119" s="1668">
        <v>0</v>
      </c>
      <c r="CE119" s="1668">
        <v>0</v>
      </c>
      <c r="CF119" s="1668">
        <v>0</v>
      </c>
      <c r="CG119" s="1668">
        <v>0</v>
      </c>
      <c r="CH119" s="1668">
        <v>0</v>
      </c>
      <c r="CI119" s="1668">
        <v>0</v>
      </c>
      <c r="CJ119" s="1668">
        <v>0</v>
      </c>
      <c r="CK119" s="1668">
        <v>0</v>
      </c>
      <c r="CL119" s="1668">
        <v>0</v>
      </c>
      <c r="CM119" s="1668">
        <v>0</v>
      </c>
      <c r="CN119" s="1668">
        <v>0</v>
      </c>
      <c r="CO119" s="1668">
        <v>0</v>
      </c>
      <c r="CP119" s="1668">
        <v>0</v>
      </c>
      <c r="CQ119" s="1668">
        <v>0</v>
      </c>
      <c r="CR119" s="1668">
        <v>0</v>
      </c>
      <c r="CS119" s="1668">
        <v>0</v>
      </c>
      <c r="CT119" s="1668">
        <v>0</v>
      </c>
      <c r="CU119" s="1668">
        <v>0</v>
      </c>
      <c r="CV119" s="1668">
        <v>0</v>
      </c>
      <c r="CW119" s="1668">
        <v>0</v>
      </c>
      <c r="CX119" s="1668">
        <v>0</v>
      </c>
      <c r="CY119" s="1668">
        <v>0</v>
      </c>
      <c r="CZ119" s="1668">
        <v>0</v>
      </c>
      <c r="DA119" s="1668">
        <v>0</v>
      </c>
      <c r="DB119" s="1668">
        <v>0</v>
      </c>
      <c r="DC119" s="1668">
        <v>0</v>
      </c>
      <c r="DD119" s="1668">
        <v>0</v>
      </c>
      <c r="DE119" s="1668">
        <v>0</v>
      </c>
      <c r="DF119" s="1668">
        <v>0</v>
      </c>
      <c r="DG119" s="1668">
        <v>0</v>
      </c>
      <c r="DH119" s="1668">
        <v>0</v>
      </c>
      <c r="DI119" s="1668">
        <v>0</v>
      </c>
      <c r="DJ119" s="1668">
        <v>0</v>
      </c>
      <c r="DK119" s="1668">
        <v>0</v>
      </c>
      <c r="DL119" s="1668">
        <v>0</v>
      </c>
      <c r="DM119" s="1668">
        <v>0</v>
      </c>
      <c r="DN119" s="1668">
        <v>0</v>
      </c>
      <c r="DO119" s="1668">
        <v>0</v>
      </c>
      <c r="DP119" s="1668">
        <v>0</v>
      </c>
      <c r="DQ119" s="1668">
        <v>0</v>
      </c>
      <c r="DR119" s="1668">
        <v>0</v>
      </c>
      <c r="DS119" s="1668">
        <v>0</v>
      </c>
      <c r="DT119" s="1668">
        <v>0</v>
      </c>
      <c r="DU119" s="1668">
        <v>0</v>
      </c>
      <c r="DV119" s="1668">
        <v>0</v>
      </c>
      <c r="DW119" s="1668">
        <v>0</v>
      </c>
      <c r="DX119" s="1668">
        <v>0</v>
      </c>
      <c r="DY119" s="1668">
        <v>0</v>
      </c>
      <c r="DZ119" s="1668">
        <v>0</v>
      </c>
      <c r="EA119" s="1668">
        <v>0</v>
      </c>
      <c r="EB119" s="1668">
        <v>0</v>
      </c>
      <c r="EC119" s="1668">
        <v>0</v>
      </c>
      <c r="ED119" s="1668">
        <v>0</v>
      </c>
      <c r="EE119" s="1668">
        <v>0</v>
      </c>
      <c r="EF119" s="1668">
        <v>0</v>
      </c>
      <c r="EG119" s="1668">
        <v>0</v>
      </c>
      <c r="EH119" s="1668">
        <v>0</v>
      </c>
      <c r="EI119" s="1668">
        <v>0</v>
      </c>
      <c r="EJ119" s="1668">
        <v>0</v>
      </c>
      <c r="EK119" s="1668">
        <v>0</v>
      </c>
      <c r="EL119" s="1668">
        <v>0</v>
      </c>
      <c r="EM119" s="1668">
        <v>0</v>
      </c>
      <c r="EN119" s="1668">
        <v>0</v>
      </c>
      <c r="EO119" s="1668">
        <v>0</v>
      </c>
      <c r="EP119" s="1668">
        <v>0</v>
      </c>
      <c r="EQ119" s="1668">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617214.70108341926</v>
      </c>
      <c r="N120" s="235">
        <f t="shared" ca="1" si="94"/>
        <v>1349940.0235459546</v>
      </c>
      <c r="O120" s="235">
        <f t="shared" ca="1" si="94"/>
        <v>-1939263.4195688963</v>
      </c>
      <c r="P120" s="235">
        <f t="shared" ca="1" si="94"/>
        <v>1265044.5193413824</v>
      </c>
      <c r="Q120" s="235">
        <f t="shared" ca="1" si="94"/>
        <v>1344497.8690977946</v>
      </c>
      <c r="R120" s="235">
        <f t="shared" ca="1" si="94"/>
        <v>-4959342.6170720179</v>
      </c>
      <c r="S120" s="235">
        <f t="shared" ca="1" si="94"/>
        <v>1228494.2253463285</v>
      </c>
      <c r="T120" s="235">
        <f t="shared" ca="1" si="94"/>
        <v>1421242.3437410886</v>
      </c>
      <c r="U120" s="235">
        <f t="shared" ca="1" si="94"/>
        <v>-1650547.1809323635</v>
      </c>
      <c r="V120" s="235">
        <f t="shared" ca="1" si="94"/>
        <v>1421772.4481784473</v>
      </c>
      <c r="W120" s="235">
        <f t="shared" ca="1" si="94"/>
        <v>1064574.582818968</v>
      </c>
      <c r="X120" s="235">
        <f t="shared" ca="1" si="94"/>
        <v>-4967806.7911766153</v>
      </c>
      <c r="Y120" s="235">
        <f t="shared" ca="1" si="94"/>
        <v>663859.16545206867</v>
      </c>
      <c r="Z120" s="235">
        <f t="shared" ca="1" si="94"/>
        <v>1261901.9043419552</v>
      </c>
      <c r="AA120" s="235">
        <f t="shared" ca="1" si="94"/>
        <v>-1733376.2704799136</v>
      </c>
      <c r="AB120" s="235">
        <f t="shared" ca="1" si="94"/>
        <v>1282699.9319420601</v>
      </c>
      <c r="AC120" s="235">
        <f t="shared" ca="1" si="94"/>
        <v>1364098.8675662659</v>
      </c>
      <c r="AD120" s="235">
        <f t="shared" ca="1" si="94"/>
        <v>-4392824.1821149159</v>
      </c>
      <c r="AE120" s="235">
        <f t="shared" ca="1" si="94"/>
        <v>1247168.2301647104</v>
      </c>
      <c r="AF120" s="235">
        <f t="shared" ca="1" si="94"/>
        <v>1444699.9396627953</v>
      </c>
      <c r="AG120" s="235">
        <f t="shared" ca="1" si="94"/>
        <v>-1690326.0595347714</v>
      </c>
      <c r="AH120" s="235">
        <f t="shared" ca="1" si="94"/>
        <v>1445212.4131143144</v>
      </c>
      <c r="AI120" s="235">
        <f t="shared" ca="1" si="94"/>
        <v>1060653.5665108981</v>
      </c>
      <c r="AJ120" s="235">
        <f t="shared" ca="1" si="94"/>
        <v>600323.64227149286</v>
      </c>
      <c r="AK120" s="235">
        <f t="shared" ca="1" si="94"/>
        <v>740280.49944611965</v>
      </c>
      <c r="AL120" s="235">
        <f t="shared" ca="1" si="94"/>
        <v>1298646.8595596715</v>
      </c>
      <c r="AM120" s="235">
        <f t="shared" ca="1" si="94"/>
        <v>-1609533.8249678724</v>
      </c>
      <c r="AN120" s="235">
        <f t="shared" ca="1" si="94"/>
        <v>1479041.8787040734</v>
      </c>
      <c r="AO120" s="235">
        <f t="shared" ca="1" si="94"/>
        <v>1403733.2676454342</v>
      </c>
      <c r="AP120" s="235">
        <f t="shared" ca="1" si="94"/>
        <v>-4451888.5039270818</v>
      </c>
      <c r="AQ120" s="235">
        <f t="shared" ca="1" si="94"/>
        <v>1484044.632180752</v>
      </c>
      <c r="AR120" s="235">
        <f t="shared" ref="AR120:BW120" ca="1" si="95">SUM(AR14,AR54,AR67)</f>
        <v>319008.95025128993</v>
      </c>
      <c r="AS120" s="235">
        <f t="shared" ca="1" si="95"/>
        <v>-2687753.7996065901</v>
      </c>
      <c r="AT120" s="235">
        <f t="shared" ca="1" si="95"/>
        <v>270796.26392373088</v>
      </c>
      <c r="AU120" s="235">
        <f t="shared" ca="1" si="95"/>
        <v>-36118.120598313864</v>
      </c>
      <c r="AV120" s="235">
        <f t="shared" ca="1" si="95"/>
        <v>-5282437.9342492484</v>
      </c>
      <c r="AW120" s="235">
        <f t="shared" ca="1" si="95"/>
        <v>799656.93368379155</v>
      </c>
      <c r="AX120" s="235">
        <f t="shared" ca="1" si="95"/>
        <v>1372643.7998478462</v>
      </c>
      <c r="AY120" s="235">
        <f t="shared" ca="1" si="95"/>
        <v>-1527433.4187014243</v>
      </c>
      <c r="AZ120" s="235">
        <f t="shared" ca="1" si="95"/>
        <v>1502229.1816115966</v>
      </c>
      <c r="BA120" s="235">
        <f t="shared" ca="1" si="95"/>
        <v>1455417.9220039519</v>
      </c>
      <c r="BB120" s="235">
        <f t="shared" ca="1" si="95"/>
        <v>-4419846.6340105757</v>
      </c>
      <c r="BC120" s="235">
        <f t="shared" ca="1" si="95"/>
        <v>1537526.8503673454</v>
      </c>
      <c r="BD120" s="235">
        <f t="shared" ca="1" si="95"/>
        <v>1542625.7148818865</v>
      </c>
      <c r="BE120" s="235">
        <f t="shared" ca="1" si="95"/>
        <v>-1721941.8510889688</v>
      </c>
      <c r="BF120" s="235">
        <f t="shared" ca="1" si="95"/>
        <v>1545864.6210733352</v>
      </c>
      <c r="BG120" s="235">
        <f t="shared" ca="1" si="95"/>
        <v>1173175.0907329174</v>
      </c>
      <c r="BH120" s="235">
        <f t="shared" ca="1" si="95"/>
        <v>-4386109.5507497806</v>
      </c>
      <c r="BI120" s="235">
        <f t="shared" ca="1" si="95"/>
        <v>855189.4828861414</v>
      </c>
      <c r="BJ120" s="235">
        <f t="shared" ca="1" si="95"/>
        <v>1411762.668338987</v>
      </c>
      <c r="BK120" s="235">
        <f t="shared" ca="1" si="95"/>
        <v>-1498338.9476625235</v>
      </c>
      <c r="BL120" s="235">
        <f t="shared" ca="1" si="95"/>
        <v>1568137.2499778226</v>
      </c>
      <c r="BM120" s="235">
        <f t="shared" ca="1" si="95"/>
        <v>1489057.6122064858</v>
      </c>
      <c r="BN120" s="235">
        <f t="shared" ca="1" si="95"/>
        <v>-4377348.7470612545</v>
      </c>
      <c r="BO120" s="235">
        <f t="shared" ca="1" si="95"/>
        <v>1574349.532219687</v>
      </c>
      <c r="BP120" s="235">
        <f t="shared" ca="1" si="95"/>
        <v>1578941.3850219944</v>
      </c>
      <c r="BQ120" s="235">
        <f t="shared" ca="1" si="95"/>
        <v>-1703484.4951032612</v>
      </c>
      <c r="BR120" s="235">
        <f t="shared" ca="1" si="95"/>
        <v>1582434.0936626948</v>
      </c>
      <c r="BS120" s="235">
        <f t="shared" ca="1" si="95"/>
        <v>1215509.1988162741</v>
      </c>
      <c r="BT120" s="235">
        <f t="shared" ca="1" si="95"/>
        <v>-4247749.7146173939</v>
      </c>
      <c r="BU120" s="235">
        <f t="shared" ca="1" si="95"/>
        <v>906059.40780073369</v>
      </c>
      <c r="BV120" s="235">
        <f t="shared" ca="1" si="95"/>
        <v>1446510.2417424815</v>
      </c>
      <c r="BW120" s="235">
        <f t="shared" ca="1" si="95"/>
        <v>-1311703.6925155558</v>
      </c>
      <c r="BX120" s="235">
        <f t="shared" ref="BX120:DC120" ca="1" si="96">SUM(BX14,BX54,BX67)</f>
        <v>1606759.2051058048</v>
      </c>
      <c r="BY120" s="235">
        <f t="shared" ca="1" si="96"/>
        <v>1525700.8804181635</v>
      </c>
      <c r="BZ120" s="235">
        <f t="shared" ca="1" si="96"/>
        <v>-4173326.0425516274</v>
      </c>
      <c r="CA120" s="235">
        <f t="shared" ca="1" si="96"/>
        <v>1614037.6454140488</v>
      </c>
      <c r="CB120" s="235">
        <f t="shared" ca="1" si="96"/>
        <v>1618745.2552131731</v>
      </c>
      <c r="CC120" s="235">
        <f t="shared" ca="1" si="96"/>
        <v>-1519287.180985929</v>
      </c>
      <c r="CD120" s="235">
        <f t="shared" ca="1" si="96"/>
        <v>1622987.6996259009</v>
      </c>
      <c r="CE120" s="235">
        <f t="shared" ca="1" si="96"/>
        <v>1261754.1910445001</v>
      </c>
      <c r="CF120" s="235">
        <f t="shared" ca="1" si="96"/>
        <v>-4341595.0991647197</v>
      </c>
      <c r="CG120" s="235">
        <f t="shared" ca="1" si="96"/>
        <v>959984.95663839846</v>
      </c>
      <c r="CH120" s="235">
        <f t="shared" ca="1" si="96"/>
        <v>1484545.5169597322</v>
      </c>
      <c r="CI120" s="235">
        <f t="shared" ca="1" si="96"/>
        <v>-1281707.2947447482</v>
      </c>
      <c r="CJ120" s="235">
        <f t="shared" ca="1" si="96"/>
        <v>1648288.5649772813</v>
      </c>
      <c r="CK120" s="235">
        <f t="shared" ca="1" si="96"/>
        <v>1565207.749946702</v>
      </c>
      <c r="CL120" s="235">
        <f t="shared" ca="1" si="96"/>
        <v>-4181330.3256248389</v>
      </c>
      <c r="CM120" s="235">
        <f t="shared" ca="1" si="96"/>
        <v>1656037.8726127178</v>
      </c>
      <c r="CN120" s="235">
        <f t="shared" ca="1" si="96"/>
        <v>1660867.9830745049</v>
      </c>
      <c r="CO120" s="235">
        <f t="shared" ca="1" si="96"/>
        <v>-1492852.5201829451</v>
      </c>
      <c r="CP120" s="235">
        <f t="shared" ca="1" si="96"/>
        <v>1665409.1954965761</v>
      </c>
      <c r="CQ120" s="235">
        <f t="shared" ca="1" si="96"/>
        <v>1309788.9246187112</v>
      </c>
      <c r="CR120" s="235">
        <f t="shared" ca="1" si="96"/>
        <v>-4142073.2538827248</v>
      </c>
      <c r="CS120" s="235">
        <f t="shared" ca="1" si="96"/>
        <v>1016375.914437331</v>
      </c>
      <c r="CT120" s="235">
        <f t="shared" ca="1" si="96"/>
        <v>1525270.0876323078</v>
      </c>
      <c r="CU120" s="235">
        <f t="shared" ca="1" si="96"/>
        <v>-1249205.5434946995</v>
      </c>
      <c r="CV120" s="235">
        <f t="shared" ca="1" si="96"/>
        <v>1692590.7481270381</v>
      </c>
      <c r="CW120" s="235">
        <f t="shared" ca="1" si="96"/>
        <v>1607441.9397136848</v>
      </c>
      <c r="CX120" s="235">
        <f t="shared" ca="1" si="96"/>
        <v>-4149945.4531229935</v>
      </c>
      <c r="CY120" s="235">
        <f t="shared" ca="1" si="96"/>
        <v>1000273.8577983826</v>
      </c>
      <c r="CZ120" s="235">
        <f t="shared" ca="1" si="96"/>
        <v>1663358.2706394121</v>
      </c>
      <c r="DA120" s="235">
        <f t="shared" ca="1" si="96"/>
        <v>-1435450.209931175</v>
      </c>
      <c r="DB120" s="235">
        <f t="shared" ca="1" si="96"/>
        <v>1583050.2956352553</v>
      </c>
      <c r="DC120" s="235">
        <f t="shared" ca="1" si="96"/>
        <v>1317722.1303678411</v>
      </c>
      <c r="DD120" s="235">
        <f t="shared" ref="DD120:DP120" ca="1" si="97">SUM(DD14,DD54,DD67)</f>
        <v>-4141075.4991316823</v>
      </c>
      <c r="DE120" s="235">
        <f t="shared" ca="1" si="97"/>
        <v>1031880.070570633</v>
      </c>
      <c r="DF120" s="235">
        <f t="shared" ca="1" si="97"/>
        <v>1524987.5799367346</v>
      </c>
      <c r="DG120" s="235">
        <f t="shared" ca="1" si="97"/>
        <v>-1256970.7646978279</v>
      </c>
      <c r="DH120" s="235">
        <f t="shared" ca="1" si="97"/>
        <v>1649163.9844129432</v>
      </c>
      <c r="DI120" s="235">
        <f t="shared" ca="1" si="97"/>
        <v>1700412.7462160997</v>
      </c>
      <c r="DJ120" s="235">
        <f t="shared" ca="1" si="97"/>
        <v>-4150210.7900611474</v>
      </c>
      <c r="DK120" s="235">
        <f t="shared" ca="1" si="97"/>
        <v>1703442.211945069</v>
      </c>
      <c r="DL120" s="235">
        <f t="shared" ca="1" si="97"/>
        <v>1709105.7349421117</v>
      </c>
      <c r="DM120" s="235">
        <f t="shared" ca="1" si="97"/>
        <v>-1458555.5418526912</v>
      </c>
      <c r="DN120" s="235">
        <f t="shared" ca="1" si="97"/>
        <v>1714092.7640062678</v>
      </c>
      <c r="DO120" s="235">
        <f t="shared" ca="1" si="97"/>
        <v>1369347.7108150991</v>
      </c>
      <c r="DP120" s="235">
        <f t="shared" ca="1" si="97"/>
        <v>-4107406.2544444785</v>
      </c>
      <c r="DQ120" s="235">
        <f t="shared" ref="DQ120:EQ120" ca="1" si="98">SUM(DQ14,DQ54,DQ67)</f>
        <v>1091032.7176592315</v>
      </c>
      <c r="DR120" s="235">
        <f t="shared" ca="1" si="98"/>
        <v>1568890.9513007975</v>
      </c>
      <c r="DS120" s="235">
        <f t="shared" ca="1" si="98"/>
        <v>-1211710.7403679709</v>
      </c>
      <c r="DT120" s="235">
        <f t="shared" ca="1" si="98"/>
        <v>1742728.5938203605</v>
      </c>
      <c r="DU120" s="235">
        <f t="shared" ca="1" si="98"/>
        <v>1747811.5522190032</v>
      </c>
      <c r="DV120" s="235">
        <f t="shared" ca="1" si="98"/>
        <v>-4080971.8406052776</v>
      </c>
      <c r="DW120" s="235">
        <f t="shared" ca="1" si="98"/>
        <v>1752148.1077778225</v>
      </c>
      <c r="DX120" s="235">
        <f t="shared" ca="1" si="98"/>
        <v>1757258.5397588413</v>
      </c>
      <c r="DY120" s="235">
        <f t="shared" ca="1" si="98"/>
        <v>-1434275.5046017377</v>
      </c>
      <c r="DZ120" s="235">
        <f t="shared" ca="1" si="98"/>
        <v>1762563.2377207195</v>
      </c>
      <c r="EA120" s="235">
        <f t="shared" ca="1" si="98"/>
        <v>1423205.7241008442</v>
      </c>
      <c r="EB120" s="235">
        <f t="shared" ca="1" si="98"/>
        <v>-9087187.2102785707</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10617214.70108342</v>
      </c>
      <c r="O121" s="216">
        <f t="shared" ca="1" si="99"/>
        <v>11967154.724629374</v>
      </c>
      <c r="P121" s="216">
        <f t="shared" ca="1" si="99"/>
        <v>10027891.305060478</v>
      </c>
      <c r="Q121" s="216">
        <f t="shared" ca="1" si="99"/>
        <v>11292935.824401861</v>
      </c>
      <c r="R121" s="216">
        <f t="shared" ca="1" si="99"/>
        <v>12637433.693499656</v>
      </c>
      <c r="S121" s="216">
        <f t="shared" ca="1" si="99"/>
        <v>7678091.0764276385</v>
      </c>
      <c r="T121" s="216">
        <f t="shared" ca="1" si="99"/>
        <v>8906585.3017739672</v>
      </c>
      <c r="U121" s="216">
        <f t="shared" ca="1" si="99"/>
        <v>10327827.645515056</v>
      </c>
      <c r="V121" s="216">
        <f t="shared" ca="1" si="99"/>
        <v>8677280.4645826928</v>
      </c>
      <c r="W121" s="216">
        <f t="shared" ca="1" si="99"/>
        <v>10099052.912761141</v>
      </c>
      <c r="X121" s="216">
        <f t="shared" ca="1" si="99"/>
        <v>11163627.495580109</v>
      </c>
      <c r="Y121" s="216">
        <f t="shared" ca="1" si="99"/>
        <v>6195820.7044034936</v>
      </c>
      <c r="Z121" s="216">
        <f t="shared" ca="1" si="99"/>
        <v>6859679.8698555622</v>
      </c>
      <c r="AA121" s="216">
        <f t="shared" ca="1" si="99"/>
        <v>8121581.774197517</v>
      </c>
      <c r="AB121" s="216">
        <f t="shared" ca="1" si="99"/>
        <v>6388205.5037176032</v>
      </c>
      <c r="AC121" s="216">
        <f t="shared" ca="1" si="99"/>
        <v>7670905.4356596638</v>
      </c>
      <c r="AD121" s="216">
        <f t="shared" ca="1" si="99"/>
        <v>9035004.3032259289</v>
      </c>
      <c r="AE121" s="216">
        <f t="shared" ca="1" si="99"/>
        <v>4642180.121111013</v>
      </c>
      <c r="AF121" s="216">
        <f t="shared" ca="1" si="99"/>
        <v>5889348.3512757234</v>
      </c>
      <c r="AG121" s="216">
        <f t="shared" ca="1" si="99"/>
        <v>7334048.2909385189</v>
      </c>
      <c r="AH121" s="216">
        <f t="shared" ca="1" si="99"/>
        <v>5643722.2314037476</v>
      </c>
      <c r="AI121" s="216">
        <f t="shared" ca="1" si="99"/>
        <v>7088934.6445180625</v>
      </c>
      <c r="AJ121" s="2653">
        <f t="shared" ca="1" si="99"/>
        <v>8149588.2110289605</v>
      </c>
      <c r="AK121" s="216">
        <f t="shared" ca="1" si="99"/>
        <v>8749911.8533004541</v>
      </c>
      <c r="AL121" s="216">
        <f t="shared" ca="1" si="99"/>
        <v>9490192.3527465742</v>
      </c>
      <c r="AM121" s="216">
        <f t="shared" ca="1" si="99"/>
        <v>10788839.212306246</v>
      </c>
      <c r="AN121" s="216">
        <f t="shared" ca="1" si="99"/>
        <v>9179305.3873383738</v>
      </c>
      <c r="AO121" s="216">
        <f t="shared" ca="1" si="99"/>
        <v>10658347.266042447</v>
      </c>
      <c r="AP121" s="216">
        <f t="shared" ca="1" si="99"/>
        <v>12062080.53368788</v>
      </c>
      <c r="AQ121" s="216">
        <f t="shared" ca="1" si="99"/>
        <v>7610192.0297607984</v>
      </c>
      <c r="AR121" s="216">
        <f t="shared" ca="1" si="99"/>
        <v>9094236.6619415507</v>
      </c>
      <c r="AS121" s="216">
        <f t="shared" ca="1" si="99"/>
        <v>9413245.6121928412</v>
      </c>
      <c r="AT121" s="216">
        <f t="shared" ca="1" si="99"/>
        <v>6725491.8125862516</v>
      </c>
      <c r="AU121" s="216">
        <f t="shared" ca="1" si="99"/>
        <v>6996288.0765099823</v>
      </c>
      <c r="AV121" s="216">
        <f t="shared" ca="1" si="99"/>
        <v>6960169.955911668</v>
      </c>
      <c r="AW121" s="216">
        <f t="shared" ca="1" si="99"/>
        <v>1677732.0216624197</v>
      </c>
      <c r="AX121" s="216">
        <f t="shared" ca="1" si="99"/>
        <v>2477388.9553462113</v>
      </c>
      <c r="AY121" s="216">
        <f t="shared" ca="1" si="99"/>
        <v>3850032.7551940577</v>
      </c>
      <c r="AZ121" s="216">
        <f t="shared" ca="1" si="99"/>
        <v>2322599.3364926334</v>
      </c>
      <c r="BA121" s="216">
        <f t="shared" ca="1" si="99"/>
        <v>3824828.5181042301</v>
      </c>
      <c r="BB121" s="216">
        <f t="shared" ca="1" si="99"/>
        <v>5280246.4401081819</v>
      </c>
      <c r="BC121" s="216">
        <f t="shared" ca="1" si="99"/>
        <v>860399.8060976062</v>
      </c>
      <c r="BD121" s="216">
        <f t="shared" ca="1" si="99"/>
        <v>2397926.6564649516</v>
      </c>
      <c r="BE121" s="216">
        <f t="shared" ca="1" si="99"/>
        <v>3940552.3713468378</v>
      </c>
      <c r="BF121" s="216">
        <f t="shared" ca="1" si="99"/>
        <v>2218610.5202578688</v>
      </c>
      <c r="BG121" s="216">
        <f t="shared" ca="1" si="99"/>
        <v>3764475.1413312042</v>
      </c>
      <c r="BH121" s="216">
        <f t="shared" ca="1" si="99"/>
        <v>4937650.2320641214</v>
      </c>
      <c r="BI121" s="216">
        <f t="shared" ca="1" si="99"/>
        <v>551540.68131434079</v>
      </c>
      <c r="BJ121" s="216">
        <f t="shared" ca="1" si="99"/>
        <v>1406730.1642004822</v>
      </c>
      <c r="BK121" s="216">
        <f t="shared" ca="1" si="99"/>
        <v>2818492.832539469</v>
      </c>
      <c r="BL121" s="216">
        <f t="shared" ca="1" si="99"/>
        <v>1320153.8848769455</v>
      </c>
      <c r="BM121" s="216">
        <f t="shared" ca="1" si="99"/>
        <v>2888291.1348547684</v>
      </c>
      <c r="BN121" s="216">
        <f t="shared" ca="1" si="99"/>
        <v>4377348.7470612545</v>
      </c>
      <c r="BO121" s="216">
        <f t="shared" ca="1" si="99"/>
        <v>0</v>
      </c>
      <c r="BP121" s="216">
        <f t="shared" ca="1" si="99"/>
        <v>1574349.532219687</v>
      </c>
      <c r="BQ121" s="216">
        <f t="shared" ca="1" si="99"/>
        <v>3153290.9172416814</v>
      </c>
      <c r="BR121" s="216">
        <f t="shared" ca="1" si="99"/>
        <v>1449806.4221384202</v>
      </c>
      <c r="BS121" s="216">
        <f t="shared" ca="1" si="99"/>
        <v>3032240.515801115</v>
      </c>
      <c r="BT121" s="216">
        <f t="shared" ca="1" si="99"/>
        <v>4247749.7146173893</v>
      </c>
      <c r="BU121" s="216">
        <f t="shared" ca="1" si="99"/>
        <v>0</v>
      </c>
      <c r="BV121" s="216">
        <f t="shared" ca="1" si="99"/>
        <v>906059.40780073369</v>
      </c>
      <c r="BW121" s="216">
        <f t="shared" ca="1" si="99"/>
        <v>2352569.6495432151</v>
      </c>
      <c r="BX121" s="216">
        <f t="shared" ca="1" si="99"/>
        <v>1040865.9570276593</v>
      </c>
      <c r="BY121" s="216">
        <f t="shared" ca="1" si="99"/>
        <v>2647625.1621334641</v>
      </c>
      <c r="BZ121" s="216">
        <f t="shared" ref="BZ121:DP121" ca="1" si="100">BY122</f>
        <v>4173326.0425516274</v>
      </c>
      <c r="CA121" s="216">
        <f t="shared" ca="1" si="100"/>
        <v>0</v>
      </c>
      <c r="CB121" s="216">
        <f t="shared" ca="1" si="100"/>
        <v>1614037.6454140488</v>
      </c>
      <c r="CC121" s="216">
        <f t="shared" ca="1" si="100"/>
        <v>3232782.9006272219</v>
      </c>
      <c r="CD121" s="216">
        <f t="shared" ca="1" si="100"/>
        <v>1713495.7196412929</v>
      </c>
      <c r="CE121" s="216">
        <f t="shared" ca="1" si="100"/>
        <v>3336483.4192671939</v>
      </c>
      <c r="CF121" s="216">
        <f t="shared" ca="1" si="100"/>
        <v>4598237.6103116944</v>
      </c>
      <c r="CG121" s="216">
        <f t="shared" ca="1" si="100"/>
        <v>256642.51114697475</v>
      </c>
      <c r="CH121" s="216">
        <f t="shared" ca="1" si="100"/>
        <v>1216627.4677853733</v>
      </c>
      <c r="CI121" s="216">
        <f t="shared" ca="1" si="100"/>
        <v>2701172.9847451057</v>
      </c>
      <c r="CJ121" s="216">
        <f t="shared" ca="1" si="100"/>
        <v>1419465.6900003576</v>
      </c>
      <c r="CK121" s="216">
        <f t="shared" ca="1" si="100"/>
        <v>3067754.2549776388</v>
      </c>
      <c r="CL121" s="216">
        <f t="shared" ca="1" si="100"/>
        <v>4632962.0049243411</v>
      </c>
      <c r="CM121" s="216">
        <f t="shared" ca="1" si="100"/>
        <v>451631.67929950217</v>
      </c>
      <c r="CN121" s="216">
        <f t="shared" ca="1" si="100"/>
        <v>2107669.5519122202</v>
      </c>
      <c r="CO121" s="216">
        <f t="shared" ca="1" si="100"/>
        <v>3768537.5349867251</v>
      </c>
      <c r="CP121" s="216">
        <f t="shared" ca="1" si="100"/>
        <v>2275685.0148037802</v>
      </c>
      <c r="CQ121" s="216">
        <f t="shared" ca="1" si="100"/>
        <v>3941094.2103003561</v>
      </c>
      <c r="CR121" s="216">
        <f t="shared" ca="1" si="100"/>
        <v>5250883.1349190678</v>
      </c>
      <c r="CS121" s="216">
        <f t="shared" ca="1" si="100"/>
        <v>1108809.8810363431</v>
      </c>
      <c r="CT121" s="216">
        <f t="shared" ca="1" si="100"/>
        <v>2125185.7954736743</v>
      </c>
      <c r="CU121" s="216">
        <f t="shared" ca="1" si="100"/>
        <v>3650455.8831059821</v>
      </c>
      <c r="CV121" s="216">
        <f t="shared" ca="1" si="100"/>
        <v>2401250.3396112826</v>
      </c>
      <c r="CW121" s="216">
        <f t="shared" ca="1" si="100"/>
        <v>4093841.0877383207</v>
      </c>
      <c r="CX121" s="216">
        <f t="shared" ca="1" si="100"/>
        <v>5701283.0274520051</v>
      </c>
      <c r="CY121" s="216">
        <f t="shared" ca="1" si="100"/>
        <v>1551337.5743290116</v>
      </c>
      <c r="CZ121" s="216">
        <f t="shared" ca="1" si="100"/>
        <v>2551611.4321273942</v>
      </c>
      <c r="DA121" s="216">
        <f t="shared" ca="1" si="100"/>
        <v>4214969.7027668059</v>
      </c>
      <c r="DB121" s="216">
        <f t="shared" ca="1" si="100"/>
        <v>2779519.4928356307</v>
      </c>
      <c r="DC121" s="216">
        <f t="shared" ca="1" si="100"/>
        <v>4362569.7884708857</v>
      </c>
      <c r="DD121" s="216">
        <f t="shared" ca="1" si="100"/>
        <v>5680291.9188387264</v>
      </c>
      <c r="DE121" s="216">
        <f t="shared" ca="1" si="100"/>
        <v>1539216.419707044</v>
      </c>
      <c r="DF121" s="216">
        <f t="shared" ca="1" si="100"/>
        <v>2571096.4902776768</v>
      </c>
      <c r="DG121" s="216">
        <f t="shared" ca="1" si="100"/>
        <v>4096084.0702144112</v>
      </c>
      <c r="DH121" s="216">
        <f t="shared" ca="1" si="100"/>
        <v>2839113.3055165834</v>
      </c>
      <c r="DI121" s="216">
        <f t="shared" ca="1" si="100"/>
        <v>4488277.2899295269</v>
      </c>
      <c r="DJ121" s="216">
        <f t="shared" ca="1" si="100"/>
        <v>6188690.0361456266</v>
      </c>
      <c r="DK121" s="216">
        <f t="shared" ca="1" si="100"/>
        <v>2038479.2460844791</v>
      </c>
      <c r="DL121" s="216">
        <f t="shared" ca="1" si="100"/>
        <v>3741921.4580295482</v>
      </c>
      <c r="DM121" s="216">
        <f t="shared" ca="1" si="100"/>
        <v>5451027.1929716598</v>
      </c>
      <c r="DN121" s="216">
        <f t="shared" ca="1" si="100"/>
        <v>3992471.6511189686</v>
      </c>
      <c r="DO121" s="216">
        <f t="shared" ca="1" si="100"/>
        <v>5706564.4151252359</v>
      </c>
      <c r="DP121" s="216">
        <f t="shared" ca="1" si="100"/>
        <v>7075912.125940335</v>
      </c>
      <c r="DQ121" s="216">
        <f t="shared" ref="DQ121:EQ121" ca="1" si="101">DP122</f>
        <v>2968505.8714958564</v>
      </c>
      <c r="DR121" s="216">
        <f t="shared" ca="1" si="101"/>
        <v>4059538.5891550882</v>
      </c>
      <c r="DS121" s="216">
        <f t="shared" ca="1" si="101"/>
        <v>5628429.5404558852</v>
      </c>
      <c r="DT121" s="216">
        <f t="shared" ca="1" si="101"/>
        <v>4416718.8000879139</v>
      </c>
      <c r="DU121" s="216">
        <f t="shared" ca="1" si="101"/>
        <v>6159447.3939082744</v>
      </c>
      <c r="DV121" s="216">
        <f t="shared" ca="1" si="101"/>
        <v>7907258.9461272778</v>
      </c>
      <c r="DW121" s="216">
        <f t="shared" ca="1" si="101"/>
        <v>3826287.1055220002</v>
      </c>
      <c r="DX121" s="216">
        <f t="shared" ca="1" si="101"/>
        <v>5578435.213299823</v>
      </c>
      <c r="DY121" s="216">
        <f t="shared" ca="1" si="101"/>
        <v>7335693.7530586645</v>
      </c>
      <c r="DZ121" s="216">
        <f t="shared" ca="1" si="101"/>
        <v>5901418.248456927</v>
      </c>
      <c r="EA121" s="216">
        <f t="shared" ca="1" si="101"/>
        <v>7663981.4861776466</v>
      </c>
      <c r="EB121" s="216">
        <f t="shared" ca="1" si="101"/>
        <v>9087187.2102784906</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10617214.70108342</v>
      </c>
      <c r="N122" s="235">
        <f t="shared" ca="1" si="102"/>
        <v>11967154.724629374</v>
      </c>
      <c r="O122" s="235">
        <f t="shared" ca="1" si="102"/>
        <v>10027891.305060478</v>
      </c>
      <c r="P122" s="235">
        <f t="shared" ca="1" si="102"/>
        <v>11292935.824401861</v>
      </c>
      <c r="Q122" s="235">
        <f t="shared" ca="1" si="102"/>
        <v>12637433.693499656</v>
      </c>
      <c r="R122" s="235">
        <f t="shared" ca="1" si="102"/>
        <v>7678091.0764276385</v>
      </c>
      <c r="S122" s="235">
        <f t="shared" ca="1" si="102"/>
        <v>8906585.3017739672</v>
      </c>
      <c r="T122" s="235">
        <f t="shared" ca="1" si="102"/>
        <v>10327827.645515056</v>
      </c>
      <c r="U122" s="235">
        <f t="shared" ca="1" si="102"/>
        <v>8677280.4645826928</v>
      </c>
      <c r="V122" s="235">
        <f t="shared" ca="1" si="102"/>
        <v>10099052.912761141</v>
      </c>
      <c r="W122" s="235">
        <f t="shared" ca="1" si="102"/>
        <v>11163627.495580109</v>
      </c>
      <c r="X122" s="235">
        <f t="shared" ca="1" si="102"/>
        <v>6195820.7044034936</v>
      </c>
      <c r="Y122" s="235">
        <f t="shared" ca="1" si="102"/>
        <v>6859679.8698555622</v>
      </c>
      <c r="Z122" s="235">
        <f t="shared" ca="1" si="102"/>
        <v>8121581.774197517</v>
      </c>
      <c r="AA122" s="235">
        <f t="shared" ca="1" si="102"/>
        <v>6388205.5037176032</v>
      </c>
      <c r="AB122" s="235">
        <f t="shared" ca="1" si="102"/>
        <v>7670905.4356596638</v>
      </c>
      <c r="AC122" s="235">
        <f t="shared" ca="1" si="102"/>
        <v>9035004.3032259289</v>
      </c>
      <c r="AD122" s="235">
        <f t="shared" ca="1" si="102"/>
        <v>4642180.121111013</v>
      </c>
      <c r="AE122" s="235">
        <f t="shared" ca="1" si="102"/>
        <v>5889348.3512757234</v>
      </c>
      <c r="AF122" s="235">
        <f t="shared" ca="1" si="102"/>
        <v>7334048.2909385189</v>
      </c>
      <c r="AG122" s="235">
        <f t="shared" ca="1" si="102"/>
        <v>5643722.2314037476</v>
      </c>
      <c r="AH122" s="235">
        <f t="shared" ca="1" si="102"/>
        <v>7088934.6445180625</v>
      </c>
      <c r="AI122" s="235">
        <f t="shared" ca="1" si="102"/>
        <v>8149588.2110289605</v>
      </c>
      <c r="AJ122" s="2652">
        <f t="shared" ca="1" si="102"/>
        <v>8749911.8533004541</v>
      </c>
      <c r="AK122" s="235">
        <f t="shared" ca="1" si="102"/>
        <v>9490192.3527465742</v>
      </c>
      <c r="AL122" s="235">
        <f t="shared" ca="1" si="102"/>
        <v>10788839.212306246</v>
      </c>
      <c r="AM122" s="235">
        <f t="shared" ca="1" si="102"/>
        <v>9179305.3873383738</v>
      </c>
      <c r="AN122" s="235">
        <f t="shared" ca="1" si="102"/>
        <v>10658347.266042447</v>
      </c>
      <c r="AO122" s="235">
        <f t="shared" ca="1" si="102"/>
        <v>12062080.53368788</v>
      </c>
      <c r="AP122" s="235">
        <f t="shared" ca="1" si="102"/>
        <v>7610192.0297607984</v>
      </c>
      <c r="AQ122" s="235">
        <f t="shared" ca="1" si="102"/>
        <v>9094236.6619415507</v>
      </c>
      <c r="AR122" s="235">
        <f t="shared" ca="1" si="102"/>
        <v>9413245.6121928412</v>
      </c>
      <c r="AS122" s="235">
        <f t="shared" ca="1" si="102"/>
        <v>6725491.8125862516</v>
      </c>
      <c r="AT122" s="235">
        <f t="shared" ca="1" si="102"/>
        <v>6996288.0765099823</v>
      </c>
      <c r="AU122" s="235">
        <f t="shared" ca="1" si="102"/>
        <v>6960169.955911668</v>
      </c>
      <c r="AV122" s="235">
        <f t="shared" ca="1" si="102"/>
        <v>1677732.0216624197</v>
      </c>
      <c r="AW122" s="235">
        <f t="shared" ca="1" si="102"/>
        <v>2477388.9553462113</v>
      </c>
      <c r="AX122" s="235">
        <f t="shared" ca="1" si="102"/>
        <v>3850032.7551940577</v>
      </c>
      <c r="AY122" s="235">
        <f t="shared" ca="1" si="102"/>
        <v>2322599.3364926334</v>
      </c>
      <c r="AZ122" s="235">
        <f t="shared" ca="1" si="102"/>
        <v>3824828.5181042301</v>
      </c>
      <c r="BA122" s="235">
        <f t="shared" ca="1" si="102"/>
        <v>5280246.4401081819</v>
      </c>
      <c r="BB122" s="235">
        <f t="shared" ca="1" si="102"/>
        <v>860399.8060976062</v>
      </c>
      <c r="BC122" s="235">
        <f t="shared" ca="1" si="102"/>
        <v>2397926.6564649516</v>
      </c>
      <c r="BD122" s="235">
        <f t="shared" ca="1" si="102"/>
        <v>3940552.3713468378</v>
      </c>
      <c r="BE122" s="235">
        <f t="shared" ca="1" si="102"/>
        <v>2218610.5202578688</v>
      </c>
      <c r="BF122" s="235">
        <f t="shared" ca="1" si="102"/>
        <v>3764475.1413312042</v>
      </c>
      <c r="BG122" s="235">
        <f t="shared" ca="1" si="102"/>
        <v>4937650.2320641214</v>
      </c>
      <c r="BH122" s="235">
        <f t="shared" ca="1" si="102"/>
        <v>551540.68131434079</v>
      </c>
      <c r="BI122" s="235">
        <f t="shared" ca="1" si="102"/>
        <v>1406730.1642004822</v>
      </c>
      <c r="BJ122" s="235">
        <f t="shared" ca="1" si="102"/>
        <v>2818492.832539469</v>
      </c>
      <c r="BK122" s="235">
        <f t="shared" ca="1" si="102"/>
        <v>1320153.8848769455</v>
      </c>
      <c r="BL122" s="235">
        <f t="shared" ca="1" si="102"/>
        <v>2888291.1348547684</v>
      </c>
      <c r="BM122" s="235">
        <f t="shared" ca="1" si="102"/>
        <v>4377348.7470612545</v>
      </c>
      <c r="BN122" s="235">
        <f t="shared" ca="1" si="102"/>
        <v>0</v>
      </c>
      <c r="BO122" s="235">
        <f t="shared" ca="1" si="102"/>
        <v>1574349.532219687</v>
      </c>
      <c r="BP122" s="235">
        <f t="shared" ca="1" si="102"/>
        <v>3153290.9172416814</v>
      </c>
      <c r="BQ122" s="235">
        <f t="shared" ca="1" si="102"/>
        <v>1449806.4221384202</v>
      </c>
      <c r="BR122" s="235">
        <f t="shared" ca="1" si="102"/>
        <v>3032240.515801115</v>
      </c>
      <c r="BS122" s="235">
        <f t="shared" ca="1" si="102"/>
        <v>4247749.7146173893</v>
      </c>
      <c r="BT122" s="235">
        <f t="shared" ca="1" si="102"/>
        <v>0</v>
      </c>
      <c r="BU122" s="235">
        <f t="shared" ca="1" si="102"/>
        <v>906059.40780073369</v>
      </c>
      <c r="BV122" s="235">
        <f t="shared" ca="1" si="102"/>
        <v>2352569.6495432151</v>
      </c>
      <c r="BW122" s="235">
        <f t="shared" ca="1" si="102"/>
        <v>1040865.9570276593</v>
      </c>
      <c r="BX122" s="235">
        <f t="shared" ca="1" si="102"/>
        <v>2647625.1621334641</v>
      </c>
      <c r="BY122" s="235">
        <f t="shared" ref="BY122:DP122" ca="1" si="103">BY121+BY120</f>
        <v>4173326.0425516274</v>
      </c>
      <c r="BZ122" s="235">
        <f t="shared" ca="1" si="103"/>
        <v>0</v>
      </c>
      <c r="CA122" s="235">
        <f t="shared" ca="1" si="103"/>
        <v>1614037.6454140488</v>
      </c>
      <c r="CB122" s="235">
        <f t="shared" ca="1" si="103"/>
        <v>3232782.9006272219</v>
      </c>
      <c r="CC122" s="235">
        <f t="shared" ca="1" si="103"/>
        <v>1713495.7196412929</v>
      </c>
      <c r="CD122" s="235">
        <f t="shared" ca="1" si="103"/>
        <v>3336483.4192671939</v>
      </c>
      <c r="CE122" s="235">
        <f t="shared" ca="1" si="103"/>
        <v>4598237.6103116944</v>
      </c>
      <c r="CF122" s="235">
        <f t="shared" ca="1" si="103"/>
        <v>256642.51114697475</v>
      </c>
      <c r="CG122" s="235">
        <f t="shared" ca="1" si="103"/>
        <v>1216627.4677853733</v>
      </c>
      <c r="CH122" s="235">
        <f t="shared" ca="1" si="103"/>
        <v>2701172.9847451057</v>
      </c>
      <c r="CI122" s="235">
        <f t="shared" ca="1" si="103"/>
        <v>1419465.6900003576</v>
      </c>
      <c r="CJ122" s="235">
        <f t="shared" ca="1" si="103"/>
        <v>3067754.2549776388</v>
      </c>
      <c r="CK122" s="235">
        <f t="shared" ca="1" si="103"/>
        <v>4632962.0049243411</v>
      </c>
      <c r="CL122" s="235">
        <f t="shared" ca="1" si="103"/>
        <v>451631.67929950217</v>
      </c>
      <c r="CM122" s="235">
        <f t="shared" ca="1" si="103"/>
        <v>2107669.5519122202</v>
      </c>
      <c r="CN122" s="235">
        <f t="shared" ca="1" si="103"/>
        <v>3768537.5349867251</v>
      </c>
      <c r="CO122" s="235">
        <f t="shared" ca="1" si="103"/>
        <v>2275685.0148037802</v>
      </c>
      <c r="CP122" s="235">
        <f t="shared" ca="1" si="103"/>
        <v>3941094.2103003561</v>
      </c>
      <c r="CQ122" s="235">
        <f t="shared" ca="1" si="103"/>
        <v>5250883.1349190678</v>
      </c>
      <c r="CR122" s="235">
        <f t="shared" ca="1" si="103"/>
        <v>1108809.8810363431</v>
      </c>
      <c r="CS122" s="235">
        <f t="shared" ca="1" si="103"/>
        <v>2125185.7954736743</v>
      </c>
      <c r="CT122" s="235">
        <f t="shared" ca="1" si="103"/>
        <v>3650455.8831059821</v>
      </c>
      <c r="CU122" s="235">
        <f t="shared" ca="1" si="103"/>
        <v>2401250.3396112826</v>
      </c>
      <c r="CV122" s="235">
        <f t="shared" ca="1" si="103"/>
        <v>4093841.0877383207</v>
      </c>
      <c r="CW122" s="235">
        <f t="shared" ca="1" si="103"/>
        <v>5701283.0274520051</v>
      </c>
      <c r="CX122" s="235">
        <f t="shared" ca="1" si="103"/>
        <v>1551337.5743290116</v>
      </c>
      <c r="CY122" s="235">
        <f t="shared" ca="1" si="103"/>
        <v>2551611.4321273942</v>
      </c>
      <c r="CZ122" s="235">
        <f t="shared" ca="1" si="103"/>
        <v>4214969.7027668059</v>
      </c>
      <c r="DA122" s="235">
        <f t="shared" ca="1" si="103"/>
        <v>2779519.4928356307</v>
      </c>
      <c r="DB122" s="235">
        <f t="shared" ca="1" si="103"/>
        <v>4362569.7884708857</v>
      </c>
      <c r="DC122" s="235">
        <f t="shared" ca="1" si="103"/>
        <v>5680291.9188387264</v>
      </c>
      <c r="DD122" s="235">
        <f t="shared" ca="1" si="103"/>
        <v>1539216.419707044</v>
      </c>
      <c r="DE122" s="235">
        <f t="shared" ca="1" si="103"/>
        <v>2571096.4902776768</v>
      </c>
      <c r="DF122" s="235">
        <f t="shared" ca="1" si="103"/>
        <v>4096084.0702144112</v>
      </c>
      <c r="DG122" s="235">
        <f t="shared" ca="1" si="103"/>
        <v>2839113.3055165834</v>
      </c>
      <c r="DH122" s="235">
        <f t="shared" ca="1" si="103"/>
        <v>4488277.2899295269</v>
      </c>
      <c r="DI122" s="235">
        <f t="shared" ca="1" si="103"/>
        <v>6188690.0361456266</v>
      </c>
      <c r="DJ122" s="235">
        <f t="shared" ca="1" si="103"/>
        <v>2038479.2460844791</v>
      </c>
      <c r="DK122" s="235">
        <f t="shared" ca="1" si="103"/>
        <v>3741921.4580295482</v>
      </c>
      <c r="DL122" s="235">
        <f t="shared" ca="1" si="103"/>
        <v>5451027.1929716598</v>
      </c>
      <c r="DM122" s="235">
        <f t="shared" ca="1" si="103"/>
        <v>3992471.6511189686</v>
      </c>
      <c r="DN122" s="235">
        <f t="shared" ca="1" si="103"/>
        <v>5706564.4151252359</v>
      </c>
      <c r="DO122" s="235">
        <f t="shared" ca="1" si="103"/>
        <v>7075912.125940335</v>
      </c>
      <c r="DP122" s="235">
        <f t="shared" ca="1" si="103"/>
        <v>2968505.8714958564</v>
      </c>
      <c r="DQ122" s="235">
        <f t="shared" ref="DQ122:EQ122" ca="1" si="104">DQ121+DQ120</f>
        <v>4059538.5891550882</v>
      </c>
      <c r="DR122" s="235">
        <f t="shared" ca="1" si="104"/>
        <v>5628429.5404558852</v>
      </c>
      <c r="DS122" s="235">
        <f t="shared" ca="1" si="104"/>
        <v>4416718.8000879139</v>
      </c>
      <c r="DT122" s="235">
        <f t="shared" ca="1" si="104"/>
        <v>6159447.3939082744</v>
      </c>
      <c r="DU122" s="235">
        <f t="shared" ca="1" si="104"/>
        <v>7907258.9461272778</v>
      </c>
      <c r="DV122" s="235">
        <f t="shared" ca="1" si="104"/>
        <v>3826287.1055220002</v>
      </c>
      <c r="DW122" s="235">
        <f t="shared" ca="1" si="104"/>
        <v>5578435.213299823</v>
      </c>
      <c r="DX122" s="235">
        <f t="shared" ca="1" si="104"/>
        <v>7335693.7530586645</v>
      </c>
      <c r="DY122" s="235">
        <f t="shared" ca="1" si="104"/>
        <v>5901418.248456927</v>
      </c>
      <c r="DZ122" s="235">
        <f t="shared" ca="1" si="104"/>
        <v>7663981.4861776466</v>
      </c>
      <c r="EA122" s="235">
        <f t="shared" ca="1" si="104"/>
        <v>9087187.2102784906</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1097</v>
      </c>
      <c r="C123" s="212"/>
      <c r="D123" s="212"/>
      <c r="E123" s="212"/>
      <c r="F123" s="212"/>
      <c r="G123" s="212"/>
      <c r="H123" s="213"/>
      <c r="I123" s="242">
        <f t="shared" ref="I123:I133" ca="1" si="105">IFERROR((IRR($L123:$EQ123,0.001)+1)^12-1,)</f>
        <v>7.122499999999965E-2</v>
      </c>
      <c r="J123" s="216">
        <f t="shared" ref="J123:J133" ca="1" si="106">SUM(L123:EQ123)</f>
        <v>16800000</v>
      </c>
      <c r="L123" s="216">
        <f ca="1">-(L95-L99)</f>
        <v>-24000000</v>
      </c>
      <c r="M123" s="216">
        <f t="shared" ref="M123:BX123" ca="1" si="107">-(M95-M99)</f>
        <v>0</v>
      </c>
      <c r="N123" s="216">
        <f t="shared" ca="1" si="107"/>
        <v>0</v>
      </c>
      <c r="O123" s="216">
        <f t="shared" ca="1" si="107"/>
        <v>0</v>
      </c>
      <c r="P123" s="216">
        <f t="shared" ca="1" si="107"/>
        <v>0</v>
      </c>
      <c r="Q123" s="216">
        <f t="shared" ca="1" si="107"/>
        <v>0</v>
      </c>
      <c r="R123" s="216">
        <f t="shared" ca="1" si="107"/>
        <v>840000.00000000012</v>
      </c>
      <c r="S123" s="216">
        <f t="shared" ca="1" si="107"/>
        <v>0</v>
      </c>
      <c r="T123" s="216">
        <f t="shared" ca="1" si="107"/>
        <v>0</v>
      </c>
      <c r="U123" s="216">
        <f t="shared" ca="1" si="107"/>
        <v>0</v>
      </c>
      <c r="V123" s="216">
        <f t="shared" ca="1" si="107"/>
        <v>0</v>
      </c>
      <c r="W123" s="216">
        <f t="shared" ca="1" si="107"/>
        <v>0</v>
      </c>
      <c r="X123" s="216">
        <f t="shared" ca="1" si="107"/>
        <v>840000.00000000012</v>
      </c>
      <c r="Y123" s="216">
        <f t="shared" ca="1" si="107"/>
        <v>0</v>
      </c>
      <c r="Z123" s="216">
        <f t="shared" ca="1" si="107"/>
        <v>0</v>
      </c>
      <c r="AA123" s="216">
        <f t="shared" ca="1" si="107"/>
        <v>0</v>
      </c>
      <c r="AB123" s="216">
        <f t="shared" ca="1" si="107"/>
        <v>0</v>
      </c>
      <c r="AC123" s="216">
        <f t="shared" ca="1" si="107"/>
        <v>0</v>
      </c>
      <c r="AD123" s="216">
        <f t="shared" ca="1" si="107"/>
        <v>840000.00000000012</v>
      </c>
      <c r="AE123" s="216">
        <f t="shared" ca="1" si="107"/>
        <v>0</v>
      </c>
      <c r="AF123" s="216">
        <f t="shared" ca="1" si="107"/>
        <v>0</v>
      </c>
      <c r="AG123" s="216">
        <f t="shared" ca="1" si="107"/>
        <v>0</v>
      </c>
      <c r="AH123" s="216">
        <f t="shared" ca="1" si="107"/>
        <v>0</v>
      </c>
      <c r="AI123" s="216">
        <f t="shared" ca="1" si="107"/>
        <v>0</v>
      </c>
      <c r="AJ123" s="216">
        <f t="shared" ca="1" si="107"/>
        <v>840000.00000000012</v>
      </c>
      <c r="AK123" s="216">
        <f t="shared" ca="1" si="107"/>
        <v>0</v>
      </c>
      <c r="AL123" s="216">
        <f t="shared" ca="1" si="107"/>
        <v>0</v>
      </c>
      <c r="AM123" s="216">
        <f t="shared" ca="1" si="107"/>
        <v>0</v>
      </c>
      <c r="AN123" s="216">
        <f t="shared" ca="1" si="107"/>
        <v>0</v>
      </c>
      <c r="AO123" s="216">
        <f t="shared" ca="1" si="107"/>
        <v>0</v>
      </c>
      <c r="AP123" s="216">
        <f t="shared" ca="1" si="107"/>
        <v>840000.00000000012</v>
      </c>
      <c r="AQ123" s="216">
        <f t="shared" ca="1" si="107"/>
        <v>0</v>
      </c>
      <c r="AR123" s="216">
        <f t="shared" ca="1" si="107"/>
        <v>0</v>
      </c>
      <c r="AS123" s="216">
        <f t="shared" ca="1" si="107"/>
        <v>0</v>
      </c>
      <c r="AT123" s="216">
        <f t="shared" ca="1" si="107"/>
        <v>0</v>
      </c>
      <c r="AU123" s="216">
        <f t="shared" ca="1" si="107"/>
        <v>0</v>
      </c>
      <c r="AV123" s="216">
        <f t="shared" ca="1" si="107"/>
        <v>840000.00000000012</v>
      </c>
      <c r="AW123" s="216">
        <f t="shared" ca="1" si="107"/>
        <v>0</v>
      </c>
      <c r="AX123" s="216">
        <f t="shared" ca="1" si="107"/>
        <v>0</v>
      </c>
      <c r="AY123" s="216">
        <f t="shared" ca="1" si="107"/>
        <v>0</v>
      </c>
      <c r="AZ123" s="216">
        <f t="shared" ca="1" si="107"/>
        <v>0</v>
      </c>
      <c r="BA123" s="216">
        <f t="shared" ca="1" si="107"/>
        <v>0</v>
      </c>
      <c r="BB123" s="216">
        <f t="shared" ca="1" si="107"/>
        <v>840000.00000000012</v>
      </c>
      <c r="BC123" s="216">
        <f t="shared" ca="1" si="107"/>
        <v>0</v>
      </c>
      <c r="BD123" s="216">
        <f t="shared" ca="1" si="107"/>
        <v>0</v>
      </c>
      <c r="BE123" s="216">
        <f t="shared" ca="1" si="107"/>
        <v>0</v>
      </c>
      <c r="BF123" s="216">
        <f t="shared" ca="1" si="107"/>
        <v>0</v>
      </c>
      <c r="BG123" s="216">
        <f t="shared" ca="1" si="107"/>
        <v>0</v>
      </c>
      <c r="BH123" s="216">
        <f t="shared" ca="1" si="107"/>
        <v>840000.00000000012</v>
      </c>
      <c r="BI123" s="216">
        <f t="shared" ca="1" si="107"/>
        <v>0</v>
      </c>
      <c r="BJ123" s="216">
        <f t="shared" ca="1" si="107"/>
        <v>0</v>
      </c>
      <c r="BK123" s="216">
        <f t="shared" ca="1" si="107"/>
        <v>0</v>
      </c>
      <c r="BL123" s="216">
        <f t="shared" ca="1" si="107"/>
        <v>0</v>
      </c>
      <c r="BM123" s="216">
        <f t="shared" ca="1" si="107"/>
        <v>0</v>
      </c>
      <c r="BN123" s="216">
        <f t="shared" ca="1" si="107"/>
        <v>840000.00000000012</v>
      </c>
      <c r="BO123" s="216">
        <f t="shared" ca="1" si="107"/>
        <v>0</v>
      </c>
      <c r="BP123" s="216">
        <f t="shared" ca="1" si="107"/>
        <v>0</v>
      </c>
      <c r="BQ123" s="216">
        <f t="shared" ca="1" si="107"/>
        <v>0</v>
      </c>
      <c r="BR123" s="216">
        <f t="shared" ca="1" si="107"/>
        <v>0</v>
      </c>
      <c r="BS123" s="216">
        <f t="shared" ca="1" si="107"/>
        <v>0</v>
      </c>
      <c r="BT123" s="216">
        <f t="shared" ca="1" si="107"/>
        <v>840000.00000000012</v>
      </c>
      <c r="BU123" s="216">
        <f t="shared" ca="1" si="107"/>
        <v>0</v>
      </c>
      <c r="BV123" s="216">
        <f t="shared" ca="1" si="107"/>
        <v>0</v>
      </c>
      <c r="BW123" s="216">
        <f t="shared" ca="1" si="107"/>
        <v>0</v>
      </c>
      <c r="BX123" s="216">
        <f t="shared" ca="1" si="107"/>
        <v>0</v>
      </c>
      <c r="BY123" s="216">
        <f t="shared" ref="BY123:DP123" ca="1" si="108">-(BY95-BY99)</f>
        <v>0</v>
      </c>
      <c r="BZ123" s="216">
        <f t="shared" ca="1" si="108"/>
        <v>840000.00000000012</v>
      </c>
      <c r="CA123" s="216">
        <f t="shared" ca="1" si="108"/>
        <v>0</v>
      </c>
      <c r="CB123" s="216">
        <f t="shared" ca="1" si="108"/>
        <v>0</v>
      </c>
      <c r="CC123" s="216">
        <f t="shared" ca="1" si="108"/>
        <v>0</v>
      </c>
      <c r="CD123" s="216">
        <f t="shared" ca="1" si="108"/>
        <v>0</v>
      </c>
      <c r="CE123" s="216">
        <f t="shared" ca="1" si="108"/>
        <v>0</v>
      </c>
      <c r="CF123" s="216">
        <f t="shared" ca="1" si="108"/>
        <v>840000.00000000012</v>
      </c>
      <c r="CG123" s="216">
        <f t="shared" ca="1" si="108"/>
        <v>0</v>
      </c>
      <c r="CH123" s="216">
        <f t="shared" ca="1" si="108"/>
        <v>0</v>
      </c>
      <c r="CI123" s="216">
        <f t="shared" ca="1" si="108"/>
        <v>0</v>
      </c>
      <c r="CJ123" s="216">
        <f t="shared" ca="1" si="108"/>
        <v>0</v>
      </c>
      <c r="CK123" s="216">
        <f t="shared" ca="1" si="108"/>
        <v>0</v>
      </c>
      <c r="CL123" s="216">
        <f t="shared" ca="1" si="108"/>
        <v>840000.00000000012</v>
      </c>
      <c r="CM123" s="216">
        <f t="shared" ca="1" si="108"/>
        <v>0</v>
      </c>
      <c r="CN123" s="216">
        <f t="shared" ca="1" si="108"/>
        <v>0</v>
      </c>
      <c r="CO123" s="216">
        <f t="shared" ca="1" si="108"/>
        <v>0</v>
      </c>
      <c r="CP123" s="216">
        <f t="shared" ca="1" si="108"/>
        <v>0</v>
      </c>
      <c r="CQ123" s="216">
        <f t="shared" ca="1" si="108"/>
        <v>0</v>
      </c>
      <c r="CR123" s="216">
        <f t="shared" ca="1" si="108"/>
        <v>840000.00000000012</v>
      </c>
      <c r="CS123" s="216">
        <f t="shared" ca="1" si="108"/>
        <v>0</v>
      </c>
      <c r="CT123" s="216">
        <f t="shared" ca="1" si="108"/>
        <v>0</v>
      </c>
      <c r="CU123" s="216">
        <f t="shared" ca="1" si="108"/>
        <v>0</v>
      </c>
      <c r="CV123" s="216">
        <f t="shared" ca="1" si="108"/>
        <v>0</v>
      </c>
      <c r="CW123" s="216">
        <f t="shared" ca="1" si="108"/>
        <v>0</v>
      </c>
      <c r="CX123" s="216">
        <f t="shared" ca="1" si="108"/>
        <v>840000.00000000012</v>
      </c>
      <c r="CY123" s="216">
        <f t="shared" ca="1" si="108"/>
        <v>0</v>
      </c>
      <c r="CZ123" s="216">
        <f t="shared" ca="1" si="108"/>
        <v>0</v>
      </c>
      <c r="DA123" s="216">
        <f t="shared" ca="1" si="108"/>
        <v>0</v>
      </c>
      <c r="DB123" s="216">
        <f t="shared" ca="1" si="108"/>
        <v>0</v>
      </c>
      <c r="DC123" s="216">
        <f t="shared" ca="1" si="108"/>
        <v>0</v>
      </c>
      <c r="DD123" s="216">
        <f t="shared" ca="1" si="108"/>
        <v>840000.00000000012</v>
      </c>
      <c r="DE123" s="216">
        <f t="shared" ca="1" si="108"/>
        <v>0</v>
      </c>
      <c r="DF123" s="216">
        <f t="shared" ca="1" si="108"/>
        <v>0</v>
      </c>
      <c r="DG123" s="216">
        <f t="shared" ca="1" si="108"/>
        <v>0</v>
      </c>
      <c r="DH123" s="216">
        <f t="shared" ca="1" si="108"/>
        <v>0</v>
      </c>
      <c r="DI123" s="216">
        <f t="shared" ca="1" si="108"/>
        <v>0</v>
      </c>
      <c r="DJ123" s="216">
        <f t="shared" ca="1" si="108"/>
        <v>840000.00000000012</v>
      </c>
      <c r="DK123" s="216">
        <f t="shared" ca="1" si="108"/>
        <v>0</v>
      </c>
      <c r="DL123" s="216">
        <f t="shared" ca="1" si="108"/>
        <v>0</v>
      </c>
      <c r="DM123" s="216">
        <f t="shared" ca="1" si="108"/>
        <v>0</v>
      </c>
      <c r="DN123" s="216">
        <f t="shared" ca="1" si="108"/>
        <v>0</v>
      </c>
      <c r="DO123" s="216">
        <f t="shared" ca="1" si="108"/>
        <v>0</v>
      </c>
      <c r="DP123" s="216">
        <f t="shared" ca="1" si="108"/>
        <v>840000.00000000012</v>
      </c>
      <c r="DQ123" s="216">
        <f t="shared" ref="DQ123:EQ123" ca="1" si="109">-(DQ95-DQ99)</f>
        <v>0</v>
      </c>
      <c r="DR123" s="216">
        <f t="shared" ca="1" si="109"/>
        <v>0</v>
      </c>
      <c r="DS123" s="216">
        <f t="shared" ca="1" si="109"/>
        <v>0</v>
      </c>
      <c r="DT123" s="216">
        <f t="shared" ca="1" si="109"/>
        <v>0</v>
      </c>
      <c r="DU123" s="216">
        <f t="shared" ca="1" si="109"/>
        <v>0</v>
      </c>
      <c r="DV123" s="216">
        <f t="shared" ca="1" si="109"/>
        <v>840000.00000000012</v>
      </c>
      <c r="DW123" s="216">
        <f t="shared" ca="1" si="109"/>
        <v>0</v>
      </c>
      <c r="DX123" s="216">
        <f t="shared" ca="1" si="109"/>
        <v>0</v>
      </c>
      <c r="DY123" s="216">
        <f t="shared" ca="1" si="109"/>
        <v>0</v>
      </c>
      <c r="DZ123" s="216">
        <f t="shared" ca="1" si="109"/>
        <v>0</v>
      </c>
      <c r="EA123" s="216">
        <f t="shared" ca="1" si="109"/>
        <v>0</v>
      </c>
      <c r="EB123" s="216">
        <f t="shared" ca="1" si="109"/>
        <v>24840000</v>
      </c>
      <c r="EC123" s="216">
        <f t="shared" ca="1" si="109"/>
        <v>0</v>
      </c>
      <c r="ED123" s="216">
        <f t="shared" ca="1" si="109"/>
        <v>0</v>
      </c>
      <c r="EE123" s="216">
        <f t="shared" ca="1" si="109"/>
        <v>0</v>
      </c>
      <c r="EF123" s="216">
        <f t="shared" ca="1" si="109"/>
        <v>0</v>
      </c>
      <c r="EG123" s="216">
        <f t="shared" ca="1" si="109"/>
        <v>0</v>
      </c>
      <c r="EH123" s="216">
        <f t="shared" ca="1" si="109"/>
        <v>0</v>
      </c>
      <c r="EI123" s="216">
        <f t="shared" ca="1" si="109"/>
        <v>0</v>
      </c>
      <c r="EJ123" s="216">
        <f t="shared" ca="1" si="109"/>
        <v>0</v>
      </c>
      <c r="EK123" s="216">
        <f t="shared" ca="1" si="109"/>
        <v>0</v>
      </c>
      <c r="EL123" s="216">
        <f t="shared" ca="1" si="109"/>
        <v>0</v>
      </c>
      <c r="EM123" s="216">
        <f t="shared" ca="1" si="109"/>
        <v>0</v>
      </c>
      <c r="EN123" s="216">
        <f t="shared" ca="1" si="109"/>
        <v>0</v>
      </c>
      <c r="EO123" s="216">
        <f t="shared" ca="1" si="109"/>
        <v>0</v>
      </c>
      <c r="EP123" s="216">
        <f t="shared" ca="1" si="109"/>
        <v>0</v>
      </c>
      <c r="EQ123" s="216">
        <f t="shared" ca="1" si="109"/>
        <v>0</v>
      </c>
    </row>
    <row r="124" spans="2:147" ht="11.25" customHeight="1">
      <c r="B124" s="237" t="s">
        <v>1098</v>
      </c>
      <c r="C124" s="238"/>
      <c r="D124" s="238"/>
      <c r="E124" s="238"/>
      <c r="F124" s="238"/>
      <c r="G124" s="238"/>
      <c r="H124" s="239"/>
      <c r="I124" s="243">
        <f t="shared" ca="1" si="105"/>
        <v>7.122499999999965E-2</v>
      </c>
      <c r="J124" s="241">
        <f t="shared" ca="1" si="106"/>
        <v>16800000</v>
      </c>
      <c r="L124" s="235">
        <f ca="1">-L95</f>
        <v>-24000000</v>
      </c>
      <c r="M124" s="235">
        <f t="shared" ref="M124:BX124" ca="1" si="110">-M95</f>
        <v>0</v>
      </c>
      <c r="N124" s="235">
        <f t="shared" ca="1" si="110"/>
        <v>0</v>
      </c>
      <c r="O124" s="235">
        <f t="shared" ca="1" si="110"/>
        <v>0</v>
      </c>
      <c r="P124" s="235">
        <f t="shared" ca="1" si="110"/>
        <v>0</v>
      </c>
      <c r="Q124" s="235">
        <f t="shared" ca="1" si="110"/>
        <v>0</v>
      </c>
      <c r="R124" s="235">
        <f t="shared" ca="1" si="110"/>
        <v>840000.00000000012</v>
      </c>
      <c r="S124" s="235">
        <f t="shared" ca="1" si="110"/>
        <v>0</v>
      </c>
      <c r="T124" s="235">
        <f t="shared" ca="1" si="110"/>
        <v>0</v>
      </c>
      <c r="U124" s="235">
        <f t="shared" ca="1" si="110"/>
        <v>0</v>
      </c>
      <c r="V124" s="235">
        <f t="shared" ca="1" si="110"/>
        <v>0</v>
      </c>
      <c r="W124" s="235">
        <f t="shared" ca="1" si="110"/>
        <v>0</v>
      </c>
      <c r="X124" s="235">
        <f t="shared" ca="1" si="110"/>
        <v>840000.00000000012</v>
      </c>
      <c r="Y124" s="235">
        <f t="shared" ca="1" si="110"/>
        <v>0</v>
      </c>
      <c r="Z124" s="235">
        <f t="shared" ca="1" si="110"/>
        <v>0</v>
      </c>
      <c r="AA124" s="235">
        <f t="shared" ca="1" si="110"/>
        <v>0</v>
      </c>
      <c r="AB124" s="235">
        <f t="shared" ca="1" si="110"/>
        <v>0</v>
      </c>
      <c r="AC124" s="235">
        <f t="shared" ca="1" si="110"/>
        <v>0</v>
      </c>
      <c r="AD124" s="235">
        <f t="shared" ca="1" si="110"/>
        <v>840000.00000000012</v>
      </c>
      <c r="AE124" s="235">
        <f t="shared" ca="1" si="110"/>
        <v>0</v>
      </c>
      <c r="AF124" s="235">
        <f t="shared" ca="1" si="110"/>
        <v>0</v>
      </c>
      <c r="AG124" s="235">
        <f t="shared" ca="1" si="110"/>
        <v>0</v>
      </c>
      <c r="AH124" s="235">
        <f t="shared" ca="1" si="110"/>
        <v>0</v>
      </c>
      <c r="AI124" s="235">
        <f t="shared" ca="1" si="110"/>
        <v>0</v>
      </c>
      <c r="AJ124" s="235">
        <f t="shared" ca="1" si="110"/>
        <v>840000.00000000012</v>
      </c>
      <c r="AK124" s="235">
        <f t="shared" ca="1" si="110"/>
        <v>0</v>
      </c>
      <c r="AL124" s="235">
        <f t="shared" ca="1" si="110"/>
        <v>0</v>
      </c>
      <c r="AM124" s="235">
        <f t="shared" ca="1" si="110"/>
        <v>0</v>
      </c>
      <c r="AN124" s="235">
        <f t="shared" ca="1" si="110"/>
        <v>0</v>
      </c>
      <c r="AO124" s="235">
        <f t="shared" ca="1" si="110"/>
        <v>0</v>
      </c>
      <c r="AP124" s="235">
        <f t="shared" ca="1" si="110"/>
        <v>840000.00000000012</v>
      </c>
      <c r="AQ124" s="235">
        <f t="shared" ca="1" si="110"/>
        <v>0</v>
      </c>
      <c r="AR124" s="235">
        <f t="shared" ca="1" si="110"/>
        <v>0</v>
      </c>
      <c r="AS124" s="235">
        <f t="shared" ca="1" si="110"/>
        <v>0</v>
      </c>
      <c r="AT124" s="235">
        <f t="shared" ca="1" si="110"/>
        <v>0</v>
      </c>
      <c r="AU124" s="235">
        <f t="shared" ca="1" si="110"/>
        <v>0</v>
      </c>
      <c r="AV124" s="235">
        <f t="shared" ca="1" si="110"/>
        <v>840000.00000000012</v>
      </c>
      <c r="AW124" s="235">
        <f t="shared" ca="1" si="110"/>
        <v>0</v>
      </c>
      <c r="AX124" s="235">
        <f t="shared" ca="1" si="110"/>
        <v>0</v>
      </c>
      <c r="AY124" s="235">
        <f t="shared" ca="1" si="110"/>
        <v>0</v>
      </c>
      <c r="AZ124" s="235">
        <f t="shared" ca="1" si="110"/>
        <v>0</v>
      </c>
      <c r="BA124" s="235">
        <f t="shared" ca="1" si="110"/>
        <v>0</v>
      </c>
      <c r="BB124" s="235">
        <f t="shared" ca="1" si="110"/>
        <v>840000.00000000012</v>
      </c>
      <c r="BC124" s="235">
        <f t="shared" ca="1" si="110"/>
        <v>0</v>
      </c>
      <c r="BD124" s="235">
        <f t="shared" ca="1" si="110"/>
        <v>0</v>
      </c>
      <c r="BE124" s="235">
        <f t="shared" ca="1" si="110"/>
        <v>0</v>
      </c>
      <c r="BF124" s="235">
        <f t="shared" ca="1" si="110"/>
        <v>0</v>
      </c>
      <c r="BG124" s="235">
        <f t="shared" ca="1" si="110"/>
        <v>0</v>
      </c>
      <c r="BH124" s="235">
        <f t="shared" ca="1" si="110"/>
        <v>840000.00000000012</v>
      </c>
      <c r="BI124" s="235">
        <f t="shared" ca="1" si="110"/>
        <v>0</v>
      </c>
      <c r="BJ124" s="235">
        <f t="shared" ca="1" si="110"/>
        <v>0</v>
      </c>
      <c r="BK124" s="235">
        <f t="shared" ca="1" si="110"/>
        <v>0</v>
      </c>
      <c r="BL124" s="235">
        <f t="shared" ca="1" si="110"/>
        <v>0</v>
      </c>
      <c r="BM124" s="235">
        <f t="shared" ca="1" si="110"/>
        <v>0</v>
      </c>
      <c r="BN124" s="235">
        <f t="shared" ca="1" si="110"/>
        <v>840000.00000000012</v>
      </c>
      <c r="BO124" s="235">
        <f t="shared" ca="1" si="110"/>
        <v>0</v>
      </c>
      <c r="BP124" s="235">
        <f t="shared" ca="1" si="110"/>
        <v>0</v>
      </c>
      <c r="BQ124" s="235">
        <f t="shared" ca="1" si="110"/>
        <v>0</v>
      </c>
      <c r="BR124" s="235">
        <f t="shared" ca="1" si="110"/>
        <v>0</v>
      </c>
      <c r="BS124" s="235">
        <f t="shared" ca="1" si="110"/>
        <v>0</v>
      </c>
      <c r="BT124" s="235">
        <f t="shared" ca="1" si="110"/>
        <v>840000.00000000012</v>
      </c>
      <c r="BU124" s="235">
        <f t="shared" ca="1" si="110"/>
        <v>0</v>
      </c>
      <c r="BV124" s="235">
        <f t="shared" ca="1" si="110"/>
        <v>0</v>
      </c>
      <c r="BW124" s="235">
        <f t="shared" ca="1" si="110"/>
        <v>0</v>
      </c>
      <c r="BX124" s="235">
        <f t="shared" ca="1" si="110"/>
        <v>0</v>
      </c>
      <c r="BY124" s="235">
        <f t="shared" ref="BY124:DP124" ca="1" si="111">-BY95</f>
        <v>0</v>
      </c>
      <c r="BZ124" s="235">
        <f t="shared" ca="1" si="111"/>
        <v>840000.00000000012</v>
      </c>
      <c r="CA124" s="235">
        <f t="shared" ca="1" si="111"/>
        <v>0</v>
      </c>
      <c r="CB124" s="235">
        <f t="shared" ca="1" si="111"/>
        <v>0</v>
      </c>
      <c r="CC124" s="235">
        <f t="shared" ca="1" si="111"/>
        <v>0</v>
      </c>
      <c r="CD124" s="235">
        <f t="shared" ca="1" si="111"/>
        <v>0</v>
      </c>
      <c r="CE124" s="235">
        <f t="shared" ca="1" si="111"/>
        <v>0</v>
      </c>
      <c r="CF124" s="235">
        <f t="shared" ca="1" si="111"/>
        <v>840000.00000000012</v>
      </c>
      <c r="CG124" s="235">
        <f t="shared" ca="1" si="111"/>
        <v>0</v>
      </c>
      <c r="CH124" s="235">
        <f t="shared" ca="1" si="111"/>
        <v>0</v>
      </c>
      <c r="CI124" s="235">
        <f t="shared" ca="1" si="111"/>
        <v>0</v>
      </c>
      <c r="CJ124" s="235">
        <f t="shared" ca="1" si="111"/>
        <v>0</v>
      </c>
      <c r="CK124" s="235">
        <f t="shared" ca="1" si="111"/>
        <v>0</v>
      </c>
      <c r="CL124" s="235">
        <f t="shared" ca="1" si="111"/>
        <v>840000.00000000012</v>
      </c>
      <c r="CM124" s="235">
        <f t="shared" ca="1" si="111"/>
        <v>0</v>
      </c>
      <c r="CN124" s="235">
        <f t="shared" ca="1" si="111"/>
        <v>0</v>
      </c>
      <c r="CO124" s="235">
        <f t="shared" ca="1" si="111"/>
        <v>0</v>
      </c>
      <c r="CP124" s="235">
        <f t="shared" ca="1" si="111"/>
        <v>0</v>
      </c>
      <c r="CQ124" s="235">
        <f t="shared" ca="1" si="111"/>
        <v>0</v>
      </c>
      <c r="CR124" s="235">
        <f t="shared" ca="1" si="111"/>
        <v>840000.00000000012</v>
      </c>
      <c r="CS124" s="235">
        <f t="shared" ca="1" si="111"/>
        <v>0</v>
      </c>
      <c r="CT124" s="235">
        <f t="shared" ca="1" si="111"/>
        <v>0</v>
      </c>
      <c r="CU124" s="235">
        <f t="shared" ca="1" si="111"/>
        <v>0</v>
      </c>
      <c r="CV124" s="235">
        <f t="shared" ca="1" si="111"/>
        <v>0</v>
      </c>
      <c r="CW124" s="235">
        <f t="shared" ca="1" si="111"/>
        <v>0</v>
      </c>
      <c r="CX124" s="235">
        <f t="shared" ca="1" si="111"/>
        <v>840000.00000000012</v>
      </c>
      <c r="CY124" s="235">
        <f t="shared" ca="1" si="111"/>
        <v>0</v>
      </c>
      <c r="CZ124" s="235">
        <f t="shared" ca="1" si="111"/>
        <v>0</v>
      </c>
      <c r="DA124" s="235">
        <f t="shared" ca="1" si="111"/>
        <v>0</v>
      </c>
      <c r="DB124" s="235">
        <f t="shared" ca="1" si="111"/>
        <v>0</v>
      </c>
      <c r="DC124" s="235">
        <f t="shared" ca="1" si="111"/>
        <v>0</v>
      </c>
      <c r="DD124" s="235">
        <f t="shared" ca="1" si="111"/>
        <v>840000.00000000012</v>
      </c>
      <c r="DE124" s="235">
        <f t="shared" ca="1" si="111"/>
        <v>0</v>
      </c>
      <c r="DF124" s="235">
        <f t="shared" ca="1" si="111"/>
        <v>0</v>
      </c>
      <c r="DG124" s="235">
        <f t="shared" ca="1" si="111"/>
        <v>0</v>
      </c>
      <c r="DH124" s="235">
        <f t="shared" ca="1" si="111"/>
        <v>0</v>
      </c>
      <c r="DI124" s="235">
        <f t="shared" ca="1" si="111"/>
        <v>0</v>
      </c>
      <c r="DJ124" s="235">
        <f t="shared" ca="1" si="111"/>
        <v>840000.00000000012</v>
      </c>
      <c r="DK124" s="235">
        <f t="shared" ca="1" si="111"/>
        <v>0</v>
      </c>
      <c r="DL124" s="235">
        <f t="shared" ca="1" si="111"/>
        <v>0</v>
      </c>
      <c r="DM124" s="235">
        <f t="shared" ca="1" si="111"/>
        <v>0</v>
      </c>
      <c r="DN124" s="235">
        <f t="shared" ca="1" si="111"/>
        <v>0</v>
      </c>
      <c r="DO124" s="235">
        <f t="shared" ca="1" si="111"/>
        <v>0</v>
      </c>
      <c r="DP124" s="235">
        <f t="shared" ca="1" si="111"/>
        <v>840000.00000000012</v>
      </c>
      <c r="DQ124" s="235">
        <f t="shared" ref="DQ124:EQ124" ca="1" si="112">-DQ95</f>
        <v>0</v>
      </c>
      <c r="DR124" s="235">
        <f t="shared" ca="1" si="112"/>
        <v>0</v>
      </c>
      <c r="DS124" s="235">
        <f t="shared" ca="1" si="112"/>
        <v>0</v>
      </c>
      <c r="DT124" s="235">
        <f t="shared" ca="1" si="112"/>
        <v>0</v>
      </c>
      <c r="DU124" s="235">
        <f t="shared" ca="1" si="112"/>
        <v>0</v>
      </c>
      <c r="DV124" s="235">
        <f t="shared" ca="1" si="112"/>
        <v>840000.00000000012</v>
      </c>
      <c r="DW124" s="235">
        <f t="shared" ca="1" si="112"/>
        <v>0</v>
      </c>
      <c r="DX124" s="235">
        <f t="shared" ca="1" si="112"/>
        <v>0</v>
      </c>
      <c r="DY124" s="235">
        <f t="shared" ca="1" si="112"/>
        <v>0</v>
      </c>
      <c r="DZ124" s="235">
        <f t="shared" ca="1" si="112"/>
        <v>0</v>
      </c>
      <c r="EA124" s="235">
        <f t="shared" ca="1" si="112"/>
        <v>0</v>
      </c>
      <c r="EB124" s="235">
        <f t="shared" ca="1" si="112"/>
        <v>24840000</v>
      </c>
      <c r="EC124" s="235">
        <f t="shared" ca="1" si="112"/>
        <v>0</v>
      </c>
      <c r="ED124" s="235">
        <f t="shared" ca="1" si="112"/>
        <v>0</v>
      </c>
      <c r="EE124" s="235">
        <f t="shared" ca="1" si="112"/>
        <v>0</v>
      </c>
      <c r="EF124" s="235">
        <f t="shared" ca="1" si="112"/>
        <v>0</v>
      </c>
      <c r="EG124" s="235">
        <f t="shared" ca="1" si="112"/>
        <v>0</v>
      </c>
      <c r="EH124" s="235">
        <f t="shared" ca="1" si="112"/>
        <v>0</v>
      </c>
      <c r="EI124" s="235">
        <f t="shared" ca="1" si="112"/>
        <v>0</v>
      </c>
      <c r="EJ124" s="235">
        <f t="shared" ca="1" si="112"/>
        <v>0</v>
      </c>
      <c r="EK124" s="235">
        <f t="shared" ca="1" si="112"/>
        <v>0</v>
      </c>
      <c r="EL124" s="235">
        <f t="shared" ca="1" si="112"/>
        <v>0</v>
      </c>
      <c r="EM124" s="235">
        <f t="shared" ca="1" si="112"/>
        <v>0</v>
      </c>
      <c r="EN124" s="235">
        <f t="shared" ca="1" si="112"/>
        <v>0</v>
      </c>
      <c r="EO124" s="235">
        <f t="shared" ca="1" si="112"/>
        <v>0</v>
      </c>
      <c r="EP124" s="235">
        <f t="shared" ca="1" si="112"/>
        <v>0</v>
      </c>
      <c r="EQ124" s="235">
        <f t="shared" ca="1" si="112"/>
        <v>0</v>
      </c>
    </row>
    <row r="125" spans="2:147" ht="11.25" customHeight="1">
      <c r="B125" s="211" t="s">
        <v>1099</v>
      </c>
      <c r="C125" s="212"/>
      <c r="D125" s="212"/>
      <c r="E125" s="212"/>
      <c r="F125" s="212"/>
      <c r="G125" s="212"/>
      <c r="H125" s="213"/>
      <c r="I125" s="242">
        <f t="shared" ca="1" si="105"/>
        <v>7.6382734954517195E-2</v>
      </c>
      <c r="J125" s="216">
        <f t="shared" ca="1" si="106"/>
        <v>37500000</v>
      </c>
      <c r="L125" s="216">
        <f ca="1">-(L100-L104)</f>
        <v>-50000000</v>
      </c>
      <c r="M125" s="216">
        <f t="shared" ref="M125:BX125" ca="1" si="113">-(M100-M104)</f>
        <v>0</v>
      </c>
      <c r="N125" s="216">
        <f t="shared" ca="1" si="113"/>
        <v>0</v>
      </c>
      <c r="O125" s="216">
        <f t="shared" ca="1" si="113"/>
        <v>0</v>
      </c>
      <c r="P125" s="216">
        <f t="shared" ca="1" si="113"/>
        <v>0</v>
      </c>
      <c r="Q125" s="216">
        <f t="shared" ca="1" si="113"/>
        <v>0</v>
      </c>
      <c r="R125" s="216">
        <f t="shared" ca="1" si="113"/>
        <v>1875000</v>
      </c>
      <c r="S125" s="216">
        <f t="shared" ca="1" si="113"/>
        <v>0</v>
      </c>
      <c r="T125" s="216">
        <f t="shared" ca="1" si="113"/>
        <v>0</v>
      </c>
      <c r="U125" s="216">
        <f t="shared" ca="1" si="113"/>
        <v>0</v>
      </c>
      <c r="V125" s="216">
        <f t="shared" ca="1" si="113"/>
        <v>0</v>
      </c>
      <c r="W125" s="216">
        <f t="shared" ca="1" si="113"/>
        <v>0</v>
      </c>
      <c r="X125" s="216">
        <f t="shared" ca="1" si="113"/>
        <v>1875000</v>
      </c>
      <c r="Y125" s="216">
        <f t="shared" ca="1" si="113"/>
        <v>0</v>
      </c>
      <c r="Z125" s="216">
        <f t="shared" ca="1" si="113"/>
        <v>0</v>
      </c>
      <c r="AA125" s="216">
        <f t="shared" ca="1" si="113"/>
        <v>0</v>
      </c>
      <c r="AB125" s="216">
        <f t="shared" ca="1" si="113"/>
        <v>0</v>
      </c>
      <c r="AC125" s="216">
        <f t="shared" ca="1" si="113"/>
        <v>0</v>
      </c>
      <c r="AD125" s="216">
        <f t="shared" ca="1" si="113"/>
        <v>1875000</v>
      </c>
      <c r="AE125" s="216">
        <f t="shared" ca="1" si="113"/>
        <v>0</v>
      </c>
      <c r="AF125" s="216">
        <f t="shared" ca="1" si="113"/>
        <v>0</v>
      </c>
      <c r="AG125" s="216">
        <f t="shared" ca="1" si="113"/>
        <v>0</v>
      </c>
      <c r="AH125" s="216">
        <f t="shared" ca="1" si="113"/>
        <v>0</v>
      </c>
      <c r="AI125" s="216">
        <f t="shared" ca="1" si="113"/>
        <v>0</v>
      </c>
      <c r="AJ125" s="216">
        <f t="shared" ca="1" si="113"/>
        <v>1875000</v>
      </c>
      <c r="AK125" s="216">
        <f t="shared" ca="1" si="113"/>
        <v>0</v>
      </c>
      <c r="AL125" s="216">
        <f t="shared" ca="1" si="113"/>
        <v>0</v>
      </c>
      <c r="AM125" s="216">
        <f t="shared" ca="1" si="113"/>
        <v>0</v>
      </c>
      <c r="AN125" s="216">
        <f t="shared" ca="1" si="113"/>
        <v>0</v>
      </c>
      <c r="AO125" s="216">
        <f t="shared" ca="1" si="113"/>
        <v>0</v>
      </c>
      <c r="AP125" s="216">
        <f t="shared" ca="1" si="113"/>
        <v>1875000</v>
      </c>
      <c r="AQ125" s="216">
        <f t="shared" ca="1" si="113"/>
        <v>0</v>
      </c>
      <c r="AR125" s="216">
        <f t="shared" ca="1" si="113"/>
        <v>0</v>
      </c>
      <c r="AS125" s="216">
        <f t="shared" ca="1" si="113"/>
        <v>0</v>
      </c>
      <c r="AT125" s="216">
        <f t="shared" ca="1" si="113"/>
        <v>0</v>
      </c>
      <c r="AU125" s="216">
        <f t="shared" ca="1" si="113"/>
        <v>0</v>
      </c>
      <c r="AV125" s="216">
        <f t="shared" ca="1" si="113"/>
        <v>1875000</v>
      </c>
      <c r="AW125" s="216">
        <f t="shared" ca="1" si="113"/>
        <v>0</v>
      </c>
      <c r="AX125" s="216">
        <f t="shared" ca="1" si="113"/>
        <v>0</v>
      </c>
      <c r="AY125" s="216">
        <f t="shared" ca="1" si="113"/>
        <v>0</v>
      </c>
      <c r="AZ125" s="216">
        <f t="shared" ca="1" si="113"/>
        <v>0</v>
      </c>
      <c r="BA125" s="216">
        <f t="shared" ca="1" si="113"/>
        <v>0</v>
      </c>
      <c r="BB125" s="216">
        <f t="shared" ca="1" si="113"/>
        <v>1875000</v>
      </c>
      <c r="BC125" s="216">
        <f t="shared" ca="1" si="113"/>
        <v>0</v>
      </c>
      <c r="BD125" s="216">
        <f t="shared" ca="1" si="113"/>
        <v>0</v>
      </c>
      <c r="BE125" s="216">
        <f t="shared" ca="1" si="113"/>
        <v>0</v>
      </c>
      <c r="BF125" s="216">
        <f t="shared" ca="1" si="113"/>
        <v>0</v>
      </c>
      <c r="BG125" s="216">
        <f t="shared" ca="1" si="113"/>
        <v>0</v>
      </c>
      <c r="BH125" s="216">
        <f t="shared" ca="1" si="113"/>
        <v>1875000</v>
      </c>
      <c r="BI125" s="216">
        <f t="shared" ca="1" si="113"/>
        <v>0</v>
      </c>
      <c r="BJ125" s="216">
        <f t="shared" ca="1" si="113"/>
        <v>0</v>
      </c>
      <c r="BK125" s="216">
        <f t="shared" ca="1" si="113"/>
        <v>0</v>
      </c>
      <c r="BL125" s="216">
        <f t="shared" ca="1" si="113"/>
        <v>0</v>
      </c>
      <c r="BM125" s="216">
        <f t="shared" ca="1" si="113"/>
        <v>0</v>
      </c>
      <c r="BN125" s="216">
        <f t="shared" ca="1" si="113"/>
        <v>1856056.3038810929</v>
      </c>
      <c r="BO125" s="216">
        <f t="shared" ca="1" si="113"/>
        <v>0</v>
      </c>
      <c r="BP125" s="216">
        <f t="shared" ca="1" si="113"/>
        <v>0</v>
      </c>
      <c r="BQ125" s="216">
        <f t="shared" ca="1" si="113"/>
        <v>0</v>
      </c>
      <c r="BR125" s="216">
        <f t="shared" ca="1" si="113"/>
        <v>0</v>
      </c>
      <c r="BS125" s="216">
        <f t="shared" ca="1" si="113"/>
        <v>0</v>
      </c>
      <c r="BT125" s="216">
        <f t="shared" ca="1" si="113"/>
        <v>1761729.2937996686</v>
      </c>
      <c r="BU125" s="216">
        <f t="shared" ca="1" si="113"/>
        <v>0</v>
      </c>
      <c r="BV125" s="216">
        <f t="shared" ca="1" si="113"/>
        <v>0</v>
      </c>
      <c r="BW125" s="216">
        <f t="shared" ca="1" si="113"/>
        <v>0</v>
      </c>
      <c r="BX125" s="216">
        <f t="shared" ca="1" si="113"/>
        <v>0</v>
      </c>
      <c r="BY125" s="216">
        <f t="shared" ref="BY125:EJ125" ca="1" si="114">-(BY100-BY104)</f>
        <v>0</v>
      </c>
      <c r="BZ125" s="216">
        <f t="shared" ca="1" si="114"/>
        <v>1838082.375135636</v>
      </c>
      <c r="CA125" s="216">
        <f t="shared" ca="1" si="114"/>
        <v>0</v>
      </c>
      <c r="CB125" s="216">
        <f t="shared" ca="1" si="114"/>
        <v>0</v>
      </c>
      <c r="CC125" s="216">
        <f t="shared" ca="1" si="114"/>
        <v>0</v>
      </c>
      <c r="CD125" s="216">
        <f t="shared" ca="1" si="114"/>
        <v>0</v>
      </c>
      <c r="CE125" s="216">
        <f t="shared" ca="1" si="114"/>
        <v>0</v>
      </c>
      <c r="CF125" s="216">
        <f t="shared" ca="1" si="114"/>
        <v>2044132.0271836026</v>
      </c>
      <c r="CG125" s="216">
        <f t="shared" ca="1" si="114"/>
        <v>0</v>
      </c>
      <c r="CH125" s="216">
        <f t="shared" ca="1" si="114"/>
        <v>0</v>
      </c>
      <c r="CI125" s="216">
        <f t="shared" ca="1" si="114"/>
        <v>0</v>
      </c>
      <c r="CJ125" s="216">
        <f t="shared" ca="1" si="114"/>
        <v>0</v>
      </c>
      <c r="CK125" s="216">
        <f t="shared" ca="1" si="114"/>
        <v>0</v>
      </c>
      <c r="CL125" s="216">
        <f t="shared" ca="1" si="114"/>
        <v>1875000</v>
      </c>
      <c r="CM125" s="216">
        <f t="shared" ca="1" si="114"/>
        <v>0</v>
      </c>
      <c r="CN125" s="216">
        <f t="shared" ca="1" si="114"/>
        <v>0</v>
      </c>
      <c r="CO125" s="216">
        <f t="shared" ca="1" si="114"/>
        <v>0</v>
      </c>
      <c r="CP125" s="216">
        <f t="shared" ca="1" si="114"/>
        <v>0</v>
      </c>
      <c r="CQ125" s="216">
        <f t="shared" ca="1" si="114"/>
        <v>0</v>
      </c>
      <c r="CR125" s="216">
        <f t="shared" ca="1" si="114"/>
        <v>1875000</v>
      </c>
      <c r="CS125" s="216">
        <f t="shared" ca="1" si="114"/>
        <v>0</v>
      </c>
      <c r="CT125" s="216">
        <f t="shared" ca="1" si="114"/>
        <v>0</v>
      </c>
      <c r="CU125" s="216">
        <f t="shared" ca="1" si="114"/>
        <v>0</v>
      </c>
      <c r="CV125" s="216">
        <f t="shared" ca="1" si="114"/>
        <v>0</v>
      </c>
      <c r="CW125" s="216">
        <f t="shared" ca="1" si="114"/>
        <v>0</v>
      </c>
      <c r="CX125" s="216">
        <f t="shared" ca="1" si="114"/>
        <v>1875000</v>
      </c>
      <c r="CY125" s="216">
        <f t="shared" ca="1" si="114"/>
        <v>0</v>
      </c>
      <c r="CZ125" s="216">
        <f t="shared" ca="1" si="114"/>
        <v>0</v>
      </c>
      <c r="DA125" s="216">
        <f t="shared" ca="1" si="114"/>
        <v>0</v>
      </c>
      <c r="DB125" s="216">
        <f t="shared" ca="1" si="114"/>
        <v>0</v>
      </c>
      <c r="DC125" s="216">
        <f t="shared" ca="1" si="114"/>
        <v>0</v>
      </c>
      <c r="DD125" s="216">
        <f t="shared" ca="1" si="114"/>
        <v>1875000</v>
      </c>
      <c r="DE125" s="216">
        <f t="shared" ca="1" si="114"/>
        <v>0</v>
      </c>
      <c r="DF125" s="216">
        <f t="shared" ca="1" si="114"/>
        <v>0</v>
      </c>
      <c r="DG125" s="216">
        <f t="shared" ca="1" si="114"/>
        <v>0</v>
      </c>
      <c r="DH125" s="216">
        <f t="shared" ca="1" si="114"/>
        <v>0</v>
      </c>
      <c r="DI125" s="216">
        <f t="shared" ca="1" si="114"/>
        <v>0</v>
      </c>
      <c r="DJ125" s="216">
        <f t="shared" ca="1" si="114"/>
        <v>1875000</v>
      </c>
      <c r="DK125" s="216">
        <f t="shared" ca="1" si="114"/>
        <v>0</v>
      </c>
      <c r="DL125" s="216">
        <f t="shared" ca="1" si="114"/>
        <v>0</v>
      </c>
      <c r="DM125" s="216">
        <f t="shared" ca="1" si="114"/>
        <v>0</v>
      </c>
      <c r="DN125" s="216">
        <f t="shared" ca="1" si="114"/>
        <v>0</v>
      </c>
      <c r="DO125" s="216">
        <f t="shared" ca="1" si="114"/>
        <v>0</v>
      </c>
      <c r="DP125" s="216">
        <f t="shared" ca="1" si="114"/>
        <v>1875000</v>
      </c>
      <c r="DQ125" s="216">
        <f t="shared" ca="1" si="114"/>
        <v>0</v>
      </c>
      <c r="DR125" s="216">
        <f t="shared" ca="1" si="114"/>
        <v>0</v>
      </c>
      <c r="DS125" s="216">
        <f t="shared" ca="1" si="114"/>
        <v>0</v>
      </c>
      <c r="DT125" s="216">
        <f t="shared" ca="1" si="114"/>
        <v>0</v>
      </c>
      <c r="DU125" s="216">
        <f t="shared" ca="1" si="114"/>
        <v>0</v>
      </c>
      <c r="DV125" s="216">
        <f t="shared" ca="1" si="114"/>
        <v>1875000</v>
      </c>
      <c r="DW125" s="216">
        <f t="shared" ca="1" si="114"/>
        <v>0</v>
      </c>
      <c r="DX125" s="216">
        <f t="shared" ca="1" si="114"/>
        <v>0</v>
      </c>
      <c r="DY125" s="216">
        <f t="shared" ca="1" si="114"/>
        <v>0</v>
      </c>
      <c r="DZ125" s="216">
        <f t="shared" ca="1" si="114"/>
        <v>0</v>
      </c>
      <c r="EA125" s="216">
        <f t="shared" ca="1" si="114"/>
        <v>0</v>
      </c>
      <c r="EB125" s="216">
        <f t="shared" ca="1" si="114"/>
        <v>51875000</v>
      </c>
      <c r="EC125" s="216">
        <f t="shared" ca="1" si="114"/>
        <v>0</v>
      </c>
      <c r="ED125" s="216">
        <f t="shared" ca="1" si="114"/>
        <v>0</v>
      </c>
      <c r="EE125" s="216">
        <f t="shared" ca="1" si="114"/>
        <v>0</v>
      </c>
      <c r="EF125" s="216">
        <f t="shared" ca="1" si="114"/>
        <v>0</v>
      </c>
      <c r="EG125" s="216">
        <f t="shared" ca="1" si="114"/>
        <v>0</v>
      </c>
      <c r="EH125" s="216">
        <f t="shared" ca="1" si="114"/>
        <v>0</v>
      </c>
      <c r="EI125" s="216">
        <f t="shared" ca="1" si="114"/>
        <v>0</v>
      </c>
      <c r="EJ125" s="216">
        <f t="shared" ca="1" si="114"/>
        <v>0</v>
      </c>
      <c r="EK125" s="216">
        <f t="shared" ref="EK125:EQ125" ca="1" si="115">-(EK100-EK104)</f>
        <v>0</v>
      </c>
      <c r="EL125" s="216">
        <f t="shared" ca="1" si="115"/>
        <v>0</v>
      </c>
      <c r="EM125" s="216">
        <f t="shared" ca="1" si="115"/>
        <v>0</v>
      </c>
      <c r="EN125" s="216">
        <f t="shared" ca="1" si="115"/>
        <v>0</v>
      </c>
      <c r="EO125" s="216">
        <f t="shared" ca="1" si="115"/>
        <v>0</v>
      </c>
      <c r="EP125" s="216">
        <f t="shared" ca="1" si="115"/>
        <v>0</v>
      </c>
      <c r="EQ125" s="216">
        <f t="shared" ca="1" si="115"/>
        <v>0</v>
      </c>
    </row>
    <row r="126" spans="2:147" ht="11.25" customHeight="1">
      <c r="B126" s="237" t="s">
        <v>1100</v>
      </c>
      <c r="C126" s="238"/>
      <c r="D126" s="238"/>
      <c r="E126" s="238"/>
      <c r="F126" s="238"/>
      <c r="G126" s="238"/>
      <c r="H126" s="239"/>
      <c r="I126" s="243">
        <f t="shared" ca="1" si="105"/>
        <v>9.2431551034658277E-2</v>
      </c>
      <c r="J126" s="241">
        <f t="shared" ca="1" si="106"/>
        <v>49615106.954888195</v>
      </c>
      <c r="L126" s="235">
        <f ca="1">-L100</f>
        <v>-50000000</v>
      </c>
      <c r="M126" s="235">
        <f t="shared" ref="M126:BX126" ca="1" si="116">-M100</f>
        <v>0</v>
      </c>
      <c r="N126" s="235">
        <f t="shared" ca="1" si="116"/>
        <v>0</v>
      </c>
      <c r="O126" s="235">
        <f t="shared" ca="1" si="116"/>
        <v>0</v>
      </c>
      <c r="P126" s="235">
        <f t="shared" ca="1" si="116"/>
        <v>0</v>
      </c>
      <c r="Q126" s="235">
        <f t="shared" ca="1" si="116"/>
        <v>0</v>
      </c>
      <c r="R126" s="235">
        <f t="shared" ca="1" si="116"/>
        <v>1875000</v>
      </c>
      <c r="S126" s="235">
        <f t="shared" ca="1" si="116"/>
        <v>0</v>
      </c>
      <c r="T126" s="235">
        <f t="shared" ca="1" si="116"/>
        <v>0</v>
      </c>
      <c r="U126" s="235">
        <f t="shared" ca="1" si="116"/>
        <v>0</v>
      </c>
      <c r="V126" s="235">
        <f t="shared" ca="1" si="116"/>
        <v>0</v>
      </c>
      <c r="W126" s="235">
        <f t="shared" ca="1" si="116"/>
        <v>0</v>
      </c>
      <c r="X126" s="235">
        <f t="shared" ca="1" si="116"/>
        <v>1875000</v>
      </c>
      <c r="Y126" s="235">
        <f t="shared" ca="1" si="116"/>
        <v>0</v>
      </c>
      <c r="Z126" s="235">
        <f t="shared" ca="1" si="116"/>
        <v>0</v>
      </c>
      <c r="AA126" s="235">
        <f t="shared" ca="1" si="116"/>
        <v>0</v>
      </c>
      <c r="AB126" s="235">
        <f t="shared" ca="1" si="116"/>
        <v>0</v>
      </c>
      <c r="AC126" s="235">
        <f t="shared" ca="1" si="116"/>
        <v>0</v>
      </c>
      <c r="AD126" s="235">
        <f t="shared" ca="1" si="116"/>
        <v>1875000</v>
      </c>
      <c r="AE126" s="235">
        <f t="shared" ca="1" si="116"/>
        <v>0</v>
      </c>
      <c r="AF126" s="235">
        <f t="shared" ca="1" si="116"/>
        <v>0</v>
      </c>
      <c r="AG126" s="235">
        <f t="shared" ca="1" si="116"/>
        <v>0</v>
      </c>
      <c r="AH126" s="235">
        <f t="shared" ca="1" si="116"/>
        <v>0</v>
      </c>
      <c r="AI126" s="235">
        <f t="shared" ca="1" si="116"/>
        <v>0</v>
      </c>
      <c r="AJ126" s="235">
        <f t="shared" ca="1" si="116"/>
        <v>1875000</v>
      </c>
      <c r="AK126" s="235">
        <f t="shared" ca="1" si="116"/>
        <v>0</v>
      </c>
      <c r="AL126" s="235">
        <f t="shared" ca="1" si="116"/>
        <v>0</v>
      </c>
      <c r="AM126" s="235">
        <f t="shared" ca="1" si="116"/>
        <v>0</v>
      </c>
      <c r="AN126" s="235">
        <f t="shared" ca="1" si="116"/>
        <v>0</v>
      </c>
      <c r="AO126" s="235">
        <f t="shared" ca="1" si="116"/>
        <v>0</v>
      </c>
      <c r="AP126" s="235">
        <f t="shared" ca="1" si="116"/>
        <v>1875000</v>
      </c>
      <c r="AQ126" s="235">
        <f t="shared" ca="1" si="116"/>
        <v>0</v>
      </c>
      <c r="AR126" s="235">
        <f t="shared" ca="1" si="116"/>
        <v>0</v>
      </c>
      <c r="AS126" s="235">
        <f t="shared" ca="1" si="116"/>
        <v>0</v>
      </c>
      <c r="AT126" s="235">
        <f t="shared" ca="1" si="116"/>
        <v>0</v>
      </c>
      <c r="AU126" s="235">
        <f t="shared" ca="1" si="116"/>
        <v>0</v>
      </c>
      <c r="AV126" s="235">
        <f t="shared" ca="1" si="116"/>
        <v>1875000</v>
      </c>
      <c r="AW126" s="235">
        <f t="shared" ca="1" si="116"/>
        <v>0</v>
      </c>
      <c r="AX126" s="235">
        <f t="shared" ca="1" si="116"/>
        <v>0</v>
      </c>
      <c r="AY126" s="235">
        <f t="shared" ca="1" si="116"/>
        <v>0</v>
      </c>
      <c r="AZ126" s="235">
        <f t="shared" ca="1" si="116"/>
        <v>0</v>
      </c>
      <c r="BA126" s="235">
        <f t="shared" ca="1" si="116"/>
        <v>0</v>
      </c>
      <c r="BB126" s="235">
        <f t="shared" ca="1" si="116"/>
        <v>1875000</v>
      </c>
      <c r="BC126" s="235">
        <f t="shared" ca="1" si="116"/>
        <v>0</v>
      </c>
      <c r="BD126" s="235">
        <f t="shared" ca="1" si="116"/>
        <v>0</v>
      </c>
      <c r="BE126" s="235">
        <f t="shared" ca="1" si="116"/>
        <v>0</v>
      </c>
      <c r="BF126" s="235">
        <f t="shared" ca="1" si="116"/>
        <v>0</v>
      </c>
      <c r="BG126" s="235">
        <f t="shared" ca="1" si="116"/>
        <v>0</v>
      </c>
      <c r="BH126" s="235">
        <f t="shared" ca="1" si="116"/>
        <v>1875000</v>
      </c>
      <c r="BI126" s="235">
        <f t="shared" ca="1" si="116"/>
        <v>0</v>
      </c>
      <c r="BJ126" s="235">
        <f t="shared" ca="1" si="116"/>
        <v>0</v>
      </c>
      <c r="BK126" s="235">
        <f t="shared" ca="1" si="116"/>
        <v>0</v>
      </c>
      <c r="BL126" s="235">
        <f t="shared" ca="1" si="116"/>
        <v>0</v>
      </c>
      <c r="BM126" s="235">
        <f t="shared" ca="1" si="116"/>
        <v>0</v>
      </c>
      <c r="BN126" s="235">
        <f t="shared" ca="1" si="116"/>
        <v>1856056.3038810929</v>
      </c>
      <c r="BO126" s="235">
        <f t="shared" ca="1" si="116"/>
        <v>0</v>
      </c>
      <c r="BP126" s="235">
        <f t="shared" ca="1" si="116"/>
        <v>0</v>
      </c>
      <c r="BQ126" s="235">
        <f t="shared" ca="1" si="116"/>
        <v>0</v>
      </c>
      <c r="BR126" s="235">
        <f t="shared" ca="1" si="116"/>
        <v>0</v>
      </c>
      <c r="BS126" s="235">
        <f t="shared" ca="1" si="116"/>
        <v>0</v>
      </c>
      <c r="BT126" s="235">
        <f t="shared" ca="1" si="116"/>
        <v>1761729.2937996686</v>
      </c>
      <c r="BU126" s="235">
        <f t="shared" ca="1" si="116"/>
        <v>0</v>
      </c>
      <c r="BV126" s="235">
        <f t="shared" ca="1" si="116"/>
        <v>0</v>
      </c>
      <c r="BW126" s="235">
        <f t="shared" ca="1" si="116"/>
        <v>0</v>
      </c>
      <c r="BX126" s="235">
        <f t="shared" ca="1" si="116"/>
        <v>0</v>
      </c>
      <c r="BY126" s="235">
        <f t="shared" ref="BY126:EJ126" ca="1" si="117">-BY100</f>
        <v>0</v>
      </c>
      <c r="BZ126" s="235">
        <f t="shared" ca="1" si="117"/>
        <v>1838082.375135636</v>
      </c>
      <c r="CA126" s="235">
        <f t="shared" ca="1" si="117"/>
        <v>0</v>
      </c>
      <c r="CB126" s="235">
        <f t="shared" ca="1" si="117"/>
        <v>0</v>
      </c>
      <c r="CC126" s="235">
        <f t="shared" ca="1" si="117"/>
        <v>0</v>
      </c>
      <c r="CD126" s="235">
        <f t="shared" ca="1" si="117"/>
        <v>0</v>
      </c>
      <c r="CE126" s="235">
        <f t="shared" ca="1" si="117"/>
        <v>0</v>
      </c>
      <c r="CF126" s="235">
        <f t="shared" ca="1" si="117"/>
        <v>2044132.0271836026</v>
      </c>
      <c r="CG126" s="235">
        <f t="shared" ca="1" si="117"/>
        <v>0</v>
      </c>
      <c r="CH126" s="235">
        <f t="shared" ca="1" si="117"/>
        <v>0</v>
      </c>
      <c r="CI126" s="235">
        <f t="shared" ca="1" si="117"/>
        <v>0</v>
      </c>
      <c r="CJ126" s="235">
        <f t="shared" ca="1" si="117"/>
        <v>0</v>
      </c>
      <c r="CK126" s="235">
        <f t="shared" ca="1" si="117"/>
        <v>0</v>
      </c>
      <c r="CL126" s="235">
        <f t="shared" ca="1" si="117"/>
        <v>1875000</v>
      </c>
      <c r="CM126" s="235">
        <f t="shared" ca="1" si="117"/>
        <v>0</v>
      </c>
      <c r="CN126" s="235">
        <f t="shared" ca="1" si="117"/>
        <v>0</v>
      </c>
      <c r="CO126" s="235">
        <f t="shared" ca="1" si="117"/>
        <v>0</v>
      </c>
      <c r="CP126" s="235">
        <f t="shared" ca="1" si="117"/>
        <v>0</v>
      </c>
      <c r="CQ126" s="235">
        <f t="shared" ca="1" si="117"/>
        <v>0</v>
      </c>
      <c r="CR126" s="235">
        <f t="shared" ca="1" si="117"/>
        <v>1875000</v>
      </c>
      <c r="CS126" s="235">
        <f t="shared" ca="1" si="117"/>
        <v>0</v>
      </c>
      <c r="CT126" s="235">
        <f t="shared" ca="1" si="117"/>
        <v>0</v>
      </c>
      <c r="CU126" s="235">
        <f t="shared" ca="1" si="117"/>
        <v>0</v>
      </c>
      <c r="CV126" s="235">
        <f t="shared" ca="1" si="117"/>
        <v>0</v>
      </c>
      <c r="CW126" s="235">
        <f t="shared" ca="1" si="117"/>
        <v>0</v>
      </c>
      <c r="CX126" s="235">
        <f t="shared" ca="1" si="117"/>
        <v>1875000</v>
      </c>
      <c r="CY126" s="235">
        <f t="shared" ca="1" si="117"/>
        <v>0</v>
      </c>
      <c r="CZ126" s="235">
        <f t="shared" ca="1" si="117"/>
        <v>0</v>
      </c>
      <c r="DA126" s="235">
        <f t="shared" ca="1" si="117"/>
        <v>0</v>
      </c>
      <c r="DB126" s="235">
        <f t="shared" ca="1" si="117"/>
        <v>0</v>
      </c>
      <c r="DC126" s="235">
        <f t="shared" ca="1" si="117"/>
        <v>0</v>
      </c>
      <c r="DD126" s="235">
        <f t="shared" ca="1" si="117"/>
        <v>1875000</v>
      </c>
      <c r="DE126" s="235">
        <f t="shared" ca="1" si="117"/>
        <v>0</v>
      </c>
      <c r="DF126" s="235">
        <f t="shared" ca="1" si="117"/>
        <v>0</v>
      </c>
      <c r="DG126" s="235">
        <f t="shared" ca="1" si="117"/>
        <v>0</v>
      </c>
      <c r="DH126" s="235">
        <f t="shared" ca="1" si="117"/>
        <v>0</v>
      </c>
      <c r="DI126" s="235">
        <f t="shared" ca="1" si="117"/>
        <v>0</v>
      </c>
      <c r="DJ126" s="235">
        <f t="shared" ca="1" si="117"/>
        <v>1875000</v>
      </c>
      <c r="DK126" s="235">
        <f t="shared" ca="1" si="117"/>
        <v>0</v>
      </c>
      <c r="DL126" s="235">
        <f t="shared" ca="1" si="117"/>
        <v>0</v>
      </c>
      <c r="DM126" s="235">
        <f t="shared" ca="1" si="117"/>
        <v>0</v>
      </c>
      <c r="DN126" s="235">
        <f t="shared" ca="1" si="117"/>
        <v>0</v>
      </c>
      <c r="DO126" s="235">
        <f t="shared" ca="1" si="117"/>
        <v>0</v>
      </c>
      <c r="DP126" s="235">
        <f t="shared" ca="1" si="117"/>
        <v>1875000</v>
      </c>
      <c r="DQ126" s="235">
        <f t="shared" ca="1" si="117"/>
        <v>0</v>
      </c>
      <c r="DR126" s="235">
        <f t="shared" ca="1" si="117"/>
        <v>0</v>
      </c>
      <c r="DS126" s="235">
        <f t="shared" ca="1" si="117"/>
        <v>0</v>
      </c>
      <c r="DT126" s="235">
        <f t="shared" ca="1" si="117"/>
        <v>0</v>
      </c>
      <c r="DU126" s="235">
        <f t="shared" ca="1" si="117"/>
        <v>0</v>
      </c>
      <c r="DV126" s="235">
        <f t="shared" ca="1" si="117"/>
        <v>1875000</v>
      </c>
      <c r="DW126" s="235">
        <f t="shared" ca="1" si="117"/>
        <v>0</v>
      </c>
      <c r="DX126" s="235">
        <f t="shared" ca="1" si="117"/>
        <v>0</v>
      </c>
      <c r="DY126" s="235">
        <f t="shared" ca="1" si="117"/>
        <v>0</v>
      </c>
      <c r="DZ126" s="235">
        <f t="shared" ca="1" si="117"/>
        <v>0</v>
      </c>
      <c r="EA126" s="235">
        <f t="shared" ca="1" si="117"/>
        <v>0</v>
      </c>
      <c r="EB126" s="235">
        <f t="shared" ca="1" si="117"/>
        <v>63990106.954888195</v>
      </c>
      <c r="EC126" s="235">
        <f t="shared" ca="1" si="117"/>
        <v>0</v>
      </c>
      <c r="ED126" s="235">
        <f t="shared" ca="1" si="117"/>
        <v>0</v>
      </c>
      <c r="EE126" s="235">
        <f t="shared" ca="1" si="117"/>
        <v>0</v>
      </c>
      <c r="EF126" s="235">
        <f t="shared" ca="1" si="117"/>
        <v>0</v>
      </c>
      <c r="EG126" s="235">
        <f t="shared" ca="1" si="117"/>
        <v>0</v>
      </c>
      <c r="EH126" s="235">
        <f t="shared" ca="1" si="117"/>
        <v>0</v>
      </c>
      <c r="EI126" s="235">
        <f t="shared" ca="1" si="117"/>
        <v>0</v>
      </c>
      <c r="EJ126" s="235">
        <f t="shared" ca="1" si="117"/>
        <v>0</v>
      </c>
      <c r="EK126" s="235">
        <f t="shared" ref="EK126:EQ126" ca="1" si="118">-EK100</f>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1101</v>
      </c>
      <c r="C127" s="212"/>
      <c r="D127" s="212"/>
      <c r="E127" s="212"/>
      <c r="F127" s="212"/>
      <c r="G127" s="212"/>
      <c r="H127" s="213"/>
      <c r="I127" s="242">
        <f t="shared" si="105"/>
        <v>0</v>
      </c>
      <c r="J127" s="216">
        <f t="shared" si="106"/>
        <v>0</v>
      </c>
      <c r="L127" s="216">
        <f>-(L105-L109)</f>
        <v>-10000000</v>
      </c>
      <c r="M127" s="216">
        <f t="shared" ref="M127:BX127" si="119">-(M105-M109)</f>
        <v>0</v>
      </c>
      <c r="N127" s="216">
        <f t="shared" si="119"/>
        <v>0</v>
      </c>
      <c r="O127" s="216">
        <f t="shared" si="119"/>
        <v>0</v>
      </c>
      <c r="P127" s="216">
        <f t="shared" si="119"/>
        <v>0</v>
      </c>
      <c r="Q127" s="216">
        <f t="shared" si="119"/>
        <v>0</v>
      </c>
      <c r="R127" s="216">
        <f t="shared" si="119"/>
        <v>0</v>
      </c>
      <c r="S127" s="216">
        <f t="shared" si="119"/>
        <v>0</v>
      </c>
      <c r="T127" s="216">
        <f t="shared" si="119"/>
        <v>0</v>
      </c>
      <c r="U127" s="216">
        <f t="shared" si="119"/>
        <v>0</v>
      </c>
      <c r="V127" s="216">
        <f t="shared" si="119"/>
        <v>0</v>
      </c>
      <c r="W127" s="216">
        <f t="shared" si="119"/>
        <v>0</v>
      </c>
      <c r="X127" s="216">
        <f t="shared" si="119"/>
        <v>0</v>
      </c>
      <c r="Y127" s="216">
        <f t="shared" si="119"/>
        <v>0</v>
      </c>
      <c r="Z127" s="216">
        <f t="shared" si="119"/>
        <v>0</v>
      </c>
      <c r="AA127" s="216">
        <f t="shared" si="119"/>
        <v>0</v>
      </c>
      <c r="AB127" s="216">
        <f t="shared" si="119"/>
        <v>0</v>
      </c>
      <c r="AC127" s="216">
        <f t="shared" si="119"/>
        <v>0</v>
      </c>
      <c r="AD127" s="216">
        <f t="shared" si="119"/>
        <v>0</v>
      </c>
      <c r="AE127" s="216">
        <f t="shared" si="119"/>
        <v>0</v>
      </c>
      <c r="AF127" s="216">
        <f t="shared" si="119"/>
        <v>0</v>
      </c>
      <c r="AG127" s="216">
        <f t="shared" si="119"/>
        <v>0</v>
      </c>
      <c r="AH127" s="216">
        <f t="shared" si="119"/>
        <v>0</v>
      </c>
      <c r="AI127" s="216">
        <f t="shared" si="119"/>
        <v>0</v>
      </c>
      <c r="AJ127" s="216">
        <f t="shared" si="119"/>
        <v>10000000</v>
      </c>
      <c r="AK127" s="216">
        <f t="shared" si="119"/>
        <v>0</v>
      </c>
      <c r="AL127" s="216">
        <f t="shared" si="119"/>
        <v>0</v>
      </c>
      <c r="AM127" s="216">
        <f t="shared" si="119"/>
        <v>0</v>
      </c>
      <c r="AN127" s="216">
        <f t="shared" si="119"/>
        <v>0</v>
      </c>
      <c r="AO127" s="216">
        <f t="shared" si="119"/>
        <v>0</v>
      </c>
      <c r="AP127" s="216">
        <f t="shared" si="119"/>
        <v>0</v>
      </c>
      <c r="AQ127" s="216">
        <f t="shared" si="119"/>
        <v>0</v>
      </c>
      <c r="AR127" s="216">
        <f t="shared" si="119"/>
        <v>0</v>
      </c>
      <c r="AS127" s="216">
        <f t="shared" si="119"/>
        <v>0</v>
      </c>
      <c r="AT127" s="216">
        <f t="shared" si="119"/>
        <v>0</v>
      </c>
      <c r="AU127" s="216">
        <f t="shared" si="119"/>
        <v>0</v>
      </c>
      <c r="AV127" s="216">
        <f t="shared" si="119"/>
        <v>0</v>
      </c>
      <c r="AW127" s="216">
        <f t="shared" si="119"/>
        <v>0</v>
      </c>
      <c r="AX127" s="216">
        <f t="shared" si="119"/>
        <v>0</v>
      </c>
      <c r="AY127" s="216">
        <f t="shared" si="119"/>
        <v>0</v>
      </c>
      <c r="AZ127" s="216">
        <f t="shared" si="119"/>
        <v>0</v>
      </c>
      <c r="BA127" s="216">
        <f t="shared" si="119"/>
        <v>0</v>
      </c>
      <c r="BB127" s="216">
        <f t="shared" si="119"/>
        <v>0</v>
      </c>
      <c r="BC127" s="216">
        <f t="shared" si="119"/>
        <v>0</v>
      </c>
      <c r="BD127" s="216">
        <f t="shared" si="119"/>
        <v>0</v>
      </c>
      <c r="BE127" s="216">
        <f t="shared" si="119"/>
        <v>0</v>
      </c>
      <c r="BF127" s="216">
        <f t="shared" si="119"/>
        <v>0</v>
      </c>
      <c r="BG127" s="216">
        <f t="shared" si="119"/>
        <v>0</v>
      </c>
      <c r="BH127" s="216">
        <f t="shared" si="119"/>
        <v>0</v>
      </c>
      <c r="BI127" s="216">
        <f t="shared" si="119"/>
        <v>0</v>
      </c>
      <c r="BJ127" s="216">
        <f t="shared" si="119"/>
        <v>0</v>
      </c>
      <c r="BK127" s="216">
        <f t="shared" si="119"/>
        <v>0</v>
      </c>
      <c r="BL127" s="216">
        <f t="shared" si="119"/>
        <v>0</v>
      </c>
      <c r="BM127" s="216">
        <f t="shared" si="119"/>
        <v>0</v>
      </c>
      <c r="BN127" s="216">
        <f t="shared" si="119"/>
        <v>0</v>
      </c>
      <c r="BO127" s="216">
        <f t="shared" si="119"/>
        <v>0</v>
      </c>
      <c r="BP127" s="216">
        <f t="shared" si="119"/>
        <v>0</v>
      </c>
      <c r="BQ127" s="216">
        <f t="shared" si="119"/>
        <v>0</v>
      </c>
      <c r="BR127" s="216">
        <f t="shared" si="119"/>
        <v>0</v>
      </c>
      <c r="BS127" s="216">
        <f t="shared" si="119"/>
        <v>0</v>
      </c>
      <c r="BT127" s="216">
        <f t="shared" si="119"/>
        <v>0</v>
      </c>
      <c r="BU127" s="216">
        <f t="shared" si="119"/>
        <v>0</v>
      </c>
      <c r="BV127" s="216">
        <f t="shared" si="119"/>
        <v>0</v>
      </c>
      <c r="BW127" s="216">
        <f t="shared" si="119"/>
        <v>0</v>
      </c>
      <c r="BX127" s="216">
        <f t="shared" si="119"/>
        <v>0</v>
      </c>
      <c r="BY127" s="216">
        <f t="shared" ref="BY127:EJ127" si="120">-(BY105-BY109)</f>
        <v>0</v>
      </c>
      <c r="BZ127" s="216">
        <f t="shared" si="120"/>
        <v>0</v>
      </c>
      <c r="CA127" s="216">
        <f t="shared" si="120"/>
        <v>0</v>
      </c>
      <c r="CB127" s="216">
        <f t="shared" si="120"/>
        <v>0</v>
      </c>
      <c r="CC127" s="216">
        <f t="shared" si="120"/>
        <v>0</v>
      </c>
      <c r="CD127" s="216">
        <f t="shared" si="120"/>
        <v>0</v>
      </c>
      <c r="CE127" s="216">
        <f t="shared" si="120"/>
        <v>0</v>
      </c>
      <c r="CF127" s="216">
        <f t="shared" si="120"/>
        <v>0</v>
      </c>
      <c r="CG127" s="216">
        <f t="shared" si="120"/>
        <v>0</v>
      </c>
      <c r="CH127" s="216">
        <f t="shared" si="120"/>
        <v>0</v>
      </c>
      <c r="CI127" s="216">
        <f t="shared" si="120"/>
        <v>0</v>
      </c>
      <c r="CJ127" s="216">
        <f t="shared" si="120"/>
        <v>0</v>
      </c>
      <c r="CK127" s="216">
        <f t="shared" si="120"/>
        <v>0</v>
      </c>
      <c r="CL127" s="216">
        <f t="shared" si="120"/>
        <v>0</v>
      </c>
      <c r="CM127" s="216">
        <f t="shared" si="120"/>
        <v>0</v>
      </c>
      <c r="CN127" s="216">
        <f t="shared" si="120"/>
        <v>0</v>
      </c>
      <c r="CO127" s="216">
        <f t="shared" si="120"/>
        <v>0</v>
      </c>
      <c r="CP127" s="216">
        <f t="shared" si="120"/>
        <v>0</v>
      </c>
      <c r="CQ127" s="216">
        <f t="shared" si="120"/>
        <v>0</v>
      </c>
      <c r="CR127" s="216">
        <f t="shared" si="120"/>
        <v>0</v>
      </c>
      <c r="CS127" s="216">
        <f t="shared" si="120"/>
        <v>0</v>
      </c>
      <c r="CT127" s="216">
        <f t="shared" si="120"/>
        <v>0</v>
      </c>
      <c r="CU127" s="216">
        <f t="shared" si="120"/>
        <v>0</v>
      </c>
      <c r="CV127" s="216">
        <f t="shared" si="120"/>
        <v>0</v>
      </c>
      <c r="CW127" s="216">
        <f t="shared" si="120"/>
        <v>0</v>
      </c>
      <c r="CX127" s="216">
        <f t="shared" si="120"/>
        <v>0</v>
      </c>
      <c r="CY127" s="216">
        <f t="shared" si="120"/>
        <v>0</v>
      </c>
      <c r="CZ127" s="216">
        <f t="shared" si="120"/>
        <v>0</v>
      </c>
      <c r="DA127" s="216">
        <f t="shared" si="120"/>
        <v>0</v>
      </c>
      <c r="DB127" s="216">
        <f t="shared" si="120"/>
        <v>0</v>
      </c>
      <c r="DC127" s="216">
        <f t="shared" si="120"/>
        <v>0</v>
      </c>
      <c r="DD127" s="216">
        <f t="shared" si="120"/>
        <v>0</v>
      </c>
      <c r="DE127" s="216">
        <f t="shared" si="120"/>
        <v>0</v>
      </c>
      <c r="DF127" s="216">
        <f t="shared" si="120"/>
        <v>0</v>
      </c>
      <c r="DG127" s="216">
        <f t="shared" si="120"/>
        <v>0</v>
      </c>
      <c r="DH127" s="216">
        <f t="shared" si="120"/>
        <v>0</v>
      </c>
      <c r="DI127" s="216">
        <f t="shared" si="120"/>
        <v>0</v>
      </c>
      <c r="DJ127" s="216">
        <f t="shared" si="120"/>
        <v>0</v>
      </c>
      <c r="DK127" s="216">
        <f t="shared" si="120"/>
        <v>0</v>
      </c>
      <c r="DL127" s="216">
        <f t="shared" si="120"/>
        <v>0</v>
      </c>
      <c r="DM127" s="216">
        <f t="shared" si="120"/>
        <v>0</v>
      </c>
      <c r="DN127" s="216">
        <f t="shared" si="120"/>
        <v>0</v>
      </c>
      <c r="DO127" s="216">
        <f t="shared" si="120"/>
        <v>0</v>
      </c>
      <c r="DP127" s="216">
        <f t="shared" si="120"/>
        <v>0</v>
      </c>
      <c r="DQ127" s="216">
        <f t="shared" si="120"/>
        <v>0</v>
      </c>
      <c r="DR127" s="216">
        <f t="shared" si="120"/>
        <v>0</v>
      </c>
      <c r="DS127" s="216">
        <f t="shared" si="120"/>
        <v>0</v>
      </c>
      <c r="DT127" s="216">
        <f t="shared" si="120"/>
        <v>0</v>
      </c>
      <c r="DU127" s="216">
        <f t="shared" si="120"/>
        <v>0</v>
      </c>
      <c r="DV127" s="216">
        <f t="shared" si="120"/>
        <v>0</v>
      </c>
      <c r="DW127" s="216">
        <f t="shared" si="120"/>
        <v>0</v>
      </c>
      <c r="DX127" s="216">
        <f t="shared" si="120"/>
        <v>0</v>
      </c>
      <c r="DY127" s="216">
        <f t="shared" si="120"/>
        <v>0</v>
      </c>
      <c r="DZ127" s="216">
        <f t="shared" si="120"/>
        <v>0</v>
      </c>
      <c r="EA127" s="216">
        <f t="shared" si="120"/>
        <v>0</v>
      </c>
      <c r="EB127" s="216">
        <f t="shared" si="120"/>
        <v>0</v>
      </c>
      <c r="EC127" s="216">
        <f t="shared" si="120"/>
        <v>0</v>
      </c>
      <c r="ED127" s="216">
        <f t="shared" si="120"/>
        <v>0</v>
      </c>
      <c r="EE127" s="216">
        <f t="shared" si="120"/>
        <v>0</v>
      </c>
      <c r="EF127" s="216">
        <f t="shared" si="120"/>
        <v>0</v>
      </c>
      <c r="EG127" s="216">
        <f t="shared" si="120"/>
        <v>0</v>
      </c>
      <c r="EH127" s="216">
        <f t="shared" si="120"/>
        <v>0</v>
      </c>
      <c r="EI127" s="216">
        <f t="shared" si="120"/>
        <v>0</v>
      </c>
      <c r="EJ127" s="216">
        <f t="shared" si="120"/>
        <v>0</v>
      </c>
      <c r="EK127" s="216">
        <f t="shared" ref="EK127:EQ127" si="121">-(EK105-EK109)</f>
        <v>0</v>
      </c>
      <c r="EL127" s="216">
        <f t="shared" si="121"/>
        <v>0</v>
      </c>
      <c r="EM127" s="216">
        <f t="shared" si="121"/>
        <v>0</v>
      </c>
      <c r="EN127" s="216">
        <f t="shared" si="121"/>
        <v>0</v>
      </c>
      <c r="EO127" s="216">
        <f t="shared" si="121"/>
        <v>0</v>
      </c>
      <c r="EP127" s="216">
        <f t="shared" si="121"/>
        <v>0</v>
      </c>
      <c r="EQ127" s="216">
        <f t="shared" si="121"/>
        <v>0</v>
      </c>
    </row>
    <row r="128" spans="2:147" ht="11.25" customHeight="1">
      <c r="B128" s="237" t="s">
        <v>1102</v>
      </c>
      <c r="C128" s="238"/>
      <c r="D128" s="238"/>
      <c r="E128" s="238"/>
      <c r="F128" s="238"/>
      <c r="G128" s="238"/>
      <c r="H128" s="239"/>
      <c r="I128" s="243">
        <f t="shared" si="105"/>
        <v>0</v>
      </c>
      <c r="J128" s="241">
        <f t="shared" si="106"/>
        <v>0</v>
      </c>
      <c r="L128" s="235">
        <f>-L105</f>
        <v>-10000000</v>
      </c>
      <c r="M128" s="235">
        <f t="shared" ref="M128:BX128" si="122">-M105</f>
        <v>0</v>
      </c>
      <c r="N128" s="235">
        <f t="shared" si="122"/>
        <v>0</v>
      </c>
      <c r="O128" s="235">
        <f t="shared" si="122"/>
        <v>0</v>
      </c>
      <c r="P128" s="235">
        <f t="shared" si="122"/>
        <v>0</v>
      </c>
      <c r="Q128" s="235">
        <f t="shared" si="122"/>
        <v>0</v>
      </c>
      <c r="R128" s="235">
        <f t="shared" si="122"/>
        <v>0</v>
      </c>
      <c r="S128" s="235">
        <f t="shared" si="122"/>
        <v>0</v>
      </c>
      <c r="T128" s="235">
        <f t="shared" si="122"/>
        <v>0</v>
      </c>
      <c r="U128" s="235">
        <f t="shared" si="122"/>
        <v>0</v>
      </c>
      <c r="V128" s="235">
        <f t="shared" si="122"/>
        <v>0</v>
      </c>
      <c r="W128" s="235">
        <f t="shared" si="122"/>
        <v>0</v>
      </c>
      <c r="X128" s="235">
        <f t="shared" si="122"/>
        <v>0</v>
      </c>
      <c r="Y128" s="235">
        <f t="shared" si="122"/>
        <v>0</v>
      </c>
      <c r="Z128" s="235">
        <f t="shared" si="122"/>
        <v>0</v>
      </c>
      <c r="AA128" s="235">
        <f t="shared" si="122"/>
        <v>0</v>
      </c>
      <c r="AB128" s="235">
        <f t="shared" si="122"/>
        <v>0</v>
      </c>
      <c r="AC128" s="235">
        <f t="shared" si="122"/>
        <v>0</v>
      </c>
      <c r="AD128" s="235">
        <f t="shared" si="122"/>
        <v>0</v>
      </c>
      <c r="AE128" s="235">
        <f t="shared" si="122"/>
        <v>0</v>
      </c>
      <c r="AF128" s="235">
        <f t="shared" si="122"/>
        <v>0</v>
      </c>
      <c r="AG128" s="235">
        <f t="shared" si="122"/>
        <v>0</v>
      </c>
      <c r="AH128" s="235">
        <f t="shared" si="122"/>
        <v>0</v>
      </c>
      <c r="AI128" s="235">
        <f t="shared" si="122"/>
        <v>0</v>
      </c>
      <c r="AJ128" s="235">
        <f t="shared" si="122"/>
        <v>10000000</v>
      </c>
      <c r="AK128" s="235">
        <f t="shared" si="122"/>
        <v>0</v>
      </c>
      <c r="AL128" s="235">
        <f t="shared" si="122"/>
        <v>0</v>
      </c>
      <c r="AM128" s="235">
        <f t="shared" si="122"/>
        <v>0</v>
      </c>
      <c r="AN128" s="235">
        <f t="shared" si="122"/>
        <v>0</v>
      </c>
      <c r="AO128" s="235">
        <f t="shared" si="122"/>
        <v>0</v>
      </c>
      <c r="AP128" s="235">
        <f t="shared" si="122"/>
        <v>0</v>
      </c>
      <c r="AQ128" s="235">
        <f t="shared" si="122"/>
        <v>0</v>
      </c>
      <c r="AR128" s="235">
        <f t="shared" si="122"/>
        <v>0</v>
      </c>
      <c r="AS128" s="235">
        <f t="shared" si="122"/>
        <v>0</v>
      </c>
      <c r="AT128" s="235">
        <f t="shared" si="122"/>
        <v>0</v>
      </c>
      <c r="AU128" s="235">
        <f t="shared" si="122"/>
        <v>0</v>
      </c>
      <c r="AV128" s="235">
        <f t="shared" si="122"/>
        <v>0</v>
      </c>
      <c r="AW128" s="235">
        <f t="shared" si="122"/>
        <v>0</v>
      </c>
      <c r="AX128" s="235">
        <f t="shared" si="122"/>
        <v>0</v>
      </c>
      <c r="AY128" s="235">
        <f t="shared" si="122"/>
        <v>0</v>
      </c>
      <c r="AZ128" s="235">
        <f t="shared" si="122"/>
        <v>0</v>
      </c>
      <c r="BA128" s="235">
        <f t="shared" si="122"/>
        <v>0</v>
      </c>
      <c r="BB128" s="235">
        <f t="shared" si="122"/>
        <v>0</v>
      </c>
      <c r="BC128" s="235">
        <f t="shared" si="122"/>
        <v>0</v>
      </c>
      <c r="BD128" s="235">
        <f t="shared" si="122"/>
        <v>0</v>
      </c>
      <c r="BE128" s="235">
        <f t="shared" si="122"/>
        <v>0</v>
      </c>
      <c r="BF128" s="235">
        <f t="shared" si="122"/>
        <v>0</v>
      </c>
      <c r="BG128" s="235">
        <f t="shared" si="122"/>
        <v>0</v>
      </c>
      <c r="BH128" s="235">
        <f t="shared" si="122"/>
        <v>0</v>
      </c>
      <c r="BI128" s="235">
        <f t="shared" si="122"/>
        <v>0</v>
      </c>
      <c r="BJ128" s="235">
        <f t="shared" si="122"/>
        <v>0</v>
      </c>
      <c r="BK128" s="235">
        <f t="shared" si="122"/>
        <v>0</v>
      </c>
      <c r="BL128" s="235">
        <f t="shared" si="122"/>
        <v>0</v>
      </c>
      <c r="BM128" s="235">
        <f t="shared" si="122"/>
        <v>0</v>
      </c>
      <c r="BN128" s="235">
        <f t="shared" si="122"/>
        <v>0</v>
      </c>
      <c r="BO128" s="235">
        <f t="shared" si="122"/>
        <v>0</v>
      </c>
      <c r="BP128" s="235">
        <f t="shared" si="122"/>
        <v>0</v>
      </c>
      <c r="BQ128" s="235">
        <f t="shared" si="122"/>
        <v>0</v>
      </c>
      <c r="BR128" s="235">
        <f t="shared" si="122"/>
        <v>0</v>
      </c>
      <c r="BS128" s="235">
        <f t="shared" si="122"/>
        <v>0</v>
      </c>
      <c r="BT128" s="235">
        <f t="shared" si="122"/>
        <v>0</v>
      </c>
      <c r="BU128" s="235">
        <f t="shared" si="122"/>
        <v>0</v>
      </c>
      <c r="BV128" s="235">
        <f t="shared" si="122"/>
        <v>0</v>
      </c>
      <c r="BW128" s="235">
        <f t="shared" si="122"/>
        <v>0</v>
      </c>
      <c r="BX128" s="235">
        <f t="shared" si="122"/>
        <v>0</v>
      </c>
      <c r="BY128" s="235">
        <f t="shared" ref="BY128:EJ128" si="123">-BY105</f>
        <v>0</v>
      </c>
      <c r="BZ128" s="235">
        <f t="shared" si="123"/>
        <v>0</v>
      </c>
      <c r="CA128" s="235">
        <f t="shared" si="123"/>
        <v>0</v>
      </c>
      <c r="CB128" s="235">
        <f t="shared" si="123"/>
        <v>0</v>
      </c>
      <c r="CC128" s="235">
        <f t="shared" si="123"/>
        <v>0</v>
      </c>
      <c r="CD128" s="235">
        <f t="shared" si="123"/>
        <v>0</v>
      </c>
      <c r="CE128" s="235">
        <f t="shared" si="123"/>
        <v>0</v>
      </c>
      <c r="CF128" s="235">
        <f t="shared" si="123"/>
        <v>0</v>
      </c>
      <c r="CG128" s="235">
        <f t="shared" si="123"/>
        <v>0</v>
      </c>
      <c r="CH128" s="235">
        <f t="shared" si="123"/>
        <v>0</v>
      </c>
      <c r="CI128" s="235">
        <f t="shared" si="123"/>
        <v>0</v>
      </c>
      <c r="CJ128" s="235">
        <f t="shared" si="123"/>
        <v>0</v>
      </c>
      <c r="CK128" s="235">
        <f t="shared" si="123"/>
        <v>0</v>
      </c>
      <c r="CL128" s="235">
        <f t="shared" si="123"/>
        <v>0</v>
      </c>
      <c r="CM128" s="235">
        <f t="shared" si="123"/>
        <v>0</v>
      </c>
      <c r="CN128" s="235">
        <f t="shared" si="123"/>
        <v>0</v>
      </c>
      <c r="CO128" s="235">
        <f t="shared" si="123"/>
        <v>0</v>
      </c>
      <c r="CP128" s="235">
        <f t="shared" si="123"/>
        <v>0</v>
      </c>
      <c r="CQ128" s="235">
        <f t="shared" si="123"/>
        <v>0</v>
      </c>
      <c r="CR128" s="235">
        <f t="shared" si="123"/>
        <v>0</v>
      </c>
      <c r="CS128" s="235">
        <f t="shared" si="123"/>
        <v>0</v>
      </c>
      <c r="CT128" s="235">
        <f t="shared" si="123"/>
        <v>0</v>
      </c>
      <c r="CU128" s="235">
        <f t="shared" si="123"/>
        <v>0</v>
      </c>
      <c r="CV128" s="235">
        <f t="shared" si="123"/>
        <v>0</v>
      </c>
      <c r="CW128" s="235">
        <f t="shared" si="123"/>
        <v>0</v>
      </c>
      <c r="CX128" s="235">
        <f t="shared" si="123"/>
        <v>0</v>
      </c>
      <c r="CY128" s="235">
        <f t="shared" si="123"/>
        <v>0</v>
      </c>
      <c r="CZ128" s="235">
        <f t="shared" si="123"/>
        <v>0</v>
      </c>
      <c r="DA128" s="235">
        <f t="shared" si="123"/>
        <v>0</v>
      </c>
      <c r="DB128" s="235">
        <f t="shared" si="123"/>
        <v>0</v>
      </c>
      <c r="DC128" s="235">
        <f t="shared" si="123"/>
        <v>0</v>
      </c>
      <c r="DD128" s="235">
        <f t="shared" si="123"/>
        <v>0</v>
      </c>
      <c r="DE128" s="235">
        <f t="shared" si="123"/>
        <v>0</v>
      </c>
      <c r="DF128" s="235">
        <f t="shared" si="123"/>
        <v>0</v>
      </c>
      <c r="DG128" s="235">
        <f t="shared" si="123"/>
        <v>0</v>
      </c>
      <c r="DH128" s="235">
        <f t="shared" si="123"/>
        <v>0</v>
      </c>
      <c r="DI128" s="235">
        <f t="shared" si="123"/>
        <v>0</v>
      </c>
      <c r="DJ128" s="235">
        <f t="shared" si="123"/>
        <v>0</v>
      </c>
      <c r="DK128" s="235">
        <f t="shared" si="123"/>
        <v>0</v>
      </c>
      <c r="DL128" s="235">
        <f t="shared" si="123"/>
        <v>0</v>
      </c>
      <c r="DM128" s="235">
        <f t="shared" si="123"/>
        <v>0</v>
      </c>
      <c r="DN128" s="235">
        <f t="shared" si="123"/>
        <v>0</v>
      </c>
      <c r="DO128" s="235">
        <f t="shared" si="123"/>
        <v>0</v>
      </c>
      <c r="DP128" s="235">
        <f t="shared" si="123"/>
        <v>0</v>
      </c>
      <c r="DQ128" s="235">
        <f t="shared" si="123"/>
        <v>0</v>
      </c>
      <c r="DR128" s="235">
        <f t="shared" si="123"/>
        <v>0</v>
      </c>
      <c r="DS128" s="235">
        <f t="shared" si="123"/>
        <v>0</v>
      </c>
      <c r="DT128" s="235">
        <f t="shared" si="123"/>
        <v>0</v>
      </c>
      <c r="DU128" s="235">
        <f t="shared" si="123"/>
        <v>0</v>
      </c>
      <c r="DV128" s="235">
        <f t="shared" si="123"/>
        <v>0</v>
      </c>
      <c r="DW128" s="235">
        <f t="shared" si="123"/>
        <v>0</v>
      </c>
      <c r="DX128" s="235">
        <f t="shared" si="123"/>
        <v>0</v>
      </c>
      <c r="DY128" s="235">
        <f t="shared" si="123"/>
        <v>0</v>
      </c>
      <c r="DZ128" s="235">
        <f t="shared" si="123"/>
        <v>0</v>
      </c>
      <c r="EA128" s="235">
        <f t="shared" si="123"/>
        <v>0</v>
      </c>
      <c r="EB128" s="235">
        <f t="shared" si="123"/>
        <v>0</v>
      </c>
      <c r="EC128" s="235">
        <f t="shared" si="123"/>
        <v>0</v>
      </c>
      <c r="ED128" s="235">
        <f t="shared" si="123"/>
        <v>0</v>
      </c>
      <c r="EE128" s="235">
        <f t="shared" si="123"/>
        <v>0</v>
      </c>
      <c r="EF128" s="235">
        <f t="shared" si="123"/>
        <v>0</v>
      </c>
      <c r="EG128" s="235">
        <f t="shared" si="123"/>
        <v>0</v>
      </c>
      <c r="EH128" s="235">
        <f t="shared" si="123"/>
        <v>0</v>
      </c>
      <c r="EI128" s="235">
        <f t="shared" si="123"/>
        <v>0</v>
      </c>
      <c r="EJ128" s="235">
        <f t="shared" si="123"/>
        <v>0</v>
      </c>
      <c r="EK128" s="235">
        <f t="shared" ref="EK128:EQ128" si="124">-EK105</f>
        <v>0</v>
      </c>
      <c r="EL128" s="235">
        <f t="shared" si="124"/>
        <v>0</v>
      </c>
      <c r="EM128" s="235">
        <f t="shared" si="124"/>
        <v>0</v>
      </c>
      <c r="EN128" s="235">
        <f t="shared" si="124"/>
        <v>0</v>
      </c>
      <c r="EO128" s="235">
        <f t="shared" si="124"/>
        <v>0</v>
      </c>
      <c r="EP128" s="235">
        <f t="shared" si="124"/>
        <v>0</v>
      </c>
      <c r="EQ128" s="235">
        <f t="shared" si="124"/>
        <v>0</v>
      </c>
    </row>
    <row r="129" spans="2:147" ht="11.25" customHeight="1">
      <c r="B129" s="211" t="s">
        <v>215</v>
      </c>
      <c r="C129" s="212"/>
      <c r="D129" s="212"/>
      <c r="E129" s="212"/>
      <c r="F129" s="212"/>
      <c r="G129" s="212"/>
      <c r="H129" s="213"/>
      <c r="I129" s="242">
        <f t="shared" ca="1" si="105"/>
        <v>7.7792962088110151E-3</v>
      </c>
      <c r="J129" s="216">
        <f t="shared" ca="1" si="106"/>
        <v>1110000</v>
      </c>
      <c r="L129" s="216">
        <f ca="1">-(L110-L114)-'FS_Detail(M)'!L84</f>
        <v>-14800000</v>
      </c>
      <c r="M129" s="216">
        <f ca="1">-(M110-M114)-'FS_Detail(M)'!M84</f>
        <v>0</v>
      </c>
      <c r="N129" s="216">
        <f ca="1">-(N110-N114)-'FS_Detail(M)'!N84</f>
        <v>0</v>
      </c>
      <c r="O129" s="216">
        <f ca="1">-(O110-O114)-'FS_Detail(M)'!O84</f>
        <v>0</v>
      </c>
      <c r="P129" s="216">
        <f ca="1">-(P110-P114)-'FS_Detail(M)'!P84</f>
        <v>0</v>
      </c>
      <c r="Q129" s="216">
        <f ca="1">-(Q110-Q114)-'FS_Detail(M)'!Q84</f>
        <v>0</v>
      </c>
      <c r="R129" s="216">
        <f ca="1">-(R110-R114)-'FS_Detail(M)'!R84</f>
        <v>555000</v>
      </c>
      <c r="S129" s="216">
        <f ca="1">-(S110-S114)-'FS_Detail(M)'!S84</f>
        <v>0</v>
      </c>
      <c r="T129" s="216">
        <f ca="1">-(T110-T114)-'FS_Detail(M)'!T84</f>
        <v>0</v>
      </c>
      <c r="U129" s="216">
        <f ca="1">-(U110-U114)-'FS_Detail(M)'!U84</f>
        <v>0</v>
      </c>
      <c r="V129" s="216">
        <f ca="1">-(V110-V114)-'FS_Detail(M)'!V84</f>
        <v>0</v>
      </c>
      <c r="W129" s="216">
        <f ca="1">-(W110-W114)-'FS_Detail(M)'!W84</f>
        <v>0</v>
      </c>
      <c r="X129" s="216">
        <f ca="1">-(X110-X114)-'FS_Detail(M)'!X84</f>
        <v>555000</v>
      </c>
      <c r="Y129" s="216">
        <f ca="1">-(Y110-Y114)-'FS_Detail(M)'!Y84</f>
        <v>0</v>
      </c>
      <c r="Z129" s="216">
        <f ca="1">-(Z110-Z114)-'FS_Detail(M)'!Z84</f>
        <v>0</v>
      </c>
      <c r="AA129" s="216">
        <f ca="1">-(AA110-AA114)-'FS_Detail(M)'!AA84</f>
        <v>0</v>
      </c>
      <c r="AB129" s="216">
        <f ca="1">-(AB110-AB114)-'FS_Detail(M)'!AB84</f>
        <v>0</v>
      </c>
      <c r="AC129" s="216">
        <f ca="1">-(AC110-AC114)-'FS_Detail(M)'!AC84</f>
        <v>0</v>
      </c>
      <c r="AD129" s="216">
        <f ca="1">-(AD110-AD114)-'FS_Detail(M)'!AD84</f>
        <v>0</v>
      </c>
      <c r="AE129" s="216">
        <f ca="1">-(AE110-AE114)-'FS_Detail(M)'!AE84</f>
        <v>0</v>
      </c>
      <c r="AF129" s="216">
        <f ca="1">-(AF110-AF114)-'FS_Detail(M)'!AF84</f>
        <v>0</v>
      </c>
      <c r="AG129" s="216">
        <f ca="1">-(AG110-AG114)-'FS_Detail(M)'!AG84</f>
        <v>0</v>
      </c>
      <c r="AH129" s="216">
        <f ca="1">-(AH110-AH114)-'FS_Detail(M)'!AH84</f>
        <v>0</v>
      </c>
      <c r="AI129" s="216">
        <f ca="1">-(AI110-AI114)-'FS_Detail(M)'!AI84</f>
        <v>0</v>
      </c>
      <c r="AJ129" s="216">
        <f ca="1">-(AJ110-AJ114)-'FS_Detail(M)'!AJ84</f>
        <v>0</v>
      </c>
      <c r="AK129" s="216">
        <f ca="1">-(AK110-AK114)-'FS_Detail(M)'!AK84</f>
        <v>0</v>
      </c>
      <c r="AL129" s="216">
        <f ca="1">-(AL110-AL114)-'FS_Detail(M)'!AL84</f>
        <v>0</v>
      </c>
      <c r="AM129" s="216">
        <f ca="1">-(AM110-AM114)-'FS_Detail(M)'!AM84</f>
        <v>0</v>
      </c>
      <c r="AN129" s="216">
        <f ca="1">-(AN110-AN114)-'FS_Detail(M)'!AN84</f>
        <v>0</v>
      </c>
      <c r="AO129" s="216">
        <f ca="1">-(AO110-AO114)-'FS_Detail(M)'!AO84</f>
        <v>0</v>
      </c>
      <c r="AP129" s="216">
        <f ca="1">-(AP110-AP114)-'FS_Detail(M)'!AP84</f>
        <v>0</v>
      </c>
      <c r="AQ129" s="216">
        <f ca="1">-(AQ110-AQ114)-'FS_Detail(M)'!AQ84</f>
        <v>0</v>
      </c>
      <c r="AR129" s="216">
        <f ca="1">-(AR110-AR114)-'FS_Detail(M)'!AR84</f>
        <v>0</v>
      </c>
      <c r="AS129" s="216">
        <f ca="1">-(AS110-AS114)-'FS_Detail(M)'!AS84</f>
        <v>0</v>
      </c>
      <c r="AT129" s="216">
        <f ca="1">-(AT110-AT114)-'FS_Detail(M)'!AT84</f>
        <v>0</v>
      </c>
      <c r="AU129" s="216">
        <f ca="1">-(AU110-AU114)-'FS_Detail(M)'!AU84</f>
        <v>0</v>
      </c>
      <c r="AV129" s="216">
        <f ca="1">-(AV110-AV114)-'FS_Detail(M)'!AV84</f>
        <v>0</v>
      </c>
      <c r="AW129" s="216">
        <f ca="1">-(AW110-AW114)-'FS_Detail(M)'!AW84</f>
        <v>0</v>
      </c>
      <c r="AX129" s="216">
        <f ca="1">-(AX110-AX114)-'FS_Detail(M)'!AX84</f>
        <v>0</v>
      </c>
      <c r="AY129" s="216">
        <f ca="1">-(AY110-AY114)-'FS_Detail(M)'!AY84</f>
        <v>0</v>
      </c>
      <c r="AZ129" s="216">
        <f ca="1">-(AZ110-AZ114)-'FS_Detail(M)'!AZ84</f>
        <v>0</v>
      </c>
      <c r="BA129" s="216">
        <f ca="1">-(BA110-BA114)-'FS_Detail(M)'!BA84</f>
        <v>0</v>
      </c>
      <c r="BB129" s="216">
        <f ca="1">-(BB110-BB114)-'FS_Detail(M)'!BB84</f>
        <v>0</v>
      </c>
      <c r="BC129" s="216">
        <f ca="1">-(BC110-BC114)-'FS_Detail(M)'!BC84</f>
        <v>0</v>
      </c>
      <c r="BD129" s="216">
        <f ca="1">-(BD110-BD114)-'FS_Detail(M)'!BD84</f>
        <v>0</v>
      </c>
      <c r="BE129" s="216">
        <f ca="1">-(BE110-BE114)-'FS_Detail(M)'!BE84</f>
        <v>0</v>
      </c>
      <c r="BF129" s="216">
        <f ca="1">-(BF110-BF114)-'FS_Detail(M)'!BF84</f>
        <v>0</v>
      </c>
      <c r="BG129" s="216">
        <f ca="1">-(BG110-BG114)-'FS_Detail(M)'!BG84</f>
        <v>0</v>
      </c>
      <c r="BH129" s="216">
        <f ca="1">-(BH110-BH114)-'FS_Detail(M)'!BH84</f>
        <v>0</v>
      </c>
      <c r="BI129" s="216">
        <f ca="1">-(BI110-BI114)-'FS_Detail(M)'!BI84</f>
        <v>0</v>
      </c>
      <c r="BJ129" s="216">
        <f ca="1">-(BJ110-BJ114)-'FS_Detail(M)'!BJ84</f>
        <v>0</v>
      </c>
      <c r="BK129" s="216">
        <f ca="1">-(BK110-BK114)-'FS_Detail(M)'!BK84</f>
        <v>0</v>
      </c>
      <c r="BL129" s="216">
        <f ca="1">-(BL110-BL114)-'FS_Detail(M)'!BL84</f>
        <v>0</v>
      </c>
      <c r="BM129" s="216">
        <f ca="1">-(BM110-BM114)-'FS_Detail(M)'!BM84</f>
        <v>0</v>
      </c>
      <c r="BN129" s="216">
        <f ca="1">-(BN110-BN114)-'FS_Detail(M)'!BN84</f>
        <v>0</v>
      </c>
      <c r="BO129" s="216">
        <f ca="1">-(BO110-BO114)-'FS_Detail(M)'!BO84</f>
        <v>0</v>
      </c>
      <c r="BP129" s="216">
        <f ca="1">-(BP110-BP114)-'FS_Detail(M)'!BP84</f>
        <v>0</v>
      </c>
      <c r="BQ129" s="216">
        <f ca="1">-(BQ110-BQ114)-'FS_Detail(M)'!BQ84</f>
        <v>0</v>
      </c>
      <c r="BR129" s="216">
        <f ca="1">-(BR110-BR114)-'FS_Detail(M)'!BR84</f>
        <v>0</v>
      </c>
      <c r="BS129" s="216">
        <f ca="1">-(BS110-BS114)-'FS_Detail(M)'!BS84</f>
        <v>0</v>
      </c>
      <c r="BT129" s="216">
        <f ca="1">-(BT110-BT114)-'FS_Detail(M)'!BT84</f>
        <v>0</v>
      </c>
      <c r="BU129" s="216">
        <f ca="1">-(BU110-BU114)-'FS_Detail(M)'!BU84</f>
        <v>0</v>
      </c>
      <c r="BV129" s="216">
        <f ca="1">-(BV110-BV114)-'FS_Detail(M)'!BV84</f>
        <v>0</v>
      </c>
      <c r="BW129" s="216">
        <f ca="1">-(BW110-BW114)-'FS_Detail(M)'!BW84</f>
        <v>0</v>
      </c>
      <c r="BX129" s="216">
        <f ca="1">-(BX110-BX114)-'FS_Detail(M)'!BX84</f>
        <v>0</v>
      </c>
      <c r="BY129" s="216">
        <f ca="1">-(BY110-BY114)-'FS_Detail(M)'!BY84</f>
        <v>0</v>
      </c>
      <c r="BZ129" s="216">
        <f ca="1">-(BZ110-BZ114)-'FS_Detail(M)'!BZ84</f>
        <v>0</v>
      </c>
      <c r="CA129" s="216">
        <f ca="1">-(CA110-CA114)-'FS_Detail(M)'!CA84</f>
        <v>0</v>
      </c>
      <c r="CB129" s="216">
        <f ca="1">-(CB110-CB114)-'FS_Detail(M)'!CB84</f>
        <v>0</v>
      </c>
      <c r="CC129" s="216">
        <f ca="1">-(CC110-CC114)-'FS_Detail(M)'!CC84</f>
        <v>0</v>
      </c>
      <c r="CD129" s="216">
        <f ca="1">-(CD110-CD114)-'FS_Detail(M)'!CD84</f>
        <v>0</v>
      </c>
      <c r="CE129" s="216">
        <f ca="1">-(CE110-CE114)-'FS_Detail(M)'!CE84</f>
        <v>0</v>
      </c>
      <c r="CF129" s="216">
        <f ca="1">-(CF110-CF114)-'FS_Detail(M)'!CF84</f>
        <v>0</v>
      </c>
      <c r="CG129" s="216">
        <f ca="1">-(CG110-CG114)-'FS_Detail(M)'!CG84</f>
        <v>0</v>
      </c>
      <c r="CH129" s="216">
        <f ca="1">-(CH110-CH114)-'FS_Detail(M)'!CH84</f>
        <v>0</v>
      </c>
      <c r="CI129" s="216">
        <f ca="1">-(CI110-CI114)-'FS_Detail(M)'!CI84</f>
        <v>0</v>
      </c>
      <c r="CJ129" s="216">
        <f ca="1">-(CJ110-CJ114)-'FS_Detail(M)'!CJ84</f>
        <v>0</v>
      </c>
      <c r="CK129" s="216">
        <f ca="1">-(CK110-CK114)-'FS_Detail(M)'!CK84</f>
        <v>0</v>
      </c>
      <c r="CL129" s="216">
        <f ca="1">-(CL110-CL114)-'FS_Detail(M)'!CL84</f>
        <v>0</v>
      </c>
      <c r="CM129" s="216">
        <f ca="1">-(CM110-CM114)-'FS_Detail(M)'!CM84</f>
        <v>0</v>
      </c>
      <c r="CN129" s="216">
        <f ca="1">-(CN110-CN114)-'FS_Detail(M)'!CN84</f>
        <v>0</v>
      </c>
      <c r="CO129" s="216">
        <f ca="1">-(CO110-CO114)-'FS_Detail(M)'!CO84</f>
        <v>0</v>
      </c>
      <c r="CP129" s="216">
        <f ca="1">-(CP110-CP114)-'FS_Detail(M)'!CP84</f>
        <v>0</v>
      </c>
      <c r="CQ129" s="216">
        <f ca="1">-(CQ110-CQ114)-'FS_Detail(M)'!CQ84</f>
        <v>0</v>
      </c>
      <c r="CR129" s="216">
        <f ca="1">-(CR110-CR114)-'FS_Detail(M)'!CR84</f>
        <v>0</v>
      </c>
      <c r="CS129" s="216">
        <f ca="1">-(CS110-CS114)-'FS_Detail(M)'!CS84</f>
        <v>0</v>
      </c>
      <c r="CT129" s="216">
        <f ca="1">-(CT110-CT114)-'FS_Detail(M)'!CT84</f>
        <v>0</v>
      </c>
      <c r="CU129" s="216">
        <f ca="1">-(CU110-CU114)-'FS_Detail(M)'!CU84</f>
        <v>0</v>
      </c>
      <c r="CV129" s="216">
        <f ca="1">-(CV110-CV114)-'FS_Detail(M)'!CV84</f>
        <v>0</v>
      </c>
      <c r="CW129" s="216">
        <f ca="1">-(CW110-CW114)-'FS_Detail(M)'!CW84</f>
        <v>0</v>
      </c>
      <c r="CX129" s="216">
        <f ca="1">-(CX110-CX114)-'FS_Detail(M)'!CX84</f>
        <v>0</v>
      </c>
      <c r="CY129" s="216">
        <f ca="1">-(CY110-CY114)-'FS_Detail(M)'!CY84</f>
        <v>0</v>
      </c>
      <c r="CZ129" s="216">
        <f ca="1">-(CZ110-CZ114)-'FS_Detail(M)'!CZ84</f>
        <v>0</v>
      </c>
      <c r="DA129" s="216">
        <f ca="1">-(DA110-DA114)-'FS_Detail(M)'!DA84</f>
        <v>0</v>
      </c>
      <c r="DB129" s="216">
        <f ca="1">-(DB110-DB114)-'FS_Detail(M)'!DB84</f>
        <v>0</v>
      </c>
      <c r="DC129" s="216">
        <f ca="1">-(DC110-DC114)-'FS_Detail(M)'!DC84</f>
        <v>0</v>
      </c>
      <c r="DD129" s="216">
        <f ca="1">-(DD110-DD114)-'FS_Detail(M)'!DD84</f>
        <v>0</v>
      </c>
      <c r="DE129" s="216">
        <f ca="1">-(DE110-DE114)-'FS_Detail(M)'!DE84</f>
        <v>0</v>
      </c>
      <c r="DF129" s="216">
        <f ca="1">-(DF110-DF114)-'FS_Detail(M)'!DF84</f>
        <v>0</v>
      </c>
      <c r="DG129" s="216">
        <f ca="1">-(DG110-DG114)-'FS_Detail(M)'!DG84</f>
        <v>0</v>
      </c>
      <c r="DH129" s="216">
        <f ca="1">-(DH110-DH114)-'FS_Detail(M)'!DH84</f>
        <v>0</v>
      </c>
      <c r="DI129" s="216">
        <f ca="1">-(DI110-DI114)-'FS_Detail(M)'!DI84</f>
        <v>0</v>
      </c>
      <c r="DJ129" s="216">
        <f ca="1">-(DJ110-DJ114)-'FS_Detail(M)'!DJ84</f>
        <v>0</v>
      </c>
      <c r="DK129" s="216">
        <f ca="1">-(DK110-DK114)-'FS_Detail(M)'!DK84</f>
        <v>0</v>
      </c>
      <c r="DL129" s="216">
        <f ca="1">-(DL110-DL114)-'FS_Detail(M)'!DL84</f>
        <v>0</v>
      </c>
      <c r="DM129" s="216">
        <f ca="1">-(DM110-DM114)-'FS_Detail(M)'!DM84</f>
        <v>0</v>
      </c>
      <c r="DN129" s="216">
        <f ca="1">-(DN110-DN114)-'FS_Detail(M)'!DN84</f>
        <v>0</v>
      </c>
      <c r="DO129" s="216">
        <f ca="1">-(DO110-DO114)-'FS_Detail(M)'!DO84</f>
        <v>0</v>
      </c>
      <c r="DP129" s="216">
        <f ca="1">-(DP110-DP114)-'FS_Detail(M)'!DP84</f>
        <v>0</v>
      </c>
      <c r="DQ129" s="216">
        <f ca="1">-(DQ110-DQ114)-'FS_Detail(M)'!DQ84</f>
        <v>0</v>
      </c>
      <c r="DR129" s="216">
        <f ca="1">-(DR110-DR114)-'FS_Detail(M)'!DR84</f>
        <v>0</v>
      </c>
      <c r="DS129" s="216">
        <f ca="1">-(DS110-DS114)-'FS_Detail(M)'!DS84</f>
        <v>0</v>
      </c>
      <c r="DT129" s="216">
        <f ca="1">-(DT110-DT114)-'FS_Detail(M)'!DT84</f>
        <v>0</v>
      </c>
      <c r="DU129" s="216">
        <f ca="1">-(DU110-DU114)-'FS_Detail(M)'!DU84</f>
        <v>0</v>
      </c>
      <c r="DV129" s="216">
        <f ca="1">-(DV110-DV114)-'FS_Detail(M)'!DV84</f>
        <v>0</v>
      </c>
      <c r="DW129" s="216">
        <f ca="1">-(DW110-DW114)-'FS_Detail(M)'!DW84</f>
        <v>0</v>
      </c>
      <c r="DX129" s="216">
        <f ca="1">-(DX110-DX114)-'FS_Detail(M)'!DX84</f>
        <v>0</v>
      </c>
      <c r="DY129" s="216">
        <f ca="1">-(DY110-DY114)-'FS_Detail(M)'!DY84</f>
        <v>0</v>
      </c>
      <c r="DZ129" s="216">
        <f ca="1">-(DZ110-DZ114)-'FS_Detail(M)'!DZ84</f>
        <v>0</v>
      </c>
      <c r="EA129" s="216">
        <f ca="1">-(EA110-EA114)-'FS_Detail(M)'!EA84</f>
        <v>0</v>
      </c>
      <c r="EB129" s="216">
        <f ca="1">-(EB110-EB114)-'FS_Detail(M)'!EB84</f>
        <v>14800000</v>
      </c>
      <c r="EC129" s="216">
        <f ca="1">-(EC110-EC114)-'FS_Detail(M)'!EC84</f>
        <v>0</v>
      </c>
      <c r="ED129" s="216">
        <f ca="1">-(ED110-ED114)-'FS_Detail(M)'!ED84</f>
        <v>0</v>
      </c>
      <c r="EE129" s="216">
        <f ca="1">-(EE110-EE114)-'FS_Detail(M)'!EE84</f>
        <v>0</v>
      </c>
      <c r="EF129" s="216">
        <f ca="1">-(EF110-EF114)-'FS_Detail(M)'!EF84</f>
        <v>0</v>
      </c>
      <c r="EG129" s="216">
        <f ca="1">-(EG110-EG114)-'FS_Detail(M)'!EG84</f>
        <v>0</v>
      </c>
      <c r="EH129" s="216">
        <f ca="1">-(EH110-EH114)-'FS_Detail(M)'!EH84</f>
        <v>0</v>
      </c>
      <c r="EI129" s="216">
        <f ca="1">-(EI110-EI114)-'FS_Detail(M)'!EI84</f>
        <v>0</v>
      </c>
      <c r="EJ129" s="216">
        <f ca="1">-(EJ110-EJ114)-'FS_Detail(M)'!EJ84</f>
        <v>0</v>
      </c>
      <c r="EK129" s="216">
        <f ca="1">-(EK110-EK114)-'FS_Detail(M)'!EK84</f>
        <v>0</v>
      </c>
      <c r="EL129" s="216">
        <f ca="1">-(EL110-EL114)-'FS_Detail(M)'!EL84</f>
        <v>0</v>
      </c>
      <c r="EM129" s="216">
        <f ca="1">-(EM110-EM114)-'FS_Detail(M)'!EM84</f>
        <v>0</v>
      </c>
      <c r="EN129" s="216">
        <f ca="1">-(EN110-EN114)-'FS_Detail(M)'!EN84</f>
        <v>0</v>
      </c>
      <c r="EO129" s="216">
        <f ca="1">-(EO110-EO114)-'FS_Detail(M)'!EO84</f>
        <v>0</v>
      </c>
      <c r="EP129" s="216">
        <f ca="1">-(EP110-EP114)-'FS_Detail(M)'!EP84</f>
        <v>0</v>
      </c>
      <c r="EQ129" s="216">
        <f ca="1">-(EQ110-EQ114)-'FS_Detail(M)'!EQ84</f>
        <v>0</v>
      </c>
    </row>
    <row r="130" spans="2:147" ht="11.25" customHeight="1">
      <c r="B130" s="237" t="s">
        <v>216</v>
      </c>
      <c r="C130" s="238"/>
      <c r="D130" s="238"/>
      <c r="E130" s="238"/>
      <c r="F130" s="238" t="s">
        <v>841</v>
      </c>
      <c r="G130" s="238"/>
      <c r="H130" s="239"/>
      <c r="I130" s="243">
        <f t="shared" ca="1" si="105"/>
        <v>0.16438586395039967</v>
      </c>
      <c r="J130" s="241">
        <f t="shared" ca="1" si="106"/>
        <v>49570427.819552772</v>
      </c>
      <c r="L130" s="235">
        <f ca="1">-L110-'FS_Detail(M)'!L84</f>
        <v>-14800000</v>
      </c>
      <c r="M130" s="235">
        <f ca="1">-M110-'FS_Detail(M)'!M84</f>
        <v>0</v>
      </c>
      <c r="N130" s="235">
        <f ca="1">-N110-'FS_Detail(M)'!N84</f>
        <v>0</v>
      </c>
      <c r="O130" s="235">
        <f ca="1">-O110-'FS_Detail(M)'!O84</f>
        <v>0</v>
      </c>
      <c r="P130" s="235">
        <f ca="1">-P110-'FS_Detail(M)'!P84</f>
        <v>0</v>
      </c>
      <c r="Q130" s="235">
        <f ca="1">-Q110-'FS_Detail(M)'!Q84</f>
        <v>0</v>
      </c>
      <c r="R130" s="235">
        <f ca="1">-R110-'FS_Detail(M)'!R84</f>
        <v>555000</v>
      </c>
      <c r="S130" s="235">
        <f ca="1">-S110-'FS_Detail(M)'!S84</f>
        <v>0</v>
      </c>
      <c r="T130" s="235">
        <f ca="1">-T110-'FS_Detail(M)'!T84</f>
        <v>0</v>
      </c>
      <c r="U130" s="235">
        <f ca="1">-U110-'FS_Detail(M)'!U84</f>
        <v>0</v>
      </c>
      <c r="V130" s="235">
        <f ca="1">-V110-'FS_Detail(M)'!V84</f>
        <v>0</v>
      </c>
      <c r="W130" s="235">
        <f ca="1">-W110-'FS_Detail(M)'!W84</f>
        <v>0</v>
      </c>
      <c r="X130" s="235">
        <f ca="1">-X110-'FS_Detail(M)'!X84</f>
        <v>555000</v>
      </c>
      <c r="Y130" s="235">
        <f ca="1">-Y110-'FS_Detail(M)'!Y84</f>
        <v>0</v>
      </c>
      <c r="Z130" s="235">
        <f ca="1">-Z110-'FS_Detail(M)'!Z84</f>
        <v>0</v>
      </c>
      <c r="AA130" s="235">
        <f ca="1">-AA110-'FS_Detail(M)'!AA84</f>
        <v>0</v>
      </c>
      <c r="AB130" s="235">
        <f ca="1">-AB110-'FS_Detail(M)'!AB84</f>
        <v>0</v>
      </c>
      <c r="AC130" s="235">
        <f ca="1">-AC110-'FS_Detail(M)'!AC84</f>
        <v>0</v>
      </c>
      <c r="AD130" s="235">
        <f ca="1">-AD110-'FS_Detail(M)'!AD84</f>
        <v>0</v>
      </c>
      <c r="AE130" s="235">
        <f ca="1">-AE110-'FS_Detail(M)'!AE84</f>
        <v>0</v>
      </c>
      <c r="AF130" s="235">
        <f ca="1">-AF110-'FS_Detail(M)'!AF84</f>
        <v>0</v>
      </c>
      <c r="AG130" s="235">
        <f ca="1">-AG110-'FS_Detail(M)'!AG84</f>
        <v>0</v>
      </c>
      <c r="AH130" s="235">
        <f ca="1">-AH110-'FS_Detail(M)'!AH84</f>
        <v>0</v>
      </c>
      <c r="AI130" s="235">
        <f ca="1">-AI110-'FS_Detail(M)'!AI84</f>
        <v>0</v>
      </c>
      <c r="AJ130" s="235">
        <f ca="1">-AJ110-'FS_Detail(M)'!AJ84</f>
        <v>0</v>
      </c>
      <c r="AK130" s="235">
        <f ca="1">-AK110-'FS_Detail(M)'!AK84</f>
        <v>0</v>
      </c>
      <c r="AL130" s="235">
        <f ca="1">-AL110-'FS_Detail(M)'!AL84</f>
        <v>0</v>
      </c>
      <c r="AM130" s="235">
        <f ca="1">-AM110-'FS_Detail(M)'!AM84</f>
        <v>0</v>
      </c>
      <c r="AN130" s="235">
        <f ca="1">-AN110-'FS_Detail(M)'!AN84</f>
        <v>0</v>
      </c>
      <c r="AO130" s="235">
        <f ca="1">-AO110-'FS_Detail(M)'!AO84</f>
        <v>0</v>
      </c>
      <c r="AP130" s="235">
        <f ca="1">-AP110-'FS_Detail(M)'!AP84</f>
        <v>0</v>
      </c>
      <c r="AQ130" s="235">
        <f ca="1">-AQ110-'FS_Detail(M)'!AQ84</f>
        <v>0</v>
      </c>
      <c r="AR130" s="235">
        <f ca="1">-AR110-'FS_Detail(M)'!AR84</f>
        <v>0</v>
      </c>
      <c r="AS130" s="235">
        <f ca="1">-AS110-'FS_Detail(M)'!AS84</f>
        <v>0</v>
      </c>
      <c r="AT130" s="235">
        <f ca="1">-AT110-'FS_Detail(M)'!AT84</f>
        <v>0</v>
      </c>
      <c r="AU130" s="235">
        <f ca="1">-AU110-'FS_Detail(M)'!AU84</f>
        <v>0</v>
      </c>
      <c r="AV130" s="235">
        <f ca="1">-AV110-'FS_Detail(M)'!AV84</f>
        <v>0</v>
      </c>
      <c r="AW130" s="235">
        <f ca="1">-AW110-'FS_Detail(M)'!AW84</f>
        <v>0</v>
      </c>
      <c r="AX130" s="235">
        <f ca="1">-AX110-'FS_Detail(M)'!AX84</f>
        <v>0</v>
      </c>
      <c r="AY130" s="235">
        <f ca="1">-AY110-'FS_Detail(M)'!AY84</f>
        <v>0</v>
      </c>
      <c r="AZ130" s="235">
        <f ca="1">-AZ110-'FS_Detail(M)'!AZ84</f>
        <v>0</v>
      </c>
      <c r="BA130" s="235">
        <f ca="1">-BA110-'FS_Detail(M)'!BA84</f>
        <v>0</v>
      </c>
      <c r="BB130" s="235">
        <f ca="1">-BB110-'FS_Detail(M)'!BB84</f>
        <v>0</v>
      </c>
      <c r="BC130" s="235">
        <f ca="1">-BC110-'FS_Detail(M)'!BC84</f>
        <v>0</v>
      </c>
      <c r="BD130" s="235">
        <f ca="1">-BD110-'FS_Detail(M)'!BD84</f>
        <v>0</v>
      </c>
      <c r="BE130" s="235">
        <f ca="1">-BE110-'FS_Detail(M)'!BE84</f>
        <v>0</v>
      </c>
      <c r="BF130" s="235">
        <f ca="1">-BF110-'FS_Detail(M)'!BF84</f>
        <v>0</v>
      </c>
      <c r="BG130" s="235">
        <f ca="1">-BG110-'FS_Detail(M)'!BG84</f>
        <v>0</v>
      </c>
      <c r="BH130" s="235">
        <f ca="1">-BH110-'FS_Detail(M)'!BH84</f>
        <v>0</v>
      </c>
      <c r="BI130" s="235">
        <f ca="1">-BI110-'FS_Detail(M)'!BI84</f>
        <v>0</v>
      </c>
      <c r="BJ130" s="235">
        <f ca="1">-BJ110-'FS_Detail(M)'!BJ84</f>
        <v>0</v>
      </c>
      <c r="BK130" s="235">
        <f ca="1">-BK110-'FS_Detail(M)'!BK84</f>
        <v>0</v>
      </c>
      <c r="BL130" s="235">
        <f ca="1">-BL110-'FS_Detail(M)'!BL84</f>
        <v>0</v>
      </c>
      <c r="BM130" s="235">
        <f ca="1">-BM110-'FS_Detail(M)'!BM84</f>
        <v>0</v>
      </c>
      <c r="BN130" s="235">
        <f ca="1">-BN110-'FS_Detail(M)'!BN84</f>
        <v>0</v>
      </c>
      <c r="BO130" s="235">
        <f ca="1">-BO110-'FS_Detail(M)'!BO84</f>
        <v>0</v>
      </c>
      <c r="BP130" s="235">
        <f ca="1">-BP110-'FS_Detail(M)'!BP84</f>
        <v>0</v>
      </c>
      <c r="BQ130" s="235">
        <f ca="1">-BQ110-'FS_Detail(M)'!BQ84</f>
        <v>0</v>
      </c>
      <c r="BR130" s="235">
        <f ca="1">-BR110-'FS_Detail(M)'!BR84</f>
        <v>0</v>
      </c>
      <c r="BS130" s="235">
        <f ca="1">-BS110-'FS_Detail(M)'!BS84</f>
        <v>0</v>
      </c>
      <c r="BT130" s="235">
        <f ca="1">-BT110-'FS_Detail(M)'!BT84</f>
        <v>0</v>
      </c>
      <c r="BU130" s="235">
        <f ca="1">-BU110-'FS_Detail(M)'!BU84</f>
        <v>0</v>
      </c>
      <c r="BV130" s="235">
        <f ca="1">-BV110-'FS_Detail(M)'!BV84</f>
        <v>0</v>
      </c>
      <c r="BW130" s="235">
        <f ca="1">-BW110-'FS_Detail(M)'!BW84</f>
        <v>0</v>
      </c>
      <c r="BX130" s="235">
        <f ca="1">-BX110-'FS_Detail(M)'!BX84</f>
        <v>0</v>
      </c>
      <c r="BY130" s="235">
        <f ca="1">-BY110-'FS_Detail(M)'!BY84</f>
        <v>0</v>
      </c>
      <c r="BZ130" s="235">
        <f ca="1">-BZ110-'FS_Detail(M)'!BZ84</f>
        <v>0</v>
      </c>
      <c r="CA130" s="235">
        <f ca="1">-CA110-'FS_Detail(M)'!CA84</f>
        <v>0</v>
      </c>
      <c r="CB130" s="235">
        <f ca="1">-CB110-'FS_Detail(M)'!CB84</f>
        <v>0</v>
      </c>
      <c r="CC130" s="235">
        <f ca="1">-CC110-'FS_Detail(M)'!CC84</f>
        <v>0</v>
      </c>
      <c r="CD130" s="235">
        <f ca="1">-CD110-'FS_Detail(M)'!CD84</f>
        <v>0</v>
      </c>
      <c r="CE130" s="235">
        <f ca="1">-CE110-'FS_Detail(M)'!CE84</f>
        <v>0</v>
      </c>
      <c r="CF130" s="235">
        <f ca="1">-CF110-'FS_Detail(M)'!CF84</f>
        <v>0</v>
      </c>
      <c r="CG130" s="235">
        <f ca="1">-CG110-'FS_Detail(M)'!CG84</f>
        <v>0</v>
      </c>
      <c r="CH130" s="235">
        <f ca="1">-CH110-'FS_Detail(M)'!CH84</f>
        <v>0</v>
      </c>
      <c r="CI130" s="235">
        <f ca="1">-CI110-'FS_Detail(M)'!CI84</f>
        <v>0</v>
      </c>
      <c r="CJ130" s="235">
        <f ca="1">-CJ110-'FS_Detail(M)'!CJ84</f>
        <v>0</v>
      </c>
      <c r="CK130" s="235">
        <f ca="1">-CK110-'FS_Detail(M)'!CK84</f>
        <v>0</v>
      </c>
      <c r="CL130" s="235">
        <f ca="1">-CL110-'FS_Detail(M)'!CL84</f>
        <v>0</v>
      </c>
      <c r="CM130" s="235">
        <f ca="1">-CM110-'FS_Detail(M)'!CM84</f>
        <v>0</v>
      </c>
      <c r="CN130" s="235">
        <f ca="1">-CN110-'FS_Detail(M)'!CN84</f>
        <v>0</v>
      </c>
      <c r="CO130" s="235">
        <f ca="1">-CO110-'FS_Detail(M)'!CO84</f>
        <v>0</v>
      </c>
      <c r="CP130" s="235">
        <f ca="1">-CP110-'FS_Detail(M)'!CP84</f>
        <v>0</v>
      </c>
      <c r="CQ130" s="235">
        <f ca="1">-CQ110-'FS_Detail(M)'!CQ84</f>
        <v>0</v>
      </c>
      <c r="CR130" s="235">
        <f ca="1">-CR110-'FS_Detail(M)'!CR84</f>
        <v>0</v>
      </c>
      <c r="CS130" s="235">
        <f ca="1">-CS110-'FS_Detail(M)'!CS84</f>
        <v>0</v>
      </c>
      <c r="CT130" s="235">
        <f ca="1">-CT110-'FS_Detail(M)'!CT84</f>
        <v>0</v>
      </c>
      <c r="CU130" s="235">
        <f ca="1">-CU110-'FS_Detail(M)'!CU84</f>
        <v>0</v>
      </c>
      <c r="CV130" s="235">
        <f ca="1">-CV110-'FS_Detail(M)'!CV84</f>
        <v>0</v>
      </c>
      <c r="CW130" s="235">
        <f ca="1">-CW110-'FS_Detail(M)'!CW84</f>
        <v>0</v>
      </c>
      <c r="CX130" s="235">
        <f ca="1">-CX110-'FS_Detail(M)'!CX84</f>
        <v>0</v>
      </c>
      <c r="CY130" s="235">
        <f ca="1">-CY110-'FS_Detail(M)'!CY84</f>
        <v>0</v>
      </c>
      <c r="CZ130" s="235">
        <f ca="1">-CZ110-'FS_Detail(M)'!CZ84</f>
        <v>0</v>
      </c>
      <c r="DA130" s="235">
        <f ca="1">-DA110-'FS_Detail(M)'!DA84</f>
        <v>0</v>
      </c>
      <c r="DB130" s="235">
        <f ca="1">-DB110-'FS_Detail(M)'!DB84</f>
        <v>0</v>
      </c>
      <c r="DC130" s="235">
        <f ca="1">-DC110-'FS_Detail(M)'!DC84</f>
        <v>0</v>
      </c>
      <c r="DD130" s="235">
        <f ca="1">-DD110-'FS_Detail(M)'!DD84</f>
        <v>0</v>
      </c>
      <c r="DE130" s="235">
        <f ca="1">-DE110-'FS_Detail(M)'!DE84</f>
        <v>0</v>
      </c>
      <c r="DF130" s="235">
        <f ca="1">-DF110-'FS_Detail(M)'!DF84</f>
        <v>0</v>
      </c>
      <c r="DG130" s="235">
        <f ca="1">-DG110-'FS_Detail(M)'!DG84</f>
        <v>0</v>
      </c>
      <c r="DH130" s="235">
        <f ca="1">-DH110-'FS_Detail(M)'!DH84</f>
        <v>0</v>
      </c>
      <c r="DI130" s="235">
        <f ca="1">-DI110-'FS_Detail(M)'!DI84</f>
        <v>0</v>
      </c>
      <c r="DJ130" s="235">
        <f ca="1">-DJ110-'FS_Detail(M)'!DJ84</f>
        <v>0</v>
      </c>
      <c r="DK130" s="235">
        <f ca="1">-DK110-'FS_Detail(M)'!DK84</f>
        <v>0</v>
      </c>
      <c r="DL130" s="235">
        <f ca="1">-DL110-'FS_Detail(M)'!DL84</f>
        <v>0</v>
      </c>
      <c r="DM130" s="235">
        <f ca="1">-DM110-'FS_Detail(M)'!DM84</f>
        <v>0</v>
      </c>
      <c r="DN130" s="235">
        <f ca="1">-DN110-'FS_Detail(M)'!DN84</f>
        <v>0</v>
      </c>
      <c r="DO130" s="235">
        <f ca="1">-DO110-'FS_Detail(M)'!DO84</f>
        <v>0</v>
      </c>
      <c r="DP130" s="235">
        <f ca="1">-DP110-'FS_Detail(M)'!DP84</f>
        <v>0</v>
      </c>
      <c r="DQ130" s="235">
        <f ca="1">-DQ110-'FS_Detail(M)'!DQ84</f>
        <v>0</v>
      </c>
      <c r="DR130" s="235">
        <f ca="1">-DR110-'FS_Detail(M)'!DR84</f>
        <v>0</v>
      </c>
      <c r="DS130" s="235">
        <f ca="1">-DS110-'FS_Detail(M)'!DS84</f>
        <v>0</v>
      </c>
      <c r="DT130" s="235">
        <f ca="1">-DT110-'FS_Detail(M)'!DT84</f>
        <v>0</v>
      </c>
      <c r="DU130" s="235">
        <f ca="1">-DU110-'FS_Detail(M)'!DU84</f>
        <v>0</v>
      </c>
      <c r="DV130" s="235">
        <f ca="1">-DV110-'FS_Detail(M)'!DV84</f>
        <v>0</v>
      </c>
      <c r="DW130" s="235">
        <f ca="1">-DW110-'FS_Detail(M)'!DW84</f>
        <v>0</v>
      </c>
      <c r="DX130" s="235">
        <f ca="1">-DX110-'FS_Detail(M)'!DX84</f>
        <v>0</v>
      </c>
      <c r="DY130" s="235">
        <f ca="1">-DY110-'FS_Detail(M)'!DY84</f>
        <v>0</v>
      </c>
      <c r="DZ130" s="235">
        <f ca="1">-DZ110-'FS_Detail(M)'!DZ84</f>
        <v>0</v>
      </c>
      <c r="EA130" s="235">
        <f ca="1">-EA110-'FS_Detail(M)'!EA84</f>
        <v>0</v>
      </c>
      <c r="EB130" s="235">
        <f ca="1">-EB110-'FS_Detail(M)'!EB84</f>
        <v>63260427.819552772</v>
      </c>
      <c r="EC130" s="235">
        <f ca="1">-EC110-'FS_Detail(M)'!EC84</f>
        <v>0</v>
      </c>
      <c r="ED130" s="235">
        <f ca="1">-ED110-'FS_Detail(M)'!ED84</f>
        <v>0</v>
      </c>
      <c r="EE130" s="235">
        <f ca="1">-EE110-'FS_Detail(M)'!EE84</f>
        <v>0</v>
      </c>
      <c r="EF130" s="235">
        <f ca="1">-EF110-'FS_Detail(M)'!EF84</f>
        <v>0</v>
      </c>
      <c r="EG130" s="235">
        <f ca="1">-EG110-'FS_Detail(M)'!EG84</f>
        <v>0</v>
      </c>
      <c r="EH130" s="235">
        <f ca="1">-EH110-'FS_Detail(M)'!EH84</f>
        <v>0</v>
      </c>
      <c r="EI130" s="235">
        <f ca="1">-EI110-'FS_Detail(M)'!EI84</f>
        <v>0</v>
      </c>
      <c r="EJ130" s="235">
        <f ca="1">-EJ110-'FS_Detail(M)'!EJ84</f>
        <v>0</v>
      </c>
      <c r="EK130" s="235">
        <f ca="1">-EK110-'FS_Detail(M)'!EK84</f>
        <v>0</v>
      </c>
      <c r="EL130" s="235">
        <f ca="1">-EL110-'FS_Detail(M)'!EL84</f>
        <v>0</v>
      </c>
      <c r="EM130" s="235">
        <f ca="1">-EM110-'FS_Detail(M)'!EM84</f>
        <v>0</v>
      </c>
      <c r="EN130" s="235">
        <f ca="1">-EN110-'FS_Detail(M)'!EN84</f>
        <v>0</v>
      </c>
      <c r="EO130" s="235">
        <f ca="1">-EO110-'FS_Detail(M)'!EO84</f>
        <v>0</v>
      </c>
      <c r="EP130" s="235">
        <f ca="1">-EP110-'FS_Detail(M)'!EP84</f>
        <v>0</v>
      </c>
      <c r="EQ130" s="235">
        <f ca="1">-EQ110-'FS_Detail(M)'!EQ84</f>
        <v>0</v>
      </c>
    </row>
    <row r="131" spans="2:147" ht="11.25" customHeight="1">
      <c r="B131" s="211" t="s">
        <v>1122</v>
      </c>
      <c r="C131" s="212"/>
      <c r="D131" s="212"/>
      <c r="E131" s="212"/>
      <c r="F131" s="212"/>
      <c r="G131" s="212"/>
      <c r="H131" s="213"/>
      <c r="I131" s="242">
        <f t="shared" ca="1" si="105"/>
        <v>6.1960226545306307E-2</v>
      </c>
      <c r="J131" s="216">
        <f t="shared" ca="1" si="106"/>
        <v>55410000</v>
      </c>
      <c r="L131" s="216">
        <f ca="1">SUM(L123,L125,L127,L129)</f>
        <v>-98800000</v>
      </c>
      <c r="M131" s="216">
        <f t="shared" ref="M131:BX131" ca="1" si="125">SUM(M123,M125,M127,M129)</f>
        <v>0</v>
      </c>
      <c r="N131" s="216">
        <f t="shared" ca="1" si="125"/>
        <v>0</v>
      </c>
      <c r="O131" s="216">
        <f t="shared" ca="1" si="125"/>
        <v>0</v>
      </c>
      <c r="P131" s="216">
        <f t="shared" ca="1" si="125"/>
        <v>0</v>
      </c>
      <c r="Q131" s="216">
        <f t="shared" ca="1" si="125"/>
        <v>0</v>
      </c>
      <c r="R131" s="216">
        <f t="shared" ca="1" si="125"/>
        <v>3270000</v>
      </c>
      <c r="S131" s="216">
        <f t="shared" ca="1" si="125"/>
        <v>0</v>
      </c>
      <c r="T131" s="216">
        <f t="shared" ca="1" si="125"/>
        <v>0</v>
      </c>
      <c r="U131" s="216">
        <f t="shared" ca="1" si="125"/>
        <v>0</v>
      </c>
      <c r="V131" s="216">
        <f t="shared" ca="1" si="125"/>
        <v>0</v>
      </c>
      <c r="W131" s="216">
        <f t="shared" ca="1" si="125"/>
        <v>0</v>
      </c>
      <c r="X131" s="216">
        <f t="shared" ca="1" si="125"/>
        <v>3270000</v>
      </c>
      <c r="Y131" s="216">
        <f t="shared" ca="1" si="125"/>
        <v>0</v>
      </c>
      <c r="Z131" s="216">
        <f t="shared" ca="1" si="125"/>
        <v>0</v>
      </c>
      <c r="AA131" s="216">
        <f t="shared" ca="1" si="125"/>
        <v>0</v>
      </c>
      <c r="AB131" s="216">
        <f t="shared" ca="1" si="125"/>
        <v>0</v>
      </c>
      <c r="AC131" s="216">
        <f t="shared" ca="1" si="125"/>
        <v>0</v>
      </c>
      <c r="AD131" s="216">
        <f t="shared" ca="1" si="125"/>
        <v>2715000</v>
      </c>
      <c r="AE131" s="216">
        <f t="shared" ca="1" si="125"/>
        <v>0</v>
      </c>
      <c r="AF131" s="216">
        <f t="shared" ca="1" si="125"/>
        <v>0</v>
      </c>
      <c r="AG131" s="216">
        <f t="shared" ca="1" si="125"/>
        <v>0</v>
      </c>
      <c r="AH131" s="216">
        <f t="shared" ca="1" si="125"/>
        <v>0</v>
      </c>
      <c r="AI131" s="216">
        <f t="shared" ca="1" si="125"/>
        <v>0</v>
      </c>
      <c r="AJ131" s="216">
        <f t="shared" ca="1" si="125"/>
        <v>12715000</v>
      </c>
      <c r="AK131" s="216">
        <f t="shared" ca="1" si="125"/>
        <v>0</v>
      </c>
      <c r="AL131" s="216">
        <f t="shared" ca="1" si="125"/>
        <v>0</v>
      </c>
      <c r="AM131" s="216">
        <f t="shared" ca="1" si="125"/>
        <v>0</v>
      </c>
      <c r="AN131" s="216">
        <f t="shared" ca="1" si="125"/>
        <v>0</v>
      </c>
      <c r="AO131" s="216">
        <f t="shared" ca="1" si="125"/>
        <v>0</v>
      </c>
      <c r="AP131" s="216">
        <f t="shared" ca="1" si="125"/>
        <v>2715000</v>
      </c>
      <c r="AQ131" s="216">
        <f t="shared" ca="1" si="125"/>
        <v>0</v>
      </c>
      <c r="AR131" s="216">
        <f t="shared" ca="1" si="125"/>
        <v>0</v>
      </c>
      <c r="AS131" s="216">
        <f t="shared" ca="1" si="125"/>
        <v>0</v>
      </c>
      <c r="AT131" s="216">
        <f t="shared" ca="1" si="125"/>
        <v>0</v>
      </c>
      <c r="AU131" s="216">
        <f t="shared" ca="1" si="125"/>
        <v>0</v>
      </c>
      <c r="AV131" s="216">
        <f t="shared" ca="1" si="125"/>
        <v>2715000</v>
      </c>
      <c r="AW131" s="216">
        <f t="shared" ca="1" si="125"/>
        <v>0</v>
      </c>
      <c r="AX131" s="216">
        <f t="shared" ca="1" si="125"/>
        <v>0</v>
      </c>
      <c r="AY131" s="216">
        <f t="shared" ca="1" si="125"/>
        <v>0</v>
      </c>
      <c r="AZ131" s="216">
        <f t="shared" ca="1" si="125"/>
        <v>0</v>
      </c>
      <c r="BA131" s="216">
        <f t="shared" ca="1" si="125"/>
        <v>0</v>
      </c>
      <c r="BB131" s="216">
        <f t="shared" ca="1" si="125"/>
        <v>2715000</v>
      </c>
      <c r="BC131" s="216">
        <f t="shared" ca="1" si="125"/>
        <v>0</v>
      </c>
      <c r="BD131" s="216">
        <f t="shared" ca="1" si="125"/>
        <v>0</v>
      </c>
      <c r="BE131" s="216">
        <f t="shared" ca="1" si="125"/>
        <v>0</v>
      </c>
      <c r="BF131" s="216">
        <f t="shared" ca="1" si="125"/>
        <v>0</v>
      </c>
      <c r="BG131" s="216">
        <f t="shared" ca="1" si="125"/>
        <v>0</v>
      </c>
      <c r="BH131" s="216">
        <f t="shared" ca="1" si="125"/>
        <v>2715000</v>
      </c>
      <c r="BI131" s="216">
        <f t="shared" ca="1" si="125"/>
        <v>0</v>
      </c>
      <c r="BJ131" s="216">
        <f t="shared" ca="1" si="125"/>
        <v>0</v>
      </c>
      <c r="BK131" s="216">
        <f t="shared" ca="1" si="125"/>
        <v>0</v>
      </c>
      <c r="BL131" s="216">
        <f t="shared" ca="1" si="125"/>
        <v>0</v>
      </c>
      <c r="BM131" s="216">
        <f t="shared" ca="1" si="125"/>
        <v>0</v>
      </c>
      <c r="BN131" s="216">
        <f t="shared" ca="1" si="125"/>
        <v>2696056.3038810929</v>
      </c>
      <c r="BO131" s="216">
        <f t="shared" ca="1" si="125"/>
        <v>0</v>
      </c>
      <c r="BP131" s="216">
        <f t="shared" ca="1" si="125"/>
        <v>0</v>
      </c>
      <c r="BQ131" s="216">
        <f t="shared" ca="1" si="125"/>
        <v>0</v>
      </c>
      <c r="BR131" s="216">
        <f t="shared" ca="1" si="125"/>
        <v>0</v>
      </c>
      <c r="BS131" s="216">
        <f t="shared" ca="1" si="125"/>
        <v>0</v>
      </c>
      <c r="BT131" s="216">
        <f t="shared" ca="1" si="125"/>
        <v>2601729.2937996686</v>
      </c>
      <c r="BU131" s="216">
        <f t="shared" ca="1" si="125"/>
        <v>0</v>
      </c>
      <c r="BV131" s="216">
        <f t="shared" ca="1" si="125"/>
        <v>0</v>
      </c>
      <c r="BW131" s="216">
        <f t="shared" ca="1" si="125"/>
        <v>0</v>
      </c>
      <c r="BX131" s="216">
        <f t="shared" ca="1" si="125"/>
        <v>0</v>
      </c>
      <c r="BY131" s="216">
        <f t="shared" ref="BY131:EJ131" ca="1" si="126">SUM(BY123,BY125,BY127,BY129)</f>
        <v>0</v>
      </c>
      <c r="BZ131" s="216">
        <f t="shared" ca="1" si="126"/>
        <v>2678082.375135636</v>
      </c>
      <c r="CA131" s="216">
        <f t="shared" ca="1" si="126"/>
        <v>0</v>
      </c>
      <c r="CB131" s="216">
        <f t="shared" ca="1" si="126"/>
        <v>0</v>
      </c>
      <c r="CC131" s="216">
        <f t="shared" ca="1" si="126"/>
        <v>0</v>
      </c>
      <c r="CD131" s="216">
        <f t="shared" ca="1" si="126"/>
        <v>0</v>
      </c>
      <c r="CE131" s="216">
        <f t="shared" ca="1" si="126"/>
        <v>0</v>
      </c>
      <c r="CF131" s="216">
        <f t="shared" ca="1" si="126"/>
        <v>2884132.0271836026</v>
      </c>
      <c r="CG131" s="216">
        <f t="shared" ca="1" si="126"/>
        <v>0</v>
      </c>
      <c r="CH131" s="216">
        <f t="shared" ca="1" si="126"/>
        <v>0</v>
      </c>
      <c r="CI131" s="216">
        <f t="shared" ca="1" si="126"/>
        <v>0</v>
      </c>
      <c r="CJ131" s="216">
        <f t="shared" ca="1" si="126"/>
        <v>0</v>
      </c>
      <c r="CK131" s="216">
        <f t="shared" ca="1" si="126"/>
        <v>0</v>
      </c>
      <c r="CL131" s="216">
        <f t="shared" ca="1" si="126"/>
        <v>2715000</v>
      </c>
      <c r="CM131" s="216">
        <f t="shared" ca="1" si="126"/>
        <v>0</v>
      </c>
      <c r="CN131" s="216">
        <f t="shared" ca="1" si="126"/>
        <v>0</v>
      </c>
      <c r="CO131" s="216">
        <f t="shared" ca="1" si="126"/>
        <v>0</v>
      </c>
      <c r="CP131" s="216">
        <f t="shared" ca="1" si="126"/>
        <v>0</v>
      </c>
      <c r="CQ131" s="216">
        <f t="shared" ca="1" si="126"/>
        <v>0</v>
      </c>
      <c r="CR131" s="216">
        <f t="shared" ca="1" si="126"/>
        <v>2715000</v>
      </c>
      <c r="CS131" s="216">
        <f t="shared" ca="1" si="126"/>
        <v>0</v>
      </c>
      <c r="CT131" s="216">
        <f t="shared" ca="1" si="126"/>
        <v>0</v>
      </c>
      <c r="CU131" s="216">
        <f t="shared" ca="1" si="126"/>
        <v>0</v>
      </c>
      <c r="CV131" s="216">
        <f t="shared" ca="1" si="126"/>
        <v>0</v>
      </c>
      <c r="CW131" s="216">
        <f t="shared" ca="1" si="126"/>
        <v>0</v>
      </c>
      <c r="CX131" s="216">
        <f t="shared" ca="1" si="126"/>
        <v>2715000</v>
      </c>
      <c r="CY131" s="216">
        <f t="shared" ca="1" si="126"/>
        <v>0</v>
      </c>
      <c r="CZ131" s="216">
        <f t="shared" ca="1" si="126"/>
        <v>0</v>
      </c>
      <c r="DA131" s="216">
        <f t="shared" ca="1" si="126"/>
        <v>0</v>
      </c>
      <c r="DB131" s="216">
        <f t="shared" ca="1" si="126"/>
        <v>0</v>
      </c>
      <c r="DC131" s="216">
        <f t="shared" ca="1" si="126"/>
        <v>0</v>
      </c>
      <c r="DD131" s="216">
        <f t="shared" ca="1" si="126"/>
        <v>2715000</v>
      </c>
      <c r="DE131" s="216">
        <f t="shared" ca="1" si="126"/>
        <v>0</v>
      </c>
      <c r="DF131" s="216">
        <f t="shared" ca="1" si="126"/>
        <v>0</v>
      </c>
      <c r="DG131" s="216">
        <f t="shared" ca="1" si="126"/>
        <v>0</v>
      </c>
      <c r="DH131" s="216">
        <f t="shared" ca="1" si="126"/>
        <v>0</v>
      </c>
      <c r="DI131" s="216">
        <f t="shared" ca="1" si="126"/>
        <v>0</v>
      </c>
      <c r="DJ131" s="216">
        <f t="shared" ca="1" si="126"/>
        <v>2715000</v>
      </c>
      <c r="DK131" s="216">
        <f t="shared" ca="1" si="126"/>
        <v>0</v>
      </c>
      <c r="DL131" s="216">
        <f t="shared" ca="1" si="126"/>
        <v>0</v>
      </c>
      <c r="DM131" s="216">
        <f t="shared" ca="1" si="126"/>
        <v>0</v>
      </c>
      <c r="DN131" s="216">
        <f t="shared" ca="1" si="126"/>
        <v>0</v>
      </c>
      <c r="DO131" s="216">
        <f t="shared" ca="1" si="126"/>
        <v>0</v>
      </c>
      <c r="DP131" s="216">
        <f t="shared" ca="1" si="126"/>
        <v>2715000</v>
      </c>
      <c r="DQ131" s="216">
        <f t="shared" ca="1" si="126"/>
        <v>0</v>
      </c>
      <c r="DR131" s="216">
        <f t="shared" ca="1" si="126"/>
        <v>0</v>
      </c>
      <c r="DS131" s="216">
        <f t="shared" ca="1" si="126"/>
        <v>0</v>
      </c>
      <c r="DT131" s="216">
        <f t="shared" ca="1" si="126"/>
        <v>0</v>
      </c>
      <c r="DU131" s="216">
        <f t="shared" ca="1" si="126"/>
        <v>0</v>
      </c>
      <c r="DV131" s="216">
        <f t="shared" ca="1" si="126"/>
        <v>2715000</v>
      </c>
      <c r="DW131" s="216">
        <f t="shared" ca="1" si="126"/>
        <v>0</v>
      </c>
      <c r="DX131" s="216">
        <f t="shared" ca="1" si="126"/>
        <v>0</v>
      </c>
      <c r="DY131" s="216">
        <f t="shared" ca="1" si="126"/>
        <v>0</v>
      </c>
      <c r="DZ131" s="216">
        <f t="shared" ca="1" si="126"/>
        <v>0</v>
      </c>
      <c r="EA131" s="216">
        <f t="shared" ca="1" si="126"/>
        <v>0</v>
      </c>
      <c r="EB131" s="216">
        <f t="shared" ca="1" si="126"/>
        <v>91515000</v>
      </c>
      <c r="EC131" s="216">
        <f t="shared" ca="1" si="126"/>
        <v>0</v>
      </c>
      <c r="ED131" s="216">
        <f t="shared" ca="1" si="126"/>
        <v>0</v>
      </c>
      <c r="EE131" s="216">
        <f t="shared" ca="1" si="126"/>
        <v>0</v>
      </c>
      <c r="EF131" s="216">
        <f t="shared" ca="1" si="126"/>
        <v>0</v>
      </c>
      <c r="EG131" s="216">
        <f t="shared" ca="1" si="126"/>
        <v>0</v>
      </c>
      <c r="EH131" s="216">
        <f t="shared" ca="1" si="126"/>
        <v>0</v>
      </c>
      <c r="EI131" s="216">
        <f t="shared" ca="1" si="126"/>
        <v>0</v>
      </c>
      <c r="EJ131" s="216">
        <f t="shared" ca="1" si="126"/>
        <v>0</v>
      </c>
      <c r="EK131" s="216">
        <f t="shared" ref="EK131:EQ131" ca="1" si="127">SUM(EK123,EK125,EK127,EK129)</f>
        <v>0</v>
      </c>
      <c r="EL131" s="216">
        <f t="shared" ca="1" si="127"/>
        <v>0</v>
      </c>
      <c r="EM131" s="216">
        <f t="shared" ca="1" si="127"/>
        <v>0</v>
      </c>
      <c r="EN131" s="216">
        <f t="shared" ca="1" si="127"/>
        <v>0</v>
      </c>
      <c r="EO131" s="216">
        <f t="shared" ca="1" si="127"/>
        <v>0</v>
      </c>
      <c r="EP131" s="216">
        <f t="shared" ca="1" si="127"/>
        <v>0</v>
      </c>
      <c r="EQ131" s="216">
        <f t="shared" ca="1" si="127"/>
        <v>0</v>
      </c>
    </row>
    <row r="132" spans="2:147" ht="11.25" customHeight="1">
      <c r="B132" s="237" t="s">
        <v>1123</v>
      </c>
      <c r="C132" s="238"/>
      <c r="D132" s="238"/>
      <c r="E132" s="238"/>
      <c r="F132" s="238"/>
      <c r="G132" s="238"/>
      <c r="H132" s="239"/>
      <c r="I132" s="243">
        <f t="shared" ca="1" si="105"/>
        <v>0.10338270163662822</v>
      </c>
      <c r="J132" s="241">
        <f t="shared" ca="1" si="106"/>
        <v>115985534.77444097</v>
      </c>
      <c r="L132" s="235">
        <f ca="1">SUM(L124,L126,L128,L130)</f>
        <v>-98800000</v>
      </c>
      <c r="M132" s="235">
        <f t="shared" ref="M132:BX132" ca="1" si="128">SUM(M124,M126,M128,M130)</f>
        <v>0</v>
      </c>
      <c r="N132" s="235">
        <f t="shared" ca="1" si="128"/>
        <v>0</v>
      </c>
      <c r="O132" s="235">
        <f t="shared" ca="1" si="128"/>
        <v>0</v>
      </c>
      <c r="P132" s="235">
        <f t="shared" ca="1" si="128"/>
        <v>0</v>
      </c>
      <c r="Q132" s="235">
        <f t="shared" ca="1" si="128"/>
        <v>0</v>
      </c>
      <c r="R132" s="235">
        <f t="shared" ca="1" si="128"/>
        <v>3270000</v>
      </c>
      <c r="S132" s="235">
        <f t="shared" ca="1" si="128"/>
        <v>0</v>
      </c>
      <c r="T132" s="235">
        <f t="shared" ca="1" si="128"/>
        <v>0</v>
      </c>
      <c r="U132" s="235">
        <f t="shared" ca="1" si="128"/>
        <v>0</v>
      </c>
      <c r="V132" s="235">
        <f t="shared" ca="1" si="128"/>
        <v>0</v>
      </c>
      <c r="W132" s="235">
        <f t="shared" ca="1" si="128"/>
        <v>0</v>
      </c>
      <c r="X132" s="235">
        <f t="shared" ca="1" si="128"/>
        <v>3270000</v>
      </c>
      <c r="Y132" s="235">
        <f t="shared" ca="1" si="128"/>
        <v>0</v>
      </c>
      <c r="Z132" s="235">
        <f t="shared" ca="1" si="128"/>
        <v>0</v>
      </c>
      <c r="AA132" s="235">
        <f t="shared" ca="1" si="128"/>
        <v>0</v>
      </c>
      <c r="AB132" s="235">
        <f t="shared" ca="1" si="128"/>
        <v>0</v>
      </c>
      <c r="AC132" s="235">
        <f t="shared" ca="1" si="128"/>
        <v>0</v>
      </c>
      <c r="AD132" s="235">
        <f t="shared" ca="1" si="128"/>
        <v>2715000</v>
      </c>
      <c r="AE132" s="235">
        <f t="shared" ca="1" si="128"/>
        <v>0</v>
      </c>
      <c r="AF132" s="235">
        <f t="shared" ca="1" si="128"/>
        <v>0</v>
      </c>
      <c r="AG132" s="235">
        <f t="shared" ca="1" si="128"/>
        <v>0</v>
      </c>
      <c r="AH132" s="235">
        <f t="shared" ca="1" si="128"/>
        <v>0</v>
      </c>
      <c r="AI132" s="235">
        <f t="shared" ca="1" si="128"/>
        <v>0</v>
      </c>
      <c r="AJ132" s="235">
        <f t="shared" ca="1" si="128"/>
        <v>12715000</v>
      </c>
      <c r="AK132" s="235">
        <f t="shared" ca="1" si="128"/>
        <v>0</v>
      </c>
      <c r="AL132" s="235">
        <f t="shared" ca="1" si="128"/>
        <v>0</v>
      </c>
      <c r="AM132" s="235">
        <f t="shared" ca="1" si="128"/>
        <v>0</v>
      </c>
      <c r="AN132" s="235">
        <f t="shared" ca="1" si="128"/>
        <v>0</v>
      </c>
      <c r="AO132" s="235">
        <f t="shared" ca="1" si="128"/>
        <v>0</v>
      </c>
      <c r="AP132" s="235">
        <f t="shared" ca="1" si="128"/>
        <v>2715000</v>
      </c>
      <c r="AQ132" s="235">
        <f t="shared" ca="1" si="128"/>
        <v>0</v>
      </c>
      <c r="AR132" s="235">
        <f t="shared" ca="1" si="128"/>
        <v>0</v>
      </c>
      <c r="AS132" s="235">
        <f t="shared" ca="1" si="128"/>
        <v>0</v>
      </c>
      <c r="AT132" s="235">
        <f t="shared" ca="1" si="128"/>
        <v>0</v>
      </c>
      <c r="AU132" s="235">
        <f t="shared" ca="1" si="128"/>
        <v>0</v>
      </c>
      <c r="AV132" s="235">
        <f t="shared" ca="1" si="128"/>
        <v>2715000</v>
      </c>
      <c r="AW132" s="235">
        <f t="shared" ca="1" si="128"/>
        <v>0</v>
      </c>
      <c r="AX132" s="235">
        <f t="shared" ca="1" si="128"/>
        <v>0</v>
      </c>
      <c r="AY132" s="235">
        <f t="shared" ca="1" si="128"/>
        <v>0</v>
      </c>
      <c r="AZ132" s="235">
        <f t="shared" ca="1" si="128"/>
        <v>0</v>
      </c>
      <c r="BA132" s="235">
        <f t="shared" ca="1" si="128"/>
        <v>0</v>
      </c>
      <c r="BB132" s="235">
        <f t="shared" ca="1" si="128"/>
        <v>2715000</v>
      </c>
      <c r="BC132" s="235">
        <f t="shared" ca="1" si="128"/>
        <v>0</v>
      </c>
      <c r="BD132" s="235">
        <f t="shared" ca="1" si="128"/>
        <v>0</v>
      </c>
      <c r="BE132" s="235">
        <f t="shared" ca="1" si="128"/>
        <v>0</v>
      </c>
      <c r="BF132" s="235">
        <f t="shared" ca="1" si="128"/>
        <v>0</v>
      </c>
      <c r="BG132" s="235">
        <f t="shared" ca="1" si="128"/>
        <v>0</v>
      </c>
      <c r="BH132" s="235">
        <f t="shared" ca="1" si="128"/>
        <v>2715000</v>
      </c>
      <c r="BI132" s="235">
        <f t="shared" ca="1" si="128"/>
        <v>0</v>
      </c>
      <c r="BJ132" s="235">
        <f t="shared" ca="1" si="128"/>
        <v>0</v>
      </c>
      <c r="BK132" s="235">
        <f t="shared" ca="1" si="128"/>
        <v>0</v>
      </c>
      <c r="BL132" s="235">
        <f t="shared" ca="1" si="128"/>
        <v>0</v>
      </c>
      <c r="BM132" s="235">
        <f t="shared" ca="1" si="128"/>
        <v>0</v>
      </c>
      <c r="BN132" s="235">
        <f t="shared" ca="1" si="128"/>
        <v>2696056.3038810929</v>
      </c>
      <c r="BO132" s="235">
        <f t="shared" ca="1" si="128"/>
        <v>0</v>
      </c>
      <c r="BP132" s="235">
        <f t="shared" ca="1" si="128"/>
        <v>0</v>
      </c>
      <c r="BQ132" s="235">
        <f t="shared" ca="1" si="128"/>
        <v>0</v>
      </c>
      <c r="BR132" s="235">
        <f t="shared" ca="1" si="128"/>
        <v>0</v>
      </c>
      <c r="BS132" s="235">
        <f t="shared" ca="1" si="128"/>
        <v>0</v>
      </c>
      <c r="BT132" s="235">
        <f t="shared" ca="1" si="128"/>
        <v>2601729.2937996686</v>
      </c>
      <c r="BU132" s="235">
        <f t="shared" ca="1" si="128"/>
        <v>0</v>
      </c>
      <c r="BV132" s="235">
        <f t="shared" ca="1" si="128"/>
        <v>0</v>
      </c>
      <c r="BW132" s="235">
        <f t="shared" ca="1" si="128"/>
        <v>0</v>
      </c>
      <c r="BX132" s="235">
        <f t="shared" ca="1" si="128"/>
        <v>0</v>
      </c>
      <c r="BY132" s="235">
        <f t="shared" ref="BY132:EJ132" ca="1" si="129">SUM(BY124,BY126,BY128,BY130)</f>
        <v>0</v>
      </c>
      <c r="BZ132" s="235">
        <f t="shared" ca="1" si="129"/>
        <v>2678082.375135636</v>
      </c>
      <c r="CA132" s="235">
        <f t="shared" ca="1" si="129"/>
        <v>0</v>
      </c>
      <c r="CB132" s="235">
        <f t="shared" ca="1" si="129"/>
        <v>0</v>
      </c>
      <c r="CC132" s="235">
        <f t="shared" ca="1" si="129"/>
        <v>0</v>
      </c>
      <c r="CD132" s="235">
        <f t="shared" ca="1" si="129"/>
        <v>0</v>
      </c>
      <c r="CE132" s="235">
        <f t="shared" ca="1" si="129"/>
        <v>0</v>
      </c>
      <c r="CF132" s="235">
        <f t="shared" ca="1" si="129"/>
        <v>2884132.0271836026</v>
      </c>
      <c r="CG132" s="235">
        <f t="shared" ca="1" si="129"/>
        <v>0</v>
      </c>
      <c r="CH132" s="235">
        <f t="shared" ca="1" si="129"/>
        <v>0</v>
      </c>
      <c r="CI132" s="235">
        <f t="shared" ca="1" si="129"/>
        <v>0</v>
      </c>
      <c r="CJ132" s="235">
        <f t="shared" ca="1" si="129"/>
        <v>0</v>
      </c>
      <c r="CK132" s="235">
        <f t="shared" ca="1" si="129"/>
        <v>0</v>
      </c>
      <c r="CL132" s="235">
        <f t="shared" ca="1" si="129"/>
        <v>2715000</v>
      </c>
      <c r="CM132" s="235">
        <f t="shared" ca="1" si="129"/>
        <v>0</v>
      </c>
      <c r="CN132" s="235">
        <f t="shared" ca="1" si="129"/>
        <v>0</v>
      </c>
      <c r="CO132" s="235">
        <f t="shared" ca="1" si="129"/>
        <v>0</v>
      </c>
      <c r="CP132" s="235">
        <f t="shared" ca="1" si="129"/>
        <v>0</v>
      </c>
      <c r="CQ132" s="235">
        <f t="shared" ca="1" si="129"/>
        <v>0</v>
      </c>
      <c r="CR132" s="235">
        <f t="shared" ca="1" si="129"/>
        <v>2715000</v>
      </c>
      <c r="CS132" s="235">
        <f t="shared" ca="1" si="129"/>
        <v>0</v>
      </c>
      <c r="CT132" s="235">
        <f t="shared" ca="1" si="129"/>
        <v>0</v>
      </c>
      <c r="CU132" s="235">
        <f t="shared" ca="1" si="129"/>
        <v>0</v>
      </c>
      <c r="CV132" s="235">
        <f t="shared" ca="1" si="129"/>
        <v>0</v>
      </c>
      <c r="CW132" s="235">
        <f t="shared" ca="1" si="129"/>
        <v>0</v>
      </c>
      <c r="CX132" s="235">
        <f t="shared" ca="1" si="129"/>
        <v>2715000</v>
      </c>
      <c r="CY132" s="235">
        <f t="shared" ca="1" si="129"/>
        <v>0</v>
      </c>
      <c r="CZ132" s="235">
        <f t="shared" ca="1" si="129"/>
        <v>0</v>
      </c>
      <c r="DA132" s="235">
        <f t="shared" ca="1" si="129"/>
        <v>0</v>
      </c>
      <c r="DB132" s="235">
        <f t="shared" ca="1" si="129"/>
        <v>0</v>
      </c>
      <c r="DC132" s="235">
        <f t="shared" ca="1" si="129"/>
        <v>0</v>
      </c>
      <c r="DD132" s="235">
        <f t="shared" ca="1" si="129"/>
        <v>2715000</v>
      </c>
      <c r="DE132" s="235">
        <f t="shared" ca="1" si="129"/>
        <v>0</v>
      </c>
      <c r="DF132" s="235">
        <f t="shared" ca="1" si="129"/>
        <v>0</v>
      </c>
      <c r="DG132" s="235">
        <f t="shared" ca="1" si="129"/>
        <v>0</v>
      </c>
      <c r="DH132" s="235">
        <f t="shared" ca="1" si="129"/>
        <v>0</v>
      </c>
      <c r="DI132" s="235">
        <f t="shared" ca="1" si="129"/>
        <v>0</v>
      </c>
      <c r="DJ132" s="235">
        <f t="shared" ca="1" si="129"/>
        <v>2715000</v>
      </c>
      <c r="DK132" s="235">
        <f t="shared" ca="1" si="129"/>
        <v>0</v>
      </c>
      <c r="DL132" s="235">
        <f t="shared" ca="1" si="129"/>
        <v>0</v>
      </c>
      <c r="DM132" s="235">
        <f t="shared" ca="1" si="129"/>
        <v>0</v>
      </c>
      <c r="DN132" s="235">
        <f t="shared" ca="1" si="129"/>
        <v>0</v>
      </c>
      <c r="DO132" s="235">
        <f t="shared" ca="1" si="129"/>
        <v>0</v>
      </c>
      <c r="DP132" s="235">
        <f t="shared" ca="1" si="129"/>
        <v>2715000</v>
      </c>
      <c r="DQ132" s="235">
        <f t="shared" ca="1" si="129"/>
        <v>0</v>
      </c>
      <c r="DR132" s="235">
        <f t="shared" ca="1" si="129"/>
        <v>0</v>
      </c>
      <c r="DS132" s="235">
        <f t="shared" ca="1" si="129"/>
        <v>0</v>
      </c>
      <c r="DT132" s="235">
        <f t="shared" ca="1" si="129"/>
        <v>0</v>
      </c>
      <c r="DU132" s="235">
        <f t="shared" ca="1" si="129"/>
        <v>0</v>
      </c>
      <c r="DV132" s="235">
        <f t="shared" ca="1" si="129"/>
        <v>2715000</v>
      </c>
      <c r="DW132" s="235">
        <f t="shared" ca="1" si="129"/>
        <v>0</v>
      </c>
      <c r="DX132" s="235">
        <f t="shared" ca="1" si="129"/>
        <v>0</v>
      </c>
      <c r="DY132" s="235">
        <f t="shared" ca="1" si="129"/>
        <v>0</v>
      </c>
      <c r="DZ132" s="235">
        <f t="shared" ca="1" si="129"/>
        <v>0</v>
      </c>
      <c r="EA132" s="235">
        <f t="shared" ca="1" si="129"/>
        <v>0</v>
      </c>
      <c r="EB132" s="235">
        <f t="shared" ca="1" si="129"/>
        <v>152090534.77444097</v>
      </c>
      <c r="EC132" s="235">
        <f t="shared" ca="1" si="129"/>
        <v>0</v>
      </c>
      <c r="ED132" s="235">
        <f t="shared" ca="1" si="129"/>
        <v>0</v>
      </c>
      <c r="EE132" s="235">
        <f t="shared" ca="1" si="129"/>
        <v>0</v>
      </c>
      <c r="EF132" s="235">
        <f t="shared" ca="1" si="129"/>
        <v>0</v>
      </c>
      <c r="EG132" s="235">
        <f t="shared" ca="1" si="129"/>
        <v>0</v>
      </c>
      <c r="EH132" s="235">
        <f t="shared" ca="1" si="129"/>
        <v>0</v>
      </c>
      <c r="EI132" s="235">
        <f t="shared" ca="1" si="129"/>
        <v>0</v>
      </c>
      <c r="EJ132" s="235">
        <f t="shared" ca="1" si="129"/>
        <v>0</v>
      </c>
      <c r="EK132" s="235">
        <f t="shared" ref="EK132:EQ132" ca="1" si="130">SUM(EK124,EK126,EK128,EK130)</f>
        <v>0</v>
      </c>
      <c r="EL132" s="235">
        <f t="shared" ca="1" si="130"/>
        <v>0</v>
      </c>
      <c r="EM132" s="235">
        <f t="shared" ca="1" si="130"/>
        <v>0</v>
      </c>
      <c r="EN132" s="235">
        <f t="shared" ca="1" si="130"/>
        <v>0</v>
      </c>
      <c r="EO132" s="235">
        <f t="shared" ca="1" si="130"/>
        <v>0</v>
      </c>
      <c r="EP132" s="235">
        <f t="shared" ca="1" si="130"/>
        <v>0</v>
      </c>
      <c r="EQ132" s="235">
        <f t="shared" ca="1" si="130"/>
        <v>0</v>
      </c>
    </row>
    <row r="133" spans="2:147" ht="11.25" customHeight="1">
      <c r="B133" s="237"/>
      <c r="C133" s="238"/>
      <c r="D133" s="238"/>
      <c r="E133" s="238"/>
      <c r="F133" s="238" t="s">
        <v>842</v>
      </c>
      <c r="G133" s="238"/>
      <c r="H133" s="239"/>
      <c r="I133" s="243">
        <f t="shared" ca="1" si="105"/>
        <v>0.26616334156141241</v>
      </c>
      <c r="J133" s="241">
        <f t="shared" ca="1" si="106"/>
        <v>136531186.04334044</v>
      </c>
      <c r="L133" s="235">
        <f ca="1">-L110-'FS_Detail(M)'!L84</f>
        <v>-14800000</v>
      </c>
      <c r="M133" s="235">
        <f ca="1">-M110-'FS_Detail(M)'!M84</f>
        <v>0</v>
      </c>
      <c r="N133" s="235">
        <f ca="1">-N110-'FS_Detail(M)'!N84</f>
        <v>0</v>
      </c>
      <c r="O133" s="235">
        <f ca="1">-O110-'FS_Detail(M)'!O84</f>
        <v>0</v>
      </c>
      <c r="P133" s="235">
        <f ca="1">-P110-'FS_Detail(M)'!P84</f>
        <v>0</v>
      </c>
      <c r="Q133" s="235">
        <f ca="1">-Q110-'FS_Detail(M)'!Q84</f>
        <v>0</v>
      </c>
      <c r="R133" s="235">
        <f ca="1">-R110-'FS_Detail(M)'!R84</f>
        <v>555000</v>
      </c>
      <c r="S133" s="235">
        <f ca="1">-S110-'FS_Detail(M)'!S84</f>
        <v>0</v>
      </c>
      <c r="T133" s="235">
        <f ca="1">-T110-'FS_Detail(M)'!T84</f>
        <v>0</v>
      </c>
      <c r="U133" s="235">
        <f ca="1">-U110-'FS_Detail(M)'!U84</f>
        <v>0</v>
      </c>
      <c r="V133" s="235">
        <f ca="1">-V110-'FS_Detail(M)'!V84</f>
        <v>0</v>
      </c>
      <c r="W133" s="235">
        <f ca="1">-W110-'FS_Detail(M)'!W84</f>
        <v>0</v>
      </c>
      <c r="X133" s="235">
        <f ca="1">-X110-'FS_Detail(M)'!X84</f>
        <v>555000</v>
      </c>
      <c r="Y133" s="235">
        <f ca="1">-Y110-'FS_Detail(M)'!Y84</f>
        <v>0</v>
      </c>
      <c r="Z133" s="235">
        <f ca="1">-Z110-'FS_Detail(M)'!Z84</f>
        <v>0</v>
      </c>
      <c r="AA133" s="235">
        <f ca="1">-AA110-'FS_Detail(M)'!AA84</f>
        <v>0</v>
      </c>
      <c r="AB133" s="235">
        <f ca="1">-AB110-'FS_Detail(M)'!AB84</f>
        <v>0</v>
      </c>
      <c r="AC133" s="235">
        <f ca="1">-AC110-'FS_Detail(M)'!AC84</f>
        <v>0</v>
      </c>
      <c r="AD133" s="235">
        <f ca="1">-AD110-'FS_Detail(M)'!AD84</f>
        <v>0</v>
      </c>
      <c r="AE133" s="235">
        <f ca="1">-AE110-'FS_Detail(M)'!AE84</f>
        <v>0</v>
      </c>
      <c r="AF133" s="235">
        <f ca="1">-AF110-'FS_Detail(M)'!AF84</f>
        <v>0</v>
      </c>
      <c r="AG133" s="235">
        <f ca="1">-AG110-'FS_Detail(M)'!AG84</f>
        <v>0</v>
      </c>
      <c r="AH133" s="235">
        <f ca="1">-AH110-'FS_Detail(M)'!AH84</f>
        <v>0</v>
      </c>
      <c r="AI133" s="235">
        <f ca="1">-AI110-'FS_Detail(M)'!AI84</f>
        <v>0</v>
      </c>
      <c r="AJ133" s="235">
        <f ca="1">-AJ110-'FS_Detail(M)'!AJ84</f>
        <v>0</v>
      </c>
      <c r="AK133" s="235">
        <f ca="1">-AK110-'FS_Detail(M)'!AK84</f>
        <v>0</v>
      </c>
      <c r="AL133" s="235">
        <f ca="1">-AL110-'FS_Detail(M)'!AL84</f>
        <v>0</v>
      </c>
      <c r="AM133" s="235">
        <f ca="1">-AM110-'FS_Detail(M)'!AM84</f>
        <v>0</v>
      </c>
      <c r="AN133" s="235">
        <f ca="1">-AN110-'FS_Detail(M)'!AN84</f>
        <v>0</v>
      </c>
      <c r="AO133" s="235">
        <f ca="1">-AO110-'FS_Detail(M)'!AO84</f>
        <v>0</v>
      </c>
      <c r="AP133" s="235">
        <f ca="1">-AP110-'FS_Detail(M)'!AP84</f>
        <v>0</v>
      </c>
      <c r="AQ133" s="235">
        <f ca="1">-AQ110-'FS_Detail(M)'!AQ84</f>
        <v>0</v>
      </c>
      <c r="AR133" s="235">
        <f ca="1">-AR110-'FS_Detail(M)'!AR84</f>
        <v>0</v>
      </c>
      <c r="AS133" s="235">
        <f ca="1">-AS110-'FS_Detail(M)'!AS84</f>
        <v>0</v>
      </c>
      <c r="AT133" s="235">
        <f ca="1">-AT110-'FS_Detail(M)'!AT84</f>
        <v>0</v>
      </c>
      <c r="AU133" s="235">
        <f ca="1">-AU110-'FS_Detail(M)'!AU84</f>
        <v>0</v>
      </c>
      <c r="AV133" s="235">
        <f ca="1">-AV110-'FS_Detail(M)'!AV84</f>
        <v>0</v>
      </c>
      <c r="AW133" s="235">
        <f ca="1">-AW110-'FS_Detail(M)'!AW84</f>
        <v>0</v>
      </c>
      <c r="AX133" s="235">
        <f ca="1">-AX110-'FS_Detail(M)'!AX84</f>
        <v>0</v>
      </c>
      <c r="AY133" s="235">
        <f ca="1">-AY110-'FS_Detail(M)'!AY84</f>
        <v>0</v>
      </c>
      <c r="AZ133" s="235">
        <f ca="1">-AZ110-'FS_Detail(M)'!AZ84</f>
        <v>0</v>
      </c>
      <c r="BA133" s="235">
        <f ca="1">-BA110-'FS_Detail(M)'!BA84</f>
        <v>0</v>
      </c>
      <c r="BB133" s="235">
        <f ca="1">-BB110-'FS_Detail(M)'!BB84</f>
        <v>0</v>
      </c>
      <c r="BC133" s="235">
        <f ca="1">-BC110-'FS_Detail(M)'!BC84</f>
        <v>0</v>
      </c>
      <c r="BD133" s="235">
        <f ca="1">-BD110-'FS_Detail(M)'!BD84</f>
        <v>0</v>
      </c>
      <c r="BE133" s="235">
        <f ca="1">-BE110-'FS_Detail(M)'!BE84</f>
        <v>0</v>
      </c>
      <c r="BF133" s="235">
        <f ca="1">-BF110-'FS_Detail(M)'!BF84</f>
        <v>0</v>
      </c>
      <c r="BG133" s="235">
        <f ca="1">-BG110-'FS_Detail(M)'!BG84</f>
        <v>0</v>
      </c>
      <c r="BH133" s="235">
        <f ca="1">-BH110-'FS_Detail(M)'!BH84</f>
        <v>0</v>
      </c>
      <c r="BI133" s="235">
        <f ca="1">-BI110-'FS_Detail(M)'!BI84</f>
        <v>0</v>
      </c>
      <c r="BJ133" s="235">
        <f ca="1">-BJ110-'FS_Detail(M)'!BJ84</f>
        <v>0</v>
      </c>
      <c r="BK133" s="235">
        <f ca="1">-BK110-'FS_Detail(M)'!BK84</f>
        <v>0</v>
      </c>
      <c r="BL133" s="235">
        <f ca="1">-BL110-'FS_Detail(M)'!BL84</f>
        <v>0</v>
      </c>
      <c r="BM133" s="235">
        <f ca="1">-BM110-'FS_Detail(M)'!BM84</f>
        <v>0</v>
      </c>
      <c r="BN133" s="235">
        <f ca="1">-BN110-'FS_Detail(M)'!BN84</f>
        <v>0</v>
      </c>
      <c r="BO133" s="235">
        <f ca="1">-BO110-'FS_Detail(M)'!BO84</f>
        <v>0</v>
      </c>
      <c r="BP133" s="235">
        <f ca="1">-BP110-'FS_Detail(M)'!BP84</f>
        <v>0</v>
      </c>
      <c r="BQ133" s="235">
        <f ca="1">-BQ110-'FS_Detail(M)'!BQ84</f>
        <v>0</v>
      </c>
      <c r="BR133" s="235">
        <f ca="1">-BR110-'FS_Detail(M)'!BR84</f>
        <v>0</v>
      </c>
      <c r="BS133" s="235">
        <f ca="1">-BS110-'FS_Detail(M)'!BS84</f>
        <v>0</v>
      </c>
      <c r="BT133" s="235">
        <f ca="1">-BT110-'FS_Detail(M)'!BT84</f>
        <v>0</v>
      </c>
      <c r="BU133" s="235">
        <f ca="1">-BU110-'FS_Detail(M)'!BU84</f>
        <v>0</v>
      </c>
      <c r="BV133" s="235">
        <f ca="1">-BV110-'FS_Detail(M)'!BV84</f>
        <v>0</v>
      </c>
      <c r="BW133" s="235">
        <f ca="1">-BW110-'FS_Detail(M)'!BW84</f>
        <v>0</v>
      </c>
      <c r="BX133" s="235">
        <f ca="1">-BX110-'FS_Detail(M)'!BX84</f>
        <v>0</v>
      </c>
      <c r="BY133" s="235">
        <f ca="1">-BY110-'FS_Detail(M)'!BY84</f>
        <v>0</v>
      </c>
      <c r="BZ133" s="235">
        <f ca="1">-BZ110-'FS_Detail(M)'!BZ84</f>
        <v>0</v>
      </c>
      <c r="CA133" s="235">
        <f ca="1">-CA110-'FS_Detail(M)'!CA84</f>
        <v>0</v>
      </c>
      <c r="CB133" s="235">
        <f ca="1">-CB110-'FS_Detail(M)'!CB84</f>
        <v>0</v>
      </c>
      <c r="CC133" s="235">
        <f ca="1">-CC110-'FS_Detail(M)'!CC84</f>
        <v>0</v>
      </c>
      <c r="CD133" s="235">
        <f ca="1">-CD110-'FS_Detail(M)'!CD84</f>
        <v>0</v>
      </c>
      <c r="CE133" s="235">
        <f ca="1">-CE110-'FS_Detail(M)'!CE84</f>
        <v>0</v>
      </c>
      <c r="CF133" s="235">
        <f ca="1">-CF110-'FS_Detail(M)'!CF84</f>
        <v>0</v>
      </c>
      <c r="CG133" s="235">
        <f ca="1">-CG110-'FS_Detail(M)'!CG84</f>
        <v>0</v>
      </c>
      <c r="CH133" s="235">
        <f ca="1">-CH110-'FS_Detail(M)'!CH84</f>
        <v>0</v>
      </c>
      <c r="CI133" s="235">
        <f ca="1">-CI110-'FS_Detail(M)'!CI84</f>
        <v>0</v>
      </c>
      <c r="CJ133" s="235">
        <f ca="1">-CJ110-'FS_Detail(M)'!CJ84</f>
        <v>0</v>
      </c>
      <c r="CK133" s="235">
        <f ca="1">-CK110-'FS_Detail(M)'!CK84</f>
        <v>0</v>
      </c>
      <c r="CL133" s="235">
        <f ca="1">-CL110-'FS_Detail(M)'!CL84</f>
        <v>0</v>
      </c>
      <c r="CM133" s="235">
        <f ca="1">-CM110-'FS_Detail(M)'!CM84</f>
        <v>0</v>
      </c>
      <c r="CN133" s="235">
        <f ca="1">-CN110-'FS_Detail(M)'!CN84</f>
        <v>0</v>
      </c>
      <c r="CO133" s="235">
        <f ca="1">-CO110-'FS_Detail(M)'!CO84</f>
        <v>0</v>
      </c>
      <c r="CP133" s="235">
        <f ca="1">-CP110-'FS_Detail(M)'!CP84</f>
        <v>0</v>
      </c>
      <c r="CQ133" s="235">
        <f ca="1">-CQ110-'FS_Detail(M)'!CQ84</f>
        <v>0</v>
      </c>
      <c r="CR133" s="235">
        <f ca="1">-CR110-'FS_Detail(M)'!CR84</f>
        <v>0</v>
      </c>
      <c r="CS133" s="235">
        <f ca="1">-CS110-'FS_Detail(M)'!CS84</f>
        <v>0</v>
      </c>
      <c r="CT133" s="235">
        <f ca="1">-CT110-'FS_Detail(M)'!CT84</f>
        <v>0</v>
      </c>
      <c r="CU133" s="235">
        <f ca="1">-CU110-'FS_Detail(M)'!CU84</f>
        <v>0</v>
      </c>
      <c r="CV133" s="235">
        <f ca="1">-CV110-'FS_Detail(M)'!CV84</f>
        <v>0</v>
      </c>
      <c r="CW133" s="235">
        <f ca="1">-CW110-'FS_Detail(M)'!CW84</f>
        <v>0</v>
      </c>
      <c r="CX133" s="235">
        <f ca="1">-CX110-'FS_Detail(M)'!CX84</f>
        <v>0</v>
      </c>
      <c r="CY133" s="235">
        <f ca="1">-CY110-'FS_Detail(M)'!CY84</f>
        <v>0</v>
      </c>
      <c r="CZ133" s="235">
        <f ca="1">-CZ110-'FS_Detail(M)'!CZ84</f>
        <v>0</v>
      </c>
      <c r="DA133" s="235">
        <f ca="1">-DA110-'FS_Detail(M)'!DA84</f>
        <v>0</v>
      </c>
      <c r="DB133" s="235">
        <f ca="1">-DB110-'FS_Detail(M)'!DB84</f>
        <v>0</v>
      </c>
      <c r="DC133" s="235">
        <f ca="1">-DC110-'FS_Detail(M)'!DC84</f>
        <v>0</v>
      </c>
      <c r="DD133" s="235">
        <f ca="1">-DD110-'FS_Detail(M)'!DD84</f>
        <v>0</v>
      </c>
      <c r="DE133" s="235">
        <f ca="1">-DE110-'FS_Detail(M)'!DE84</f>
        <v>0</v>
      </c>
      <c r="DF133" s="235">
        <f ca="1">-DF110-'FS_Detail(M)'!DF84</f>
        <v>0</v>
      </c>
      <c r="DG133" s="235">
        <f ca="1">-DG110-'FS_Detail(M)'!DG84</f>
        <v>0</v>
      </c>
      <c r="DH133" s="235">
        <f ca="1">-DH110-'FS_Detail(M)'!DH84</f>
        <v>0</v>
      </c>
      <c r="DI133" s="235">
        <f ca="1">-DI110-'FS_Detail(M)'!DI84</f>
        <v>0</v>
      </c>
      <c r="DJ133" s="235">
        <f ca="1">-DJ110-'FS_Detail(M)'!DJ84</f>
        <v>0</v>
      </c>
      <c r="DK133" s="235">
        <f ca="1">-DK110-'FS_Detail(M)'!DK84</f>
        <v>0</v>
      </c>
      <c r="DL133" s="235">
        <f ca="1">-DL110-'FS_Detail(M)'!DL84</f>
        <v>0</v>
      </c>
      <c r="DM133" s="235">
        <f ca="1">-DM110-'FS_Detail(M)'!DM84</f>
        <v>0</v>
      </c>
      <c r="DN133" s="235">
        <f ca="1">-DN110-'FS_Detail(M)'!DN84</f>
        <v>0</v>
      </c>
      <c r="DO133" s="235">
        <f ca="1">-DO110-'FS_Detail(M)'!DO84</f>
        <v>0</v>
      </c>
      <c r="DP133" s="235">
        <f ca="1">-DP110-'FS_Detail(M)'!DP84</f>
        <v>0</v>
      </c>
      <c r="DQ133" s="235">
        <f ca="1">-DQ110-'FS_Detail(M)'!DQ84</f>
        <v>0</v>
      </c>
      <c r="DR133" s="235">
        <f ca="1">-DR110-'FS_Detail(M)'!DR84</f>
        <v>0</v>
      </c>
      <c r="DS133" s="235">
        <f ca="1">-DS110-'FS_Detail(M)'!DS84</f>
        <v>0</v>
      </c>
      <c r="DT133" s="235">
        <f ca="1">-DT110-'FS_Detail(M)'!DT84</f>
        <v>0</v>
      </c>
      <c r="DU133" s="235">
        <f ca="1">-DU110-'FS_Detail(M)'!DU84</f>
        <v>0</v>
      </c>
      <c r="DV133" s="235">
        <f ca="1">-DV110-'FS_Detail(M)'!DV84</f>
        <v>0</v>
      </c>
      <c r="DW133" s="235">
        <f ca="1">-DW110-'FS_Detail(M)'!DW84</f>
        <v>0</v>
      </c>
      <c r="DX133" s="235">
        <f ca="1">-DX110-'FS_Detail(M)'!DX84</f>
        <v>0</v>
      </c>
      <c r="DY133" s="235">
        <f ca="1">-DY110-'FS_Detail(M)'!DY84</f>
        <v>0</v>
      </c>
      <c r="DZ133" s="235">
        <f ca="1">-DZ110-'FS_Detail(M)'!DZ84</f>
        <v>0</v>
      </c>
      <c r="EA133" s="235">
        <f ca="1">-EA110-'FS_Detail(M)'!EA84</f>
        <v>0</v>
      </c>
      <c r="EB133" s="235">
        <f ca="1">-EB110-'FS_Detail(M)'!EB84</f>
        <v>63260427.819552772</v>
      </c>
      <c r="EC133" s="235">
        <f ca="1">-EC110-'FS_Detail(M)'!EC84</f>
        <v>0</v>
      </c>
      <c r="ED133" s="235">
        <f ca="1">-(SUM(ED111,ED112,ED113,-('A&amp;R'!AJ61)))-'FS_Detail(M)'!ED84</f>
        <v>86960758.223787665</v>
      </c>
      <c r="EE133" s="235">
        <f t="shared" ref="EE133:EJ133" ca="1" si="131">EE130</f>
        <v>0</v>
      </c>
      <c r="EF133" s="235">
        <f t="shared" ca="1" si="131"/>
        <v>0</v>
      </c>
      <c r="EG133" s="235">
        <f t="shared" ca="1" si="131"/>
        <v>0</v>
      </c>
      <c r="EH133" s="235">
        <f t="shared" ca="1" si="131"/>
        <v>0</v>
      </c>
      <c r="EI133" s="235">
        <f t="shared" ca="1" si="131"/>
        <v>0</v>
      </c>
      <c r="EJ133" s="235">
        <f t="shared" ca="1" si="131"/>
        <v>0</v>
      </c>
      <c r="EK133" s="235">
        <f t="shared" ref="EK133:EQ133" ca="1" si="132">EK130</f>
        <v>0</v>
      </c>
      <c r="EL133" s="235">
        <f t="shared" ca="1" si="132"/>
        <v>0</v>
      </c>
      <c r="EM133" s="235">
        <f t="shared" ca="1" si="132"/>
        <v>0</v>
      </c>
      <c r="EN133" s="235">
        <f t="shared" ca="1" si="132"/>
        <v>0</v>
      </c>
      <c r="EO133" s="235">
        <f t="shared" ca="1" si="132"/>
        <v>0</v>
      </c>
      <c r="EP133" s="235">
        <f t="shared" ca="1" si="132"/>
        <v>0</v>
      </c>
      <c r="EQ133" s="235">
        <f t="shared" ca="1" si="132"/>
        <v>0</v>
      </c>
    </row>
    <row r="137" spans="2:147">
      <c r="G137" s="5" t="s">
        <v>1113</v>
      </c>
      <c r="H137" s="13">
        <f>J55</f>
        <v>359621828.04531735</v>
      </c>
      <c r="M137" s="5" t="s">
        <v>24</v>
      </c>
      <c r="N137" s="1929" t="s">
        <v>1140</v>
      </c>
      <c r="O137" s="1929" t="s">
        <v>1141</v>
      </c>
    </row>
    <row r="138" spans="2:147">
      <c r="G138" s="5" t="s">
        <v>1144</v>
      </c>
      <c r="H138" s="13">
        <f>P147+N144</f>
        <v>15000000</v>
      </c>
      <c r="M138" s="21" t="s">
        <v>643</v>
      </c>
      <c r="N138" s="1090">
        <f>'A&amp;R'!T14</f>
        <v>2100000</v>
      </c>
      <c r="O138" s="1090">
        <f>'A&amp;R'!P31</f>
        <v>2100000</v>
      </c>
    </row>
    <row r="139" spans="2:147">
      <c r="G139" s="5" t="s">
        <v>1115</v>
      </c>
      <c r="H139" s="13">
        <f>-'A&amp;R'!P31</f>
        <v>-2100000</v>
      </c>
      <c r="M139" s="5" t="s">
        <v>644</v>
      </c>
      <c r="N139" s="13">
        <f>'A&amp;R'!T15</f>
        <v>160000000</v>
      </c>
      <c r="O139" s="13">
        <f>'A&amp;R'!P34</f>
        <v>213000000</v>
      </c>
    </row>
    <row r="140" spans="2:147">
      <c r="G140" s="5" t="s">
        <v>273</v>
      </c>
      <c r="H140" s="13">
        <f>-'A&amp;R'!P34</f>
        <v>-213000000</v>
      </c>
      <c r="M140" s="5" t="s">
        <v>1142</v>
      </c>
      <c r="N140" s="13">
        <f>'A&amp;R'!T16</f>
        <v>38000000</v>
      </c>
      <c r="O140" s="13">
        <f>'A&amp;R'!P37</f>
        <v>0</v>
      </c>
    </row>
    <row r="141" spans="2:147">
      <c r="G141" s="5" t="s">
        <v>1082</v>
      </c>
      <c r="H141" s="13">
        <f>-'A&amp;R'!P41</f>
        <v>-24000000</v>
      </c>
      <c r="M141" s="5" t="s">
        <v>618</v>
      </c>
      <c r="N141" s="13">
        <f>'A&amp;R'!T17</f>
        <v>0</v>
      </c>
      <c r="O141" s="13"/>
    </row>
    <row r="142" spans="2:147">
      <c r="G142" s="5" t="s">
        <v>1083</v>
      </c>
      <c r="H142" s="13">
        <f>-'A&amp;R'!P42</f>
        <v>-50000000</v>
      </c>
      <c r="M142" s="5" t="s">
        <v>1116</v>
      </c>
      <c r="N142" s="13">
        <f>'A&amp;R'!T18</f>
        <v>24000000</v>
      </c>
      <c r="O142" s="13">
        <f>'A&amp;R'!P41</f>
        <v>24000000</v>
      </c>
    </row>
    <row r="143" spans="2:147">
      <c r="G143" s="5" t="s">
        <v>1087</v>
      </c>
      <c r="H143" s="13">
        <v>0</v>
      </c>
      <c r="M143" s="5" t="s">
        <v>1117</v>
      </c>
      <c r="N143" s="13">
        <f>'A&amp;R'!T19</f>
        <v>50000000</v>
      </c>
      <c r="O143" s="13">
        <f>'A&amp;R'!P42</f>
        <v>50000000</v>
      </c>
    </row>
    <row r="144" spans="2:147">
      <c r="G144" s="5" t="s">
        <v>1119</v>
      </c>
      <c r="H144" s="13">
        <f>-'A&amp;R'!P44</f>
        <v>-14800000</v>
      </c>
      <c r="M144" s="5" t="s">
        <v>1118</v>
      </c>
      <c r="N144" s="13">
        <f>'A&amp;R'!T20</f>
        <v>10000000</v>
      </c>
      <c r="O144" s="13">
        <v>0</v>
      </c>
    </row>
    <row r="145" spans="6:16">
      <c r="G145" s="5" t="s">
        <v>1120</v>
      </c>
      <c r="H145" s="13">
        <v>-10146293.270876393</v>
      </c>
      <c r="M145" s="5" t="s">
        <v>225</v>
      </c>
      <c r="N145" s="13">
        <f>'A&amp;R'!T21</f>
        <v>14800000</v>
      </c>
      <c r="O145" s="13">
        <f>'A&amp;R'!P44</f>
        <v>14800000</v>
      </c>
    </row>
    <row r="146" spans="6:16">
      <c r="F146" s="5" t="b">
        <f>H146=I114</f>
        <v>0</v>
      </c>
      <c r="G146" s="5" t="s">
        <v>552</v>
      </c>
      <c r="H146" s="13">
        <f>SUM(H137:H145)</f>
        <v>60575534.774440959</v>
      </c>
      <c r="M146" s="180" t="s">
        <v>1143</v>
      </c>
      <c r="N146" s="860">
        <f>'A&amp;R'!T22</f>
        <v>0</v>
      </c>
      <c r="O146" s="860">
        <v>0</v>
      </c>
    </row>
    <row r="147" spans="6:16">
      <c r="M147" s="5" t="s">
        <v>59</v>
      </c>
      <c r="N147" s="13">
        <f>SUM(N138:N146)</f>
        <v>298900000</v>
      </c>
      <c r="O147" s="13">
        <f>SUM(O138:O146)</f>
        <v>303900000</v>
      </c>
      <c r="P147" s="13">
        <f>O147-N147</f>
        <v>5000000</v>
      </c>
    </row>
    <row r="149" spans="6:16">
      <c r="G149" s="5" t="s">
        <v>1137</v>
      </c>
      <c r="H149" s="13">
        <f ca="1">SUM(J98,J103,J108,J113)</f>
        <v>-55410000</v>
      </c>
    </row>
    <row r="150" spans="6:16">
      <c r="G150" s="5" t="s">
        <v>1138</v>
      </c>
      <c r="H150" s="13">
        <f ca="1">J14</f>
        <v>45263706.729123607</v>
      </c>
    </row>
    <row r="151" spans="6:16">
      <c r="G151" s="5" t="s">
        <v>1139</v>
      </c>
      <c r="H151" s="13">
        <f ca="1">SUM(H149:H150)</f>
        <v>-10146293.270876393</v>
      </c>
    </row>
  </sheetData>
  <phoneticPr fontId="2" type="noConversion"/>
  <conditionalFormatting sqref="L122:EQ122">
    <cfRule type="cellIs" dxfId="3" priority="1" operator="less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A77" workbookViewId="0">
      <selection activeCell="N98" sqref="L98:N98"/>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1077</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45263706.729123607</v>
      </c>
      <c r="L9" s="216">
        <f t="shared" ref="L9:BW9" ca="1" si="8">SUM(L10,L17,L29,L35,L44)</f>
        <v>-12856669.630531998</v>
      </c>
      <c r="M9" s="217">
        <f t="shared" ca="1" si="8"/>
        <v>15592490.334935492</v>
      </c>
      <c r="N9" s="217">
        <f t="shared" ca="1" si="8"/>
        <v>2984091.1488969577</v>
      </c>
      <c r="O9" s="217">
        <f t="shared" ca="1" si="8"/>
        <v>-1642179.8316380335</v>
      </c>
      <c r="P9" s="217">
        <f t="shared" ca="1" si="8"/>
        <v>4303808.6596519183</v>
      </c>
      <c r="Q9" s="217">
        <f t="shared" ca="1" si="8"/>
        <v>4746244.916366417</v>
      </c>
      <c r="R9" s="217">
        <f t="shared" ca="1" si="8"/>
        <v>5818856.9134662123</v>
      </c>
      <c r="S9" s="217">
        <f t="shared" ca="1" si="8"/>
        <v>6282167.3698893627</v>
      </c>
      <c r="T9" s="217">
        <f t="shared" ca="1" si="8"/>
        <v>5860406.5386706991</v>
      </c>
      <c r="U9" s="217">
        <f t="shared" ca="1" si="8"/>
        <v>6859289.4517888119</v>
      </c>
      <c r="V9" s="217">
        <f t="shared" ca="1" si="8"/>
        <v>7315200.857627729</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175149083.02034268</v>
      </c>
      <c r="K10" s="98"/>
      <c r="L10" s="162">
        <f>SUM(L11:L16)</f>
        <v>0</v>
      </c>
      <c r="M10" s="162">
        <f t="shared" ref="M10:BX10" ca="1" si="10">SUM(M11:M16)</f>
        <v>15697002.580116848</v>
      </c>
      <c r="N10" s="162">
        <f t="shared" ca="1" si="10"/>
        <v>15924998.215089543</v>
      </c>
      <c r="O10" s="162">
        <f t="shared" ca="1" si="10"/>
        <v>11680879.6553983</v>
      </c>
      <c r="P10" s="162">
        <f t="shared" ca="1" si="10"/>
        <v>17592299.237303868</v>
      </c>
      <c r="Q10" s="162">
        <f t="shared" ca="1" si="10"/>
        <v>18002415.00183538</v>
      </c>
      <c r="R10" s="162">
        <f t="shared" ca="1" si="10"/>
        <v>18441466.01072802</v>
      </c>
      <c r="S10" s="162">
        <f t="shared" ca="1" si="10"/>
        <v>18911061.988316692</v>
      </c>
      <c r="T10" s="162">
        <f t="shared" ca="1" si="10"/>
        <v>19181713.09504474</v>
      </c>
      <c r="U10" s="162">
        <f t="shared" ca="1" si="10"/>
        <v>19587290.575695992</v>
      </c>
      <c r="V10" s="162">
        <f t="shared" ca="1" si="10"/>
        <v>20129956.66081325</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1022</v>
      </c>
      <c r="H15" s="90"/>
      <c r="I15" s="222"/>
      <c r="J15" s="171">
        <f t="shared" ca="1" si="12"/>
        <v>1737468.0866062995</v>
      </c>
      <c r="K15" s="98"/>
      <c r="L15" s="171">
        <f>SUMIF('CF(M)'!$L$11:$EQ$11,L$6,'CF(M)'!$L20:$EQ20)</f>
        <v>0</v>
      </c>
      <c r="M15" s="171">
        <f ca="1">SUMIF('CF(M)'!$L$11:$EQ$11,M$6,'CF(M)'!$L20:$EQ20)</f>
        <v>359902.36084050324</v>
      </c>
      <c r="N15" s="171">
        <f ca="1">SUMIF('CF(M)'!$L$11:$EQ$11,N$6,'CF(M)'!$L20:$EQ20)</f>
        <v>242138.80670389609</v>
      </c>
      <c r="O15" s="171">
        <f ca="1">SUMIF('CF(M)'!$L$11:$EQ$11,O$6,'CF(M)'!$L20:$EQ20)</f>
        <v>314207.54386678146</v>
      </c>
      <c r="P15" s="171">
        <f ca="1">SUMIF('CF(M)'!$L$11:$EQ$11,P$6,'CF(M)'!$L20:$EQ20)</f>
        <v>109527.95803387181</v>
      </c>
      <c r="Q15" s="171">
        <f ca="1">SUMIF('CF(M)'!$L$11:$EQ$11,Q$6,'CF(M)'!$L20:$EQ20)</f>
        <v>78224.984095024527</v>
      </c>
      <c r="R15" s="171">
        <f ca="1">SUMIF('CF(M)'!$L$11:$EQ$11,R$6,'CF(M)'!$L20:$EQ20)</f>
        <v>74711.826916761289</v>
      </c>
      <c r="S15" s="171">
        <f ca="1">SUMIF('CF(M)'!$L$11:$EQ$11,S$6,'CF(M)'!$L20:$EQ20)</f>
        <v>90679.534282754219</v>
      </c>
      <c r="T15" s="171">
        <f ca="1">SUMIF('CF(M)'!$L$11:$EQ$11,T$6,'CF(M)'!$L20:$EQ20)</f>
        <v>117311.61727770936</v>
      </c>
      <c r="U15" s="171">
        <f ca="1">SUMIF('CF(M)'!$L$11:$EQ$11,U$6,'CF(M)'!$L20:$EQ20)</f>
        <v>145042.48996142819</v>
      </c>
      <c r="V15" s="171">
        <f ca="1">SUMIF('CF(M)'!$L$11:$EQ$11,V$6,'CF(M)'!$L20:$EQ20)</f>
        <v>205720.96462756957</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9"/>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50"/>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616</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-4390000</v>
      </c>
      <c r="K60" s="98"/>
      <c r="L60" s="171">
        <f>SUMIF('CF(M)'!$L$11:$EQ$11,L$6,'CF(M)'!$L65:$EQ65)</f>
        <v>-4390000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-235384.77486795187</v>
      </c>
      <c r="K61" s="98"/>
      <c r="L61" s="171">
        <f>SUMIF('CF(M)'!$L$11:$EQ$11,L$6,'CF(M)'!$L66:$EQ66)</f>
        <v>-235384.77486795187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-115985534.77444097</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-5430000</v>
      </c>
      <c r="Q62" s="216">
        <f t="shared" ca="1" si="28"/>
        <v>-5297785.5976807615</v>
      </c>
      <c r="R62" s="216">
        <f t="shared" ca="1" si="28"/>
        <v>-5562214.4023192385</v>
      </c>
      <c r="S62" s="216">
        <f t="shared" ca="1" si="28"/>
        <v>-5430000</v>
      </c>
      <c r="T62" s="216">
        <f t="shared" ca="1" si="28"/>
        <v>-5430000</v>
      </c>
      <c r="U62" s="216">
        <f t="shared" ca="1" si="28"/>
        <v>-5430000</v>
      </c>
      <c r="V62" s="216">
        <f t="shared" ca="1" si="28"/>
        <v>-369905534.774441</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618</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552</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-49615106.954888195</v>
      </c>
      <c r="K95" s="98"/>
      <c r="L95" s="162">
        <f ca="1">SUM(L96:L99)</f>
        <v>50000000</v>
      </c>
      <c r="M95" s="162">
        <f t="shared" ref="M95:BX95" ca="1" si="51">SUM(M96:M99)</f>
        <v>-3750000</v>
      </c>
      <c r="N95" s="162">
        <f t="shared" ca="1" si="51"/>
        <v>-3750000</v>
      </c>
      <c r="O95" s="162">
        <f t="shared" ca="1" si="51"/>
        <v>-3750000</v>
      </c>
      <c r="P95" s="162">
        <f t="shared" ca="1" si="51"/>
        <v>-3750000</v>
      </c>
      <c r="Q95" s="162">
        <f t="shared" ca="1" si="51"/>
        <v>-3617785.5976807615</v>
      </c>
      <c r="R95" s="162">
        <f t="shared" ca="1" si="51"/>
        <v>-3882214.4023192385</v>
      </c>
      <c r="S95" s="162">
        <f t="shared" ca="1" si="51"/>
        <v>-3750000</v>
      </c>
      <c r="T95" s="162">
        <f t="shared" ca="1" si="51"/>
        <v>-3750000</v>
      </c>
      <c r="U95" s="162">
        <f t="shared" ca="1" si="51"/>
        <v>-3750000</v>
      </c>
      <c r="V95" s="162">
        <f t="shared" ca="1" si="51"/>
        <v>-65865106.954888195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552</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-3750000</v>
      </c>
      <c r="Q98" s="171">
        <f ca="1">SUMIF('CF(M)'!$L$11:$EQ$11,Q$6,'CF(M)'!$L103:$EQ103)</f>
        <v>-3617785.5976807615</v>
      </c>
      <c r="R98" s="171">
        <f ca="1">SUMIF('CF(M)'!$L$11:$EQ$11,R$6,'CF(M)'!$L103:$EQ103)</f>
        <v>-3882214.4023192385</v>
      </c>
      <c r="S98" s="171">
        <f ca="1">SUMIF('CF(M)'!$L$11:$EQ$11,S$6,'CF(M)'!$L103:$EQ103)</f>
        <v>-3750000</v>
      </c>
      <c r="T98" s="171">
        <f ca="1">SUMIF('CF(M)'!$L$11:$EQ$11,T$6,'CF(M)'!$L103:$EQ103)</f>
        <v>-3750000</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-12115106.954888193</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-12115106.954888193</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552</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-49570427.819552772</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-63260427.819552772</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552</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-48460427.819552772</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-48460427.819552772</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552</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-3804179.2955965046</v>
      </c>
      <c r="N115" s="235">
        <f t="shared" ca="1" si="59"/>
        <v>2554091.1488969577</v>
      </c>
      <c r="O115" s="235">
        <f t="shared" ca="1" si="59"/>
        <v>-7072179.8316380335</v>
      </c>
      <c r="P115" s="235">
        <f t="shared" ca="1" si="59"/>
        <v>-1126191.3403480817</v>
      </c>
      <c r="Q115" s="235">
        <f t="shared" ca="1" si="59"/>
        <v>-551540.68131434452</v>
      </c>
      <c r="R115" s="235">
        <f t="shared" ca="1" si="59"/>
        <v>256642.51114697382</v>
      </c>
      <c r="S115" s="235">
        <f t="shared" ca="1" si="59"/>
        <v>852167.36988936272</v>
      </c>
      <c r="T115" s="235">
        <f t="shared" ca="1" si="59"/>
        <v>430406.53867069911</v>
      </c>
      <c r="U115" s="235">
        <f t="shared" ca="1" si="59"/>
        <v>1429289.4517888119</v>
      </c>
      <c r="V115" s="235">
        <f t="shared" ca="1" si="59"/>
        <v>-2968505.8714959025</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6195820.7044034954</v>
      </c>
      <c r="O116" s="216">
        <f t="shared" ca="1" si="61"/>
        <v>8749911.8533004522</v>
      </c>
      <c r="P116" s="216">
        <f t="shared" ca="1" si="61"/>
        <v>1677732.0216624187</v>
      </c>
      <c r="Q116" s="216">
        <f t="shared" ca="1" si="61"/>
        <v>551540.68131433707</v>
      </c>
      <c r="R116" s="216">
        <f t="shared" ca="1" si="61"/>
        <v>-7.4505805969238281E-9</v>
      </c>
      <c r="S116" s="216">
        <f t="shared" ca="1" si="61"/>
        <v>256642.51114696637</v>
      </c>
      <c r="T116" s="216">
        <f t="shared" ca="1" si="61"/>
        <v>1108809.8810363291</v>
      </c>
      <c r="U116" s="216">
        <f t="shared" ca="1" si="61"/>
        <v>1539216.4197070282</v>
      </c>
      <c r="V116" s="216">
        <f t="shared" ca="1" si="61"/>
        <v>2968505.8714958401</v>
      </c>
      <c r="W116" s="216">
        <f t="shared" ca="1" si="61"/>
        <v>-6.2398612499237061E-8</v>
      </c>
      <c r="X116" s="216">
        <f t="shared" ca="1" si="61"/>
        <v>-6.2398612499237061E-8</v>
      </c>
      <c r="Y116" s="216">
        <f t="shared" ca="1" si="61"/>
        <v>-6.2398612499237061E-8</v>
      </c>
      <c r="Z116" s="216">
        <f t="shared" ca="1" si="61"/>
        <v>-6.2398612499237061E-8</v>
      </c>
      <c r="AA116" s="216">
        <f t="shared" ca="1" si="61"/>
        <v>-6.2398612499237061E-8</v>
      </c>
      <c r="AB116" s="216">
        <f t="shared" ca="1" si="61"/>
        <v>-6.2398612499237061E-8</v>
      </c>
      <c r="AC116" s="216">
        <f t="shared" ca="1" si="61"/>
        <v>-6.2398612499237061E-8</v>
      </c>
      <c r="AD116" s="216">
        <f t="shared" ca="1" si="61"/>
        <v>-6.2398612499237061E-8</v>
      </c>
      <c r="AE116" s="216">
        <f t="shared" ca="1" si="61"/>
        <v>-6.2398612499237061E-8</v>
      </c>
      <c r="AF116" s="216">
        <f t="shared" ca="1" si="61"/>
        <v>-6.2398612499237061E-8</v>
      </c>
      <c r="AG116" s="216">
        <f t="shared" ca="1" si="61"/>
        <v>-6.2398612499237061E-8</v>
      </c>
      <c r="AH116" s="216">
        <f t="shared" ca="1" si="61"/>
        <v>-6.2398612499237061E-8</v>
      </c>
      <c r="AI116" s="216">
        <f t="shared" ca="1" si="61"/>
        <v>-6.2398612499237061E-8</v>
      </c>
      <c r="AJ116" s="216">
        <f t="shared" ca="1" si="61"/>
        <v>-6.2398612499237061E-8</v>
      </c>
      <c r="AK116" s="216">
        <f t="shared" ca="1" si="61"/>
        <v>-6.2398612499237061E-8</v>
      </c>
      <c r="AL116" s="216">
        <f t="shared" ca="1" si="61"/>
        <v>-6.2398612499237061E-8</v>
      </c>
      <c r="AM116" s="216">
        <f t="shared" ca="1" si="61"/>
        <v>-6.2398612499237061E-8</v>
      </c>
      <c r="AN116" s="216">
        <f t="shared" ca="1" si="61"/>
        <v>-6.2398612499237061E-8</v>
      </c>
      <c r="AO116" s="216">
        <f t="shared" ca="1" si="61"/>
        <v>-6.2398612499237061E-8</v>
      </c>
      <c r="AP116" s="216">
        <f t="shared" ca="1" si="61"/>
        <v>-6.2398612499237061E-8</v>
      </c>
      <c r="AQ116" s="216">
        <f t="shared" ca="1" si="61"/>
        <v>-6.2398612499237061E-8</v>
      </c>
      <c r="AR116" s="216">
        <f t="shared" ca="1" si="61"/>
        <v>-6.2398612499237061E-8</v>
      </c>
      <c r="AS116" s="216">
        <f t="shared" ca="1" si="61"/>
        <v>-6.2398612499237061E-8</v>
      </c>
      <c r="AT116" s="216">
        <f t="shared" ca="1" si="61"/>
        <v>-6.2398612499237061E-8</v>
      </c>
      <c r="AU116" s="216">
        <f t="shared" ca="1" si="61"/>
        <v>-6.2398612499237061E-8</v>
      </c>
      <c r="AV116" s="216">
        <f t="shared" ca="1" si="61"/>
        <v>-6.2398612499237061E-8</v>
      </c>
      <c r="AW116" s="216">
        <f t="shared" ca="1" si="61"/>
        <v>-6.2398612499237061E-8</v>
      </c>
      <c r="AX116" s="216">
        <f t="shared" ca="1" si="61"/>
        <v>-6.2398612499237061E-8</v>
      </c>
      <c r="AY116" s="216">
        <f t="shared" ca="1" si="61"/>
        <v>-6.2398612499237061E-8</v>
      </c>
      <c r="AZ116" s="216">
        <f t="shared" ca="1" si="61"/>
        <v>-6.2398612499237061E-8</v>
      </c>
      <c r="BA116" s="216">
        <f t="shared" ca="1" si="61"/>
        <v>-6.2398612499237061E-8</v>
      </c>
      <c r="BB116" s="216">
        <f t="shared" ca="1" si="61"/>
        <v>-6.2398612499237061E-8</v>
      </c>
      <c r="BC116" s="216">
        <f t="shared" ca="1" si="61"/>
        <v>-6.2398612499237061E-8</v>
      </c>
      <c r="BD116" s="216">
        <f t="shared" ca="1" si="61"/>
        <v>-6.2398612499237061E-8</v>
      </c>
      <c r="BE116" s="216">
        <f t="shared" ca="1" si="61"/>
        <v>-6.2398612499237061E-8</v>
      </c>
      <c r="BF116" s="216">
        <f t="shared" ca="1" si="61"/>
        <v>-6.2398612499237061E-8</v>
      </c>
      <c r="BG116" s="216">
        <f t="shared" ca="1" si="61"/>
        <v>-6.2398612499237061E-8</v>
      </c>
      <c r="BH116" s="216">
        <f t="shared" ca="1" si="61"/>
        <v>-6.2398612499237061E-8</v>
      </c>
      <c r="BI116" s="216">
        <f t="shared" ca="1" si="61"/>
        <v>-6.2398612499237061E-8</v>
      </c>
      <c r="BJ116" s="216">
        <f t="shared" ca="1" si="61"/>
        <v>-6.2398612499237061E-8</v>
      </c>
      <c r="BK116" s="216">
        <f t="shared" ca="1" si="61"/>
        <v>-6.2398612499237061E-8</v>
      </c>
      <c r="BL116" s="216">
        <f t="shared" ca="1" si="61"/>
        <v>-6.2398612499237061E-8</v>
      </c>
      <c r="BM116" s="216">
        <f t="shared" ca="1" si="61"/>
        <v>-6.2398612499237061E-8</v>
      </c>
      <c r="BN116" s="216">
        <f t="shared" ca="1" si="61"/>
        <v>-6.2398612499237061E-8</v>
      </c>
      <c r="BO116" s="216">
        <f t="shared" ca="1" si="61"/>
        <v>-6.2398612499237061E-8</v>
      </c>
      <c r="BP116" s="216">
        <f t="shared" ca="1" si="61"/>
        <v>-6.2398612499237061E-8</v>
      </c>
      <c r="BQ116" s="216">
        <f t="shared" ca="1" si="61"/>
        <v>-6.2398612499237061E-8</v>
      </c>
      <c r="BR116" s="216">
        <f t="shared" ca="1" si="61"/>
        <v>-6.2398612499237061E-8</v>
      </c>
      <c r="BS116" s="216">
        <f t="shared" ca="1" si="61"/>
        <v>-6.2398612499237061E-8</v>
      </c>
      <c r="BT116" s="216">
        <f t="shared" ca="1" si="61"/>
        <v>-6.2398612499237061E-8</v>
      </c>
      <c r="BU116" s="216">
        <f t="shared" ca="1" si="61"/>
        <v>-6.2398612499237061E-8</v>
      </c>
      <c r="BV116" s="216">
        <f t="shared" ca="1" si="61"/>
        <v>-6.2398612499237061E-8</v>
      </c>
      <c r="BW116" s="216">
        <f t="shared" ca="1" si="61"/>
        <v>-6.2398612499237061E-8</v>
      </c>
      <c r="BX116" s="216">
        <f t="shared" ca="1" si="61"/>
        <v>-6.2398612499237061E-8</v>
      </c>
      <c r="BY116" s="216">
        <f t="shared" ca="1" si="61"/>
        <v>-6.2398612499237061E-8</v>
      </c>
      <c r="BZ116" s="216">
        <f t="shared" ref="BZ116:DV116" ca="1" si="62">BY117</f>
        <v>-6.2398612499237061E-8</v>
      </c>
      <c r="CA116" s="216">
        <f t="shared" ca="1" si="62"/>
        <v>-6.2398612499237061E-8</v>
      </c>
      <c r="CB116" s="216">
        <f t="shared" ca="1" si="62"/>
        <v>-6.2398612499237061E-8</v>
      </c>
      <c r="CC116" s="216">
        <f t="shared" ca="1" si="62"/>
        <v>-6.2398612499237061E-8</v>
      </c>
      <c r="CD116" s="216">
        <f t="shared" ca="1" si="62"/>
        <v>-6.2398612499237061E-8</v>
      </c>
      <c r="CE116" s="216">
        <f t="shared" ca="1" si="62"/>
        <v>-6.2398612499237061E-8</v>
      </c>
      <c r="CF116" s="216">
        <f t="shared" ca="1" si="62"/>
        <v>-6.2398612499237061E-8</v>
      </c>
      <c r="CG116" s="216">
        <f t="shared" ca="1" si="62"/>
        <v>-6.2398612499237061E-8</v>
      </c>
      <c r="CH116" s="216">
        <f t="shared" ca="1" si="62"/>
        <v>-6.2398612499237061E-8</v>
      </c>
      <c r="CI116" s="216">
        <f t="shared" ca="1" si="62"/>
        <v>-6.2398612499237061E-8</v>
      </c>
      <c r="CJ116" s="216">
        <f t="shared" ca="1" si="62"/>
        <v>-6.2398612499237061E-8</v>
      </c>
      <c r="CK116" s="216">
        <f t="shared" ca="1" si="62"/>
        <v>-6.2398612499237061E-8</v>
      </c>
      <c r="CL116" s="216">
        <f t="shared" ca="1" si="62"/>
        <v>-6.2398612499237061E-8</v>
      </c>
      <c r="CM116" s="216">
        <f t="shared" ca="1" si="62"/>
        <v>-6.2398612499237061E-8</v>
      </c>
      <c r="CN116" s="216">
        <f t="shared" ca="1" si="62"/>
        <v>-6.2398612499237061E-8</v>
      </c>
      <c r="CO116" s="216">
        <f t="shared" ca="1" si="62"/>
        <v>-6.2398612499237061E-8</v>
      </c>
      <c r="CP116" s="216">
        <f t="shared" ca="1" si="62"/>
        <v>-6.2398612499237061E-8</v>
      </c>
      <c r="CQ116" s="216">
        <f t="shared" ca="1" si="62"/>
        <v>-6.2398612499237061E-8</v>
      </c>
      <c r="CR116" s="216">
        <f t="shared" ca="1" si="62"/>
        <v>-6.2398612499237061E-8</v>
      </c>
      <c r="CS116" s="216">
        <f t="shared" ca="1" si="62"/>
        <v>-6.2398612499237061E-8</v>
      </c>
      <c r="CT116" s="216">
        <f t="shared" ca="1" si="62"/>
        <v>-6.2398612499237061E-8</v>
      </c>
      <c r="CU116" s="216">
        <f t="shared" ca="1" si="62"/>
        <v>-6.2398612499237061E-8</v>
      </c>
      <c r="CV116" s="216">
        <f t="shared" ca="1" si="62"/>
        <v>-6.2398612499237061E-8</v>
      </c>
      <c r="CW116" s="216">
        <f t="shared" ca="1" si="62"/>
        <v>-6.2398612499237061E-8</v>
      </c>
      <c r="CX116" s="216">
        <f t="shared" ca="1" si="62"/>
        <v>-6.2398612499237061E-8</v>
      </c>
      <c r="CY116" s="216">
        <f t="shared" ca="1" si="62"/>
        <v>-6.2398612499237061E-8</v>
      </c>
      <c r="CZ116" s="216">
        <f t="shared" ca="1" si="62"/>
        <v>-6.2398612499237061E-8</v>
      </c>
      <c r="DA116" s="216">
        <f t="shared" ca="1" si="62"/>
        <v>-6.2398612499237061E-8</v>
      </c>
      <c r="DB116" s="216">
        <f t="shared" ca="1" si="62"/>
        <v>-6.2398612499237061E-8</v>
      </c>
      <c r="DC116" s="216">
        <f t="shared" ca="1" si="62"/>
        <v>-6.2398612499237061E-8</v>
      </c>
      <c r="DD116" s="216">
        <f t="shared" ca="1" si="62"/>
        <v>-6.2398612499237061E-8</v>
      </c>
      <c r="DE116" s="216">
        <f t="shared" ca="1" si="62"/>
        <v>-6.2398612499237061E-8</v>
      </c>
      <c r="DF116" s="216">
        <f t="shared" ca="1" si="62"/>
        <v>-6.2398612499237061E-8</v>
      </c>
      <c r="DG116" s="216">
        <f t="shared" ca="1" si="62"/>
        <v>-6.2398612499237061E-8</v>
      </c>
      <c r="DH116" s="216">
        <f t="shared" ca="1" si="62"/>
        <v>-6.2398612499237061E-8</v>
      </c>
      <c r="DI116" s="216">
        <f t="shared" ca="1" si="62"/>
        <v>-6.2398612499237061E-8</v>
      </c>
      <c r="DJ116" s="216">
        <f t="shared" ca="1" si="62"/>
        <v>-6.2398612499237061E-8</v>
      </c>
      <c r="DK116" s="216">
        <f t="shared" ca="1" si="62"/>
        <v>-6.2398612499237061E-8</v>
      </c>
      <c r="DL116" s="216">
        <f t="shared" ca="1" si="62"/>
        <v>-6.2398612499237061E-8</v>
      </c>
      <c r="DM116" s="216">
        <f t="shared" ca="1" si="62"/>
        <v>-6.2398612499237061E-8</v>
      </c>
      <c r="DN116" s="216">
        <f t="shared" ca="1" si="62"/>
        <v>-6.2398612499237061E-8</v>
      </c>
      <c r="DO116" s="216">
        <f t="shared" ca="1" si="62"/>
        <v>-6.2398612499237061E-8</v>
      </c>
      <c r="DP116" s="216">
        <f t="shared" ca="1" si="62"/>
        <v>-6.2398612499237061E-8</v>
      </c>
      <c r="DQ116" s="216">
        <f t="shared" ca="1" si="62"/>
        <v>-6.2398612499237061E-8</v>
      </c>
      <c r="DR116" s="216">
        <f t="shared" ca="1" si="62"/>
        <v>-6.2398612499237061E-8</v>
      </c>
      <c r="DS116" s="216">
        <f t="shared" ca="1" si="62"/>
        <v>-6.2398612499237061E-8</v>
      </c>
      <c r="DT116" s="216">
        <f t="shared" ca="1" si="62"/>
        <v>-6.2398612499237061E-8</v>
      </c>
      <c r="DU116" s="216">
        <f t="shared" ca="1" si="62"/>
        <v>-6.2398612499237061E-8</v>
      </c>
      <c r="DV116" s="216">
        <f t="shared" ca="1" si="62"/>
        <v>-6.2398612499237061E-8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6195820.7044034954</v>
      </c>
      <c r="N117" s="235">
        <f t="shared" ca="1" si="63"/>
        <v>8749911.8533004522</v>
      </c>
      <c r="O117" s="235">
        <f t="shared" ca="1" si="63"/>
        <v>1677732.0216624187</v>
      </c>
      <c r="P117" s="235">
        <f t="shared" ca="1" si="63"/>
        <v>551540.68131433707</v>
      </c>
      <c r="Q117" s="235">
        <f t="shared" ca="1" si="63"/>
        <v>-7.4505805969238281E-9</v>
      </c>
      <c r="R117" s="235">
        <f t="shared" ca="1" si="63"/>
        <v>256642.51114696637</v>
      </c>
      <c r="S117" s="235">
        <f t="shared" ca="1" si="63"/>
        <v>1108809.8810363291</v>
      </c>
      <c r="T117" s="235">
        <f t="shared" ca="1" si="63"/>
        <v>1539216.4197070282</v>
      </c>
      <c r="U117" s="235">
        <f t="shared" ca="1" si="63"/>
        <v>2968505.8714958401</v>
      </c>
      <c r="V117" s="235">
        <f t="shared" ca="1" si="63"/>
        <v>-6.2398612499237061E-8</v>
      </c>
      <c r="W117" s="235">
        <f t="shared" ca="1" si="63"/>
        <v>-6.2398612499237061E-8</v>
      </c>
      <c r="X117" s="235">
        <f t="shared" ca="1" si="63"/>
        <v>-6.2398612499237061E-8</v>
      </c>
      <c r="Y117" s="235">
        <f t="shared" ca="1" si="63"/>
        <v>-6.2398612499237061E-8</v>
      </c>
      <c r="Z117" s="235">
        <f t="shared" ca="1" si="63"/>
        <v>-6.2398612499237061E-8</v>
      </c>
      <c r="AA117" s="235">
        <f t="shared" ca="1" si="63"/>
        <v>-6.2398612499237061E-8</v>
      </c>
      <c r="AB117" s="235">
        <f t="shared" ca="1" si="63"/>
        <v>-6.2398612499237061E-8</v>
      </c>
      <c r="AC117" s="235">
        <f t="shared" ca="1" si="63"/>
        <v>-6.2398612499237061E-8</v>
      </c>
      <c r="AD117" s="235">
        <f t="shared" ca="1" si="63"/>
        <v>-6.2398612499237061E-8</v>
      </c>
      <c r="AE117" s="235">
        <f t="shared" ca="1" si="63"/>
        <v>-6.2398612499237061E-8</v>
      </c>
      <c r="AF117" s="235">
        <f t="shared" ca="1" si="63"/>
        <v>-6.2398612499237061E-8</v>
      </c>
      <c r="AG117" s="235">
        <f t="shared" ca="1" si="63"/>
        <v>-6.2398612499237061E-8</v>
      </c>
      <c r="AH117" s="235">
        <f t="shared" ca="1" si="63"/>
        <v>-6.2398612499237061E-8</v>
      </c>
      <c r="AI117" s="235">
        <f t="shared" ca="1" si="63"/>
        <v>-6.2398612499237061E-8</v>
      </c>
      <c r="AJ117" s="235">
        <f t="shared" ca="1" si="63"/>
        <v>-6.2398612499237061E-8</v>
      </c>
      <c r="AK117" s="235">
        <f t="shared" ca="1" si="63"/>
        <v>-6.2398612499237061E-8</v>
      </c>
      <c r="AL117" s="235">
        <f t="shared" ca="1" si="63"/>
        <v>-6.2398612499237061E-8</v>
      </c>
      <c r="AM117" s="235">
        <f t="shared" ca="1" si="63"/>
        <v>-6.2398612499237061E-8</v>
      </c>
      <c r="AN117" s="235">
        <f t="shared" ca="1" si="63"/>
        <v>-6.2398612499237061E-8</v>
      </c>
      <c r="AO117" s="235">
        <f t="shared" ca="1" si="63"/>
        <v>-6.2398612499237061E-8</v>
      </c>
      <c r="AP117" s="235">
        <f t="shared" ca="1" si="63"/>
        <v>-6.2398612499237061E-8</v>
      </c>
      <c r="AQ117" s="235">
        <f t="shared" ca="1" si="63"/>
        <v>-6.2398612499237061E-8</v>
      </c>
      <c r="AR117" s="235">
        <f t="shared" ca="1" si="63"/>
        <v>-6.2398612499237061E-8</v>
      </c>
      <c r="AS117" s="235">
        <f t="shared" ca="1" si="63"/>
        <v>-6.2398612499237061E-8</v>
      </c>
      <c r="AT117" s="235">
        <f t="shared" ca="1" si="63"/>
        <v>-6.2398612499237061E-8</v>
      </c>
      <c r="AU117" s="235">
        <f t="shared" ca="1" si="63"/>
        <v>-6.2398612499237061E-8</v>
      </c>
      <c r="AV117" s="235">
        <f t="shared" ca="1" si="63"/>
        <v>-6.2398612499237061E-8</v>
      </c>
      <c r="AW117" s="235">
        <f t="shared" ca="1" si="63"/>
        <v>-6.2398612499237061E-8</v>
      </c>
      <c r="AX117" s="235">
        <f t="shared" ca="1" si="63"/>
        <v>-6.2398612499237061E-8</v>
      </c>
      <c r="AY117" s="235">
        <f t="shared" ca="1" si="63"/>
        <v>-6.2398612499237061E-8</v>
      </c>
      <c r="AZ117" s="235">
        <f t="shared" ca="1" si="63"/>
        <v>-6.2398612499237061E-8</v>
      </c>
      <c r="BA117" s="235">
        <f t="shared" ca="1" si="63"/>
        <v>-6.2398612499237061E-8</v>
      </c>
      <c r="BB117" s="235">
        <f t="shared" ca="1" si="63"/>
        <v>-6.2398612499237061E-8</v>
      </c>
      <c r="BC117" s="235">
        <f t="shared" ca="1" si="63"/>
        <v>-6.2398612499237061E-8</v>
      </c>
      <c r="BD117" s="235">
        <f t="shared" ca="1" si="63"/>
        <v>-6.2398612499237061E-8</v>
      </c>
      <c r="BE117" s="235">
        <f t="shared" ca="1" si="63"/>
        <v>-6.2398612499237061E-8</v>
      </c>
      <c r="BF117" s="235">
        <f t="shared" ca="1" si="63"/>
        <v>-6.2398612499237061E-8</v>
      </c>
      <c r="BG117" s="235">
        <f t="shared" ca="1" si="63"/>
        <v>-6.2398612499237061E-8</v>
      </c>
      <c r="BH117" s="235">
        <f t="shared" ca="1" si="63"/>
        <v>-6.2398612499237061E-8</v>
      </c>
      <c r="BI117" s="235">
        <f t="shared" ca="1" si="63"/>
        <v>-6.2398612499237061E-8</v>
      </c>
      <c r="BJ117" s="235">
        <f t="shared" ca="1" si="63"/>
        <v>-6.2398612499237061E-8</v>
      </c>
      <c r="BK117" s="235">
        <f t="shared" ca="1" si="63"/>
        <v>-6.2398612499237061E-8</v>
      </c>
      <c r="BL117" s="235">
        <f t="shared" ca="1" si="63"/>
        <v>-6.2398612499237061E-8</v>
      </c>
      <c r="BM117" s="235">
        <f t="shared" ca="1" si="63"/>
        <v>-6.2398612499237061E-8</v>
      </c>
      <c r="BN117" s="235">
        <f t="shared" ca="1" si="63"/>
        <v>-6.2398612499237061E-8</v>
      </c>
      <c r="BO117" s="235">
        <f t="shared" ca="1" si="63"/>
        <v>-6.2398612499237061E-8</v>
      </c>
      <c r="BP117" s="235">
        <f t="shared" ca="1" si="63"/>
        <v>-6.2398612499237061E-8</v>
      </c>
      <c r="BQ117" s="235">
        <f t="shared" ca="1" si="63"/>
        <v>-6.2398612499237061E-8</v>
      </c>
      <c r="BR117" s="235">
        <f t="shared" ca="1" si="63"/>
        <v>-6.2398612499237061E-8</v>
      </c>
      <c r="BS117" s="235">
        <f t="shared" ca="1" si="63"/>
        <v>-6.2398612499237061E-8</v>
      </c>
      <c r="BT117" s="235">
        <f t="shared" ca="1" si="63"/>
        <v>-6.2398612499237061E-8</v>
      </c>
      <c r="BU117" s="235">
        <f t="shared" ca="1" si="63"/>
        <v>-6.2398612499237061E-8</v>
      </c>
      <c r="BV117" s="235">
        <f t="shared" ca="1" si="63"/>
        <v>-6.2398612499237061E-8</v>
      </c>
      <c r="BW117" s="235">
        <f t="shared" ca="1" si="63"/>
        <v>-6.2398612499237061E-8</v>
      </c>
      <c r="BX117" s="235">
        <f t="shared" ca="1" si="63"/>
        <v>-6.2398612499237061E-8</v>
      </c>
      <c r="BY117" s="235">
        <f t="shared" ref="BY117:DV117" ca="1" si="64">BY116+BY115</f>
        <v>-6.2398612499237061E-8</v>
      </c>
      <c r="BZ117" s="235">
        <f t="shared" ca="1" si="64"/>
        <v>-6.2398612499237061E-8</v>
      </c>
      <c r="CA117" s="235">
        <f t="shared" ca="1" si="64"/>
        <v>-6.2398612499237061E-8</v>
      </c>
      <c r="CB117" s="235">
        <f t="shared" ca="1" si="64"/>
        <v>-6.2398612499237061E-8</v>
      </c>
      <c r="CC117" s="235">
        <f t="shared" ca="1" si="64"/>
        <v>-6.2398612499237061E-8</v>
      </c>
      <c r="CD117" s="235">
        <f t="shared" ca="1" si="64"/>
        <v>-6.2398612499237061E-8</v>
      </c>
      <c r="CE117" s="235">
        <f t="shared" ca="1" si="64"/>
        <v>-6.2398612499237061E-8</v>
      </c>
      <c r="CF117" s="235">
        <f t="shared" ca="1" si="64"/>
        <v>-6.2398612499237061E-8</v>
      </c>
      <c r="CG117" s="235">
        <f t="shared" ca="1" si="64"/>
        <v>-6.2398612499237061E-8</v>
      </c>
      <c r="CH117" s="235">
        <f t="shared" ca="1" si="64"/>
        <v>-6.2398612499237061E-8</v>
      </c>
      <c r="CI117" s="235">
        <f t="shared" ca="1" si="64"/>
        <v>-6.2398612499237061E-8</v>
      </c>
      <c r="CJ117" s="235">
        <f t="shared" ca="1" si="64"/>
        <v>-6.2398612499237061E-8</v>
      </c>
      <c r="CK117" s="235">
        <f t="shared" ca="1" si="64"/>
        <v>-6.2398612499237061E-8</v>
      </c>
      <c r="CL117" s="235">
        <f t="shared" ca="1" si="64"/>
        <v>-6.2398612499237061E-8</v>
      </c>
      <c r="CM117" s="235">
        <f t="shared" ca="1" si="64"/>
        <v>-6.2398612499237061E-8</v>
      </c>
      <c r="CN117" s="235">
        <f t="shared" ca="1" si="64"/>
        <v>-6.2398612499237061E-8</v>
      </c>
      <c r="CO117" s="235">
        <f t="shared" ca="1" si="64"/>
        <v>-6.2398612499237061E-8</v>
      </c>
      <c r="CP117" s="235">
        <f t="shared" ca="1" si="64"/>
        <v>-6.2398612499237061E-8</v>
      </c>
      <c r="CQ117" s="235">
        <f t="shared" ca="1" si="64"/>
        <v>-6.2398612499237061E-8</v>
      </c>
      <c r="CR117" s="235">
        <f t="shared" ca="1" si="64"/>
        <v>-6.2398612499237061E-8</v>
      </c>
      <c r="CS117" s="235">
        <f t="shared" ca="1" si="64"/>
        <v>-6.2398612499237061E-8</v>
      </c>
      <c r="CT117" s="235">
        <f t="shared" ca="1" si="64"/>
        <v>-6.2398612499237061E-8</v>
      </c>
      <c r="CU117" s="235">
        <f t="shared" ca="1" si="64"/>
        <v>-6.2398612499237061E-8</v>
      </c>
      <c r="CV117" s="235">
        <f t="shared" ca="1" si="64"/>
        <v>-6.2398612499237061E-8</v>
      </c>
      <c r="CW117" s="235">
        <f t="shared" ca="1" si="64"/>
        <v>-6.2398612499237061E-8</v>
      </c>
      <c r="CX117" s="235">
        <f t="shared" ca="1" si="64"/>
        <v>-6.2398612499237061E-8</v>
      </c>
      <c r="CY117" s="235">
        <f t="shared" ca="1" si="64"/>
        <v>-6.2398612499237061E-8</v>
      </c>
      <c r="CZ117" s="235">
        <f t="shared" ca="1" si="64"/>
        <v>-6.2398612499237061E-8</v>
      </c>
      <c r="DA117" s="235">
        <f t="shared" ca="1" si="64"/>
        <v>-6.2398612499237061E-8</v>
      </c>
      <c r="DB117" s="235">
        <f t="shared" ca="1" si="64"/>
        <v>-6.2398612499237061E-8</v>
      </c>
      <c r="DC117" s="235">
        <f t="shared" ca="1" si="64"/>
        <v>-6.2398612499237061E-8</v>
      </c>
      <c r="DD117" s="235">
        <f t="shared" ca="1" si="64"/>
        <v>-6.2398612499237061E-8</v>
      </c>
      <c r="DE117" s="235">
        <f t="shared" ca="1" si="64"/>
        <v>-6.2398612499237061E-8</v>
      </c>
      <c r="DF117" s="235">
        <f t="shared" ca="1" si="64"/>
        <v>-6.2398612499237061E-8</v>
      </c>
      <c r="DG117" s="235">
        <f t="shared" ca="1" si="64"/>
        <v>-6.2398612499237061E-8</v>
      </c>
      <c r="DH117" s="235">
        <f t="shared" ca="1" si="64"/>
        <v>-6.2398612499237061E-8</v>
      </c>
      <c r="DI117" s="235">
        <f t="shared" ca="1" si="64"/>
        <v>-6.2398612499237061E-8</v>
      </c>
      <c r="DJ117" s="235">
        <f t="shared" ca="1" si="64"/>
        <v>-6.2398612499237061E-8</v>
      </c>
      <c r="DK117" s="235">
        <f t="shared" ca="1" si="64"/>
        <v>-6.2398612499237061E-8</v>
      </c>
      <c r="DL117" s="235">
        <f t="shared" ca="1" si="64"/>
        <v>-6.2398612499237061E-8</v>
      </c>
      <c r="DM117" s="235">
        <f t="shared" ca="1" si="64"/>
        <v>-6.2398612499237061E-8</v>
      </c>
      <c r="DN117" s="235">
        <f t="shared" ca="1" si="64"/>
        <v>-6.2398612499237061E-8</v>
      </c>
      <c r="DO117" s="235">
        <f t="shared" ca="1" si="64"/>
        <v>-6.2398612499237061E-8</v>
      </c>
      <c r="DP117" s="235">
        <f t="shared" ca="1" si="64"/>
        <v>-6.2398612499237061E-8</v>
      </c>
      <c r="DQ117" s="235">
        <f t="shared" ca="1" si="64"/>
        <v>-6.2398612499237061E-8</v>
      </c>
      <c r="DR117" s="235">
        <f t="shared" ca="1" si="64"/>
        <v>-6.2398612499237061E-8</v>
      </c>
      <c r="DS117" s="235">
        <f t="shared" ca="1" si="64"/>
        <v>-6.2398612499237061E-8</v>
      </c>
      <c r="DT117" s="235">
        <f t="shared" ca="1" si="64"/>
        <v>-6.2398612499237061E-8</v>
      </c>
      <c r="DU117" s="235">
        <f t="shared" ca="1" si="64"/>
        <v>-6.2398612499237061E-8</v>
      </c>
      <c r="DV117" s="235">
        <f t="shared" ca="1" si="64"/>
        <v>-6.2398612499237061E-8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'CF(M)'!B125</f>
        <v>2종 우선주 CF_매각차익 제외</v>
      </c>
      <c r="C120" s="212"/>
      <c r="D120" s="212"/>
      <c r="E120" s="212"/>
      <c r="F120" s="212"/>
      <c r="G120" s="212"/>
      <c r="H120" s="213"/>
      <c r="I120" s="242">
        <f t="shared" ca="1" si="65"/>
        <v>7.4981282980226993E-2</v>
      </c>
      <c r="J120" s="216">
        <f t="shared" ca="1" si="66"/>
        <v>37500000</v>
      </c>
      <c r="L120" s="216">
        <f ca="1">-(L95-L99)</f>
        <v>-50000000</v>
      </c>
      <c r="M120" s="216">
        <f t="shared" ref="M120:BX120" ca="1" si="71">-(M95-M99)</f>
        <v>3750000</v>
      </c>
      <c r="N120" s="216">
        <f t="shared" ca="1" si="71"/>
        <v>3750000</v>
      </c>
      <c r="O120" s="216">
        <f t="shared" ca="1" si="71"/>
        <v>3750000</v>
      </c>
      <c r="P120" s="216">
        <f t="shared" ca="1" si="71"/>
        <v>3750000</v>
      </c>
      <c r="Q120" s="216">
        <f t="shared" ca="1" si="71"/>
        <v>3617785.5976807615</v>
      </c>
      <c r="R120" s="216">
        <f t="shared" ca="1" si="71"/>
        <v>3882214.4023192385</v>
      </c>
      <c r="S120" s="216">
        <f t="shared" ca="1" si="71"/>
        <v>3750000</v>
      </c>
      <c r="T120" s="216">
        <f t="shared" ca="1" si="71"/>
        <v>3750000</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'CF(M)'!B126</f>
        <v>2종 우선주 CF_매각차익 포함</v>
      </c>
      <c r="C121" s="238"/>
      <c r="D121" s="238"/>
      <c r="E121" s="238"/>
      <c r="F121" s="238"/>
      <c r="G121" s="238"/>
      <c r="H121" s="239"/>
      <c r="I121" s="243">
        <f t="shared" ca="1" si="65"/>
        <v>9.0860657513045506E-2</v>
      </c>
      <c r="J121" s="241">
        <f t="shared" ca="1" si="66"/>
        <v>49615106.954888195</v>
      </c>
      <c r="L121" s="235">
        <f ca="1">-L95</f>
        <v>-50000000</v>
      </c>
      <c r="M121" s="235">
        <f t="shared" ref="M121:BX121" ca="1" si="73">-M95</f>
        <v>3750000</v>
      </c>
      <c r="N121" s="235">
        <f t="shared" ca="1" si="73"/>
        <v>3750000</v>
      </c>
      <c r="O121" s="235">
        <f t="shared" ca="1" si="73"/>
        <v>3750000</v>
      </c>
      <c r="P121" s="235">
        <f t="shared" ca="1" si="73"/>
        <v>3750000</v>
      </c>
      <c r="Q121" s="235">
        <f t="shared" ca="1" si="73"/>
        <v>3617785.5976807615</v>
      </c>
      <c r="R121" s="235">
        <f t="shared" ca="1" si="73"/>
        <v>3882214.4023192385</v>
      </c>
      <c r="S121" s="235">
        <f t="shared" ca="1" si="73"/>
        <v>3750000</v>
      </c>
      <c r="T121" s="235">
        <f t="shared" ca="1" si="73"/>
        <v>3750000</v>
      </c>
      <c r="U121" s="235">
        <f t="shared" ca="1" si="73"/>
        <v>3750000</v>
      </c>
      <c r="V121" s="235">
        <f t="shared" ca="1" si="73"/>
        <v>65865106.954888195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'CF(M)'!B127</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'CF(M)'!B128</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0.16407073000144701</v>
      </c>
      <c r="J125" s="241">
        <f t="shared" ca="1" si="66"/>
        <v>49570427.819552772</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63260427.819552772</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93"/>
  <sheetViews>
    <sheetView showGridLines="0" zoomScale="85" zoomScaleNormal="85" workbookViewId="0">
      <selection activeCell="N21" sqref="N21"/>
    </sheetView>
  </sheetViews>
  <sheetFormatPr defaultColWidth="9" defaultRowHeight="12"/>
  <cols>
    <col min="1" max="1" width="2.625" style="5" customWidth="1"/>
    <col min="2" max="2" width="1.75" style="5" customWidth="1"/>
    <col min="3" max="3" width="1.875" style="5" customWidth="1"/>
    <col min="4" max="7" width="9" style="5"/>
    <col min="8" max="8" width="11.125" style="5" bestFit="1" customWidth="1"/>
    <col min="9" max="9" width="13"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596</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601</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1.25" customHeight="1">
      <c r="B14" s="218"/>
      <c r="C14" s="158" t="s">
        <v>1082</v>
      </c>
      <c r="D14" s="159"/>
      <c r="E14" s="159"/>
      <c r="F14" s="159"/>
      <c r="G14" s="159"/>
      <c r="H14" s="160" t="s">
        <v>1040</v>
      </c>
      <c r="I14" s="1684">
        <f>간주취득세!G105*1000</f>
        <v>215232.60188087777</v>
      </c>
      <c r="J14" s="220">
        <f ca="1">SUM(J15:J18)</f>
        <v>13009534.796238245</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-24215232.601880878</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24624767.398119122</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1.25" customHeight="1">
      <c r="B15" s="218"/>
      <c r="C15" s="163"/>
      <c r="D15" s="164" t="s">
        <v>597</v>
      </c>
      <c r="E15" s="165"/>
      <c r="F15" s="165"/>
      <c r="G15" s="165"/>
      <c r="H15" s="166">
        <f>'A&amp;R'!G111</f>
        <v>47057</v>
      </c>
      <c r="I15" s="228">
        <f>'A&amp;R'!P41*(1+0)+I14</f>
        <v>24215232.601880878</v>
      </c>
      <c r="J15" s="168">
        <f t="shared" ref="J15:J20" si="6">SUM(L15:EQ15)</f>
        <v>-24215232.601880878</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-24215232.601880878</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1.25" customHeight="1">
      <c r="B16" s="218"/>
      <c r="C16" s="163"/>
      <c r="D16" s="169" t="s">
        <v>598</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1.2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1.25" customHeight="1">
      <c r="B18" s="218"/>
      <c r="C18" s="163"/>
      <c r="D18" s="1017" t="s">
        <v>469</v>
      </c>
      <c r="E18" s="1018"/>
      <c r="F18" s="1018"/>
      <c r="G18" s="1019"/>
      <c r="H18" s="1020">
        <f>H17</f>
        <v>47057</v>
      </c>
      <c r="I18" s="1021">
        <f>SUM(J15:J16)</f>
        <v>-215232.60188087821</v>
      </c>
      <c r="J18" s="997">
        <f t="shared" si="6"/>
        <v>-215232.60188087821</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-215232.60188087821</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1.25" customHeight="1">
      <c r="B19" s="218"/>
      <c r="C19" s="163"/>
      <c r="D19" s="169" t="s">
        <v>599</v>
      </c>
      <c r="G19" s="1031" t="s">
        <v>604</v>
      </c>
      <c r="H19" s="1032">
        <f ca="1">(J17/I15)*(12/H20)</f>
        <v>6.9377817988397483E-2</v>
      </c>
      <c r="I19" s="1022">
        <f ca="1">(IRR($L19:$EQ19,0.01)+1)^12-1</f>
        <v>6.9699086115782682E-2</v>
      </c>
      <c r="J19" s="171">
        <f t="shared" ca="1" si="6"/>
        <v>13224767.398119122</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-24215232.601880878</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1.25" customHeight="1">
      <c r="B20" s="218"/>
      <c r="C20" s="163"/>
      <c r="D20" s="169" t="s">
        <v>600</v>
      </c>
      <c r="G20" s="1032"/>
      <c r="H20" s="1030">
        <f>DATEDIF(H15-1,'A&amp;R'!$E$37+1,"m")</f>
        <v>96</v>
      </c>
      <c r="I20" s="1022">
        <f ca="1">(IRR($L20:$EQ20,0.01)+1)^12-1</f>
        <v>6.8811380144469858E-2</v>
      </c>
      <c r="J20" s="171">
        <f t="shared" ca="1" si="6"/>
        <v>13009534.796238244</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-24215232.601880878</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24624767.398119122</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1.2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24215232.601880878</v>
      </c>
      <c r="AL21" s="171">
        <f t="shared" si="15"/>
        <v>24215232.601880878</v>
      </c>
      <c r="AM21" s="171">
        <f t="shared" si="15"/>
        <v>24215232.601880878</v>
      </c>
      <c r="AN21" s="171">
        <f t="shared" si="15"/>
        <v>24215232.601880878</v>
      </c>
      <c r="AO21" s="171">
        <f t="shared" si="15"/>
        <v>24215232.601880878</v>
      </c>
      <c r="AP21" s="171">
        <f t="shared" si="15"/>
        <v>24215232.601880878</v>
      </c>
      <c r="AQ21" s="171">
        <f t="shared" si="15"/>
        <v>24215232.601880878</v>
      </c>
      <c r="AR21" s="171">
        <f t="shared" si="15"/>
        <v>24215232.601880878</v>
      </c>
      <c r="AS21" s="171">
        <f t="shared" si="15"/>
        <v>24215232.601880878</v>
      </c>
      <c r="AT21" s="171">
        <f t="shared" si="15"/>
        <v>24215232.601880878</v>
      </c>
      <c r="AU21" s="171">
        <f t="shared" si="15"/>
        <v>24215232.601880878</v>
      </c>
      <c r="AV21" s="171">
        <f t="shared" si="15"/>
        <v>24215232.601880878</v>
      </c>
      <c r="AW21" s="171">
        <f t="shared" si="15"/>
        <v>24215232.601880878</v>
      </c>
      <c r="AX21" s="171">
        <f t="shared" si="15"/>
        <v>24215232.601880878</v>
      </c>
      <c r="AY21" s="171">
        <f t="shared" si="15"/>
        <v>24215232.601880878</v>
      </c>
      <c r="AZ21" s="171">
        <f t="shared" si="15"/>
        <v>24215232.601880878</v>
      </c>
      <c r="BA21" s="171">
        <f t="shared" si="15"/>
        <v>24215232.601880878</v>
      </c>
      <c r="BB21" s="171">
        <f t="shared" si="15"/>
        <v>24215232.601880878</v>
      </c>
      <c r="BC21" s="171">
        <f t="shared" si="15"/>
        <v>24215232.601880878</v>
      </c>
      <c r="BD21" s="171">
        <f t="shared" si="15"/>
        <v>24215232.601880878</v>
      </c>
      <c r="BE21" s="171">
        <f t="shared" si="15"/>
        <v>24215232.601880878</v>
      </c>
      <c r="BF21" s="171">
        <f t="shared" si="15"/>
        <v>24215232.601880878</v>
      </c>
      <c r="BG21" s="171">
        <f t="shared" si="15"/>
        <v>24215232.601880878</v>
      </c>
      <c r="BH21" s="171">
        <f t="shared" si="15"/>
        <v>24215232.601880878</v>
      </c>
      <c r="BI21" s="171">
        <f t="shared" si="15"/>
        <v>24215232.601880878</v>
      </c>
      <c r="BJ21" s="171">
        <f t="shared" si="15"/>
        <v>24215232.601880878</v>
      </c>
      <c r="BK21" s="171">
        <f t="shared" si="15"/>
        <v>24215232.601880878</v>
      </c>
      <c r="BL21" s="171">
        <f t="shared" si="15"/>
        <v>24215232.601880878</v>
      </c>
      <c r="BM21" s="171">
        <f t="shared" si="15"/>
        <v>24215232.601880878</v>
      </c>
      <c r="BN21" s="171">
        <f t="shared" si="15"/>
        <v>24215232.601880878</v>
      </c>
      <c r="BO21" s="171">
        <f t="shared" si="15"/>
        <v>24215232.601880878</v>
      </c>
      <c r="BP21" s="171">
        <f t="shared" si="15"/>
        <v>24215232.601880878</v>
      </c>
      <c r="BQ21" s="171">
        <f t="shared" si="15"/>
        <v>24215232.601880878</v>
      </c>
      <c r="BR21" s="171">
        <f t="shared" si="15"/>
        <v>24215232.601880878</v>
      </c>
      <c r="BS21" s="171">
        <f t="shared" si="15"/>
        <v>24215232.601880878</v>
      </c>
      <c r="BT21" s="171">
        <f t="shared" si="15"/>
        <v>24215232.601880878</v>
      </c>
      <c r="BU21" s="171">
        <f t="shared" si="15"/>
        <v>24215232.601880878</v>
      </c>
      <c r="BV21" s="171">
        <f t="shared" si="15"/>
        <v>24215232.601880878</v>
      </c>
      <c r="BW21" s="171">
        <f t="shared" si="15"/>
        <v>24215232.601880878</v>
      </c>
      <c r="BX21" s="171">
        <f t="shared" si="15"/>
        <v>24215232.601880878</v>
      </c>
      <c r="BY21" s="171">
        <f t="shared" ref="BY21:DS21" si="16">BX24</f>
        <v>24215232.601880878</v>
      </c>
      <c r="BZ21" s="171">
        <f t="shared" si="16"/>
        <v>24215232.601880878</v>
      </c>
      <c r="CA21" s="171">
        <f t="shared" si="16"/>
        <v>24215232.601880878</v>
      </c>
      <c r="CB21" s="171">
        <f t="shared" si="16"/>
        <v>24215232.601880878</v>
      </c>
      <c r="CC21" s="171">
        <f t="shared" si="16"/>
        <v>24215232.601880878</v>
      </c>
      <c r="CD21" s="171">
        <f t="shared" si="16"/>
        <v>24215232.601880878</v>
      </c>
      <c r="CE21" s="171">
        <f t="shared" si="16"/>
        <v>24215232.601880878</v>
      </c>
      <c r="CF21" s="171">
        <f t="shared" si="16"/>
        <v>24215232.601880878</v>
      </c>
      <c r="CG21" s="171">
        <f t="shared" si="16"/>
        <v>24215232.601880878</v>
      </c>
      <c r="CH21" s="171">
        <f t="shared" si="16"/>
        <v>24215232.601880878</v>
      </c>
      <c r="CI21" s="171">
        <f t="shared" si="16"/>
        <v>24215232.601880878</v>
      </c>
      <c r="CJ21" s="171">
        <f t="shared" si="16"/>
        <v>24215232.601880878</v>
      </c>
      <c r="CK21" s="171">
        <f t="shared" si="16"/>
        <v>24215232.601880878</v>
      </c>
      <c r="CL21" s="171">
        <f t="shared" si="16"/>
        <v>24215232.601880878</v>
      </c>
      <c r="CM21" s="171">
        <f t="shared" si="16"/>
        <v>24215232.601880878</v>
      </c>
      <c r="CN21" s="171">
        <f t="shared" si="16"/>
        <v>24215232.601880878</v>
      </c>
      <c r="CO21" s="171">
        <f t="shared" si="16"/>
        <v>24215232.601880878</v>
      </c>
      <c r="CP21" s="171">
        <f t="shared" si="16"/>
        <v>24215232.601880878</v>
      </c>
      <c r="CQ21" s="171">
        <f t="shared" si="16"/>
        <v>24215232.601880878</v>
      </c>
      <c r="CR21" s="171">
        <f t="shared" si="16"/>
        <v>24215232.601880878</v>
      </c>
      <c r="CS21" s="171">
        <f t="shared" si="16"/>
        <v>24215232.601880878</v>
      </c>
      <c r="CT21" s="171">
        <f t="shared" si="16"/>
        <v>24215232.601880878</v>
      </c>
      <c r="CU21" s="171">
        <f t="shared" si="16"/>
        <v>24215232.601880878</v>
      </c>
      <c r="CV21" s="171">
        <f t="shared" si="16"/>
        <v>24215232.601880878</v>
      </c>
      <c r="CW21" s="171">
        <f t="shared" si="16"/>
        <v>24215232.601880878</v>
      </c>
      <c r="CX21" s="171">
        <f t="shared" si="16"/>
        <v>24215232.601880878</v>
      </c>
      <c r="CY21" s="171">
        <f t="shared" si="16"/>
        <v>24215232.601880878</v>
      </c>
      <c r="CZ21" s="171">
        <f t="shared" si="16"/>
        <v>24215232.601880878</v>
      </c>
      <c r="DA21" s="171">
        <f t="shared" si="16"/>
        <v>24215232.601880878</v>
      </c>
      <c r="DB21" s="171">
        <f t="shared" si="16"/>
        <v>24215232.601880878</v>
      </c>
      <c r="DC21" s="171">
        <f t="shared" si="16"/>
        <v>24215232.601880878</v>
      </c>
      <c r="DD21" s="171">
        <f t="shared" si="16"/>
        <v>24215232.601880878</v>
      </c>
      <c r="DE21" s="171">
        <f t="shared" si="16"/>
        <v>24215232.601880878</v>
      </c>
      <c r="DF21" s="171">
        <f t="shared" si="16"/>
        <v>24215232.601880878</v>
      </c>
      <c r="DG21" s="171">
        <f t="shared" si="16"/>
        <v>24215232.601880878</v>
      </c>
      <c r="DH21" s="171">
        <f t="shared" si="16"/>
        <v>24215232.601880878</v>
      </c>
      <c r="DI21" s="171">
        <f t="shared" si="16"/>
        <v>24215232.601880878</v>
      </c>
      <c r="DJ21" s="171">
        <f t="shared" si="16"/>
        <v>24215232.601880878</v>
      </c>
      <c r="DK21" s="171">
        <f t="shared" si="16"/>
        <v>24215232.601880878</v>
      </c>
      <c r="DL21" s="171">
        <f t="shared" si="16"/>
        <v>24215232.601880878</v>
      </c>
      <c r="DM21" s="171">
        <f t="shared" si="16"/>
        <v>24215232.601880878</v>
      </c>
      <c r="DN21" s="171">
        <f t="shared" si="16"/>
        <v>24215232.601880878</v>
      </c>
      <c r="DO21" s="171">
        <f t="shared" si="16"/>
        <v>24215232.601880878</v>
      </c>
      <c r="DP21" s="171">
        <f t="shared" si="16"/>
        <v>24215232.601880878</v>
      </c>
      <c r="DQ21" s="171">
        <f t="shared" si="16"/>
        <v>24215232.601880878</v>
      </c>
      <c r="DR21" s="171">
        <f t="shared" si="16"/>
        <v>24215232.601880878</v>
      </c>
      <c r="DS21" s="171">
        <f t="shared" si="16"/>
        <v>24215232.601880878</v>
      </c>
      <c r="DT21" s="171">
        <f t="shared" ref="DT21:EQ21" si="17">DS24</f>
        <v>24215232.601880878</v>
      </c>
      <c r="DU21" s="171">
        <f t="shared" si="17"/>
        <v>24215232.601880878</v>
      </c>
      <c r="DV21" s="171">
        <f t="shared" si="17"/>
        <v>24215232.601880878</v>
      </c>
      <c r="DW21" s="171">
        <f t="shared" si="17"/>
        <v>24215232.601880878</v>
      </c>
      <c r="DX21" s="171">
        <f t="shared" si="17"/>
        <v>24215232.601880878</v>
      </c>
      <c r="DY21" s="171">
        <f t="shared" si="17"/>
        <v>24215232.601880878</v>
      </c>
      <c r="DZ21" s="171">
        <f t="shared" si="17"/>
        <v>24215232.601880878</v>
      </c>
      <c r="EA21" s="171">
        <f t="shared" si="17"/>
        <v>24215232.601880878</v>
      </c>
      <c r="EB21" s="171">
        <f t="shared" si="17"/>
        <v>24215232.601880878</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1.25" customHeight="1">
      <c r="B22" s="218"/>
      <c r="C22" s="163"/>
      <c r="D22" s="66" t="s">
        <v>218</v>
      </c>
      <c r="G22" s="1032"/>
      <c r="H22" s="1030"/>
      <c r="I22" s="1022"/>
      <c r="J22" s="171">
        <f>SUM(L22:EQ22)</f>
        <v>24215232.601880878</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24215232.601880878</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1.25" customHeight="1">
      <c r="B23" s="218"/>
      <c r="C23" s="163"/>
      <c r="D23" s="66" t="s">
        <v>219</v>
      </c>
      <c r="G23" s="1032"/>
      <c r="H23" s="1039">
        <f>'A&amp;R'!$E$39</f>
        <v>49979</v>
      </c>
      <c r="I23" s="1022"/>
      <c r="J23" s="171">
        <f>SUM(L23:EQ23)</f>
        <v>24215232.601880878</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24215232.601880878</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1.2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24215232.601880878</v>
      </c>
      <c r="AK24" s="171">
        <f t="shared" si="24"/>
        <v>24215232.601880878</v>
      </c>
      <c r="AL24" s="171">
        <f t="shared" si="24"/>
        <v>24215232.601880878</v>
      </c>
      <c r="AM24" s="171">
        <f t="shared" si="24"/>
        <v>24215232.601880878</v>
      </c>
      <c r="AN24" s="171">
        <f t="shared" si="24"/>
        <v>24215232.601880878</v>
      </c>
      <c r="AO24" s="171">
        <f t="shared" si="24"/>
        <v>24215232.601880878</v>
      </c>
      <c r="AP24" s="171">
        <f t="shared" si="24"/>
        <v>24215232.601880878</v>
      </c>
      <c r="AQ24" s="171">
        <f t="shared" si="24"/>
        <v>24215232.601880878</v>
      </c>
      <c r="AR24" s="171">
        <f t="shared" si="24"/>
        <v>24215232.601880878</v>
      </c>
      <c r="AS24" s="171">
        <f t="shared" si="24"/>
        <v>24215232.601880878</v>
      </c>
      <c r="AT24" s="171">
        <f t="shared" si="24"/>
        <v>24215232.601880878</v>
      </c>
      <c r="AU24" s="171">
        <f t="shared" si="24"/>
        <v>24215232.601880878</v>
      </c>
      <c r="AV24" s="171">
        <f t="shared" si="24"/>
        <v>24215232.601880878</v>
      </c>
      <c r="AW24" s="171">
        <f t="shared" si="24"/>
        <v>24215232.601880878</v>
      </c>
      <c r="AX24" s="171">
        <f t="shared" si="24"/>
        <v>24215232.601880878</v>
      </c>
      <c r="AY24" s="171">
        <f t="shared" si="24"/>
        <v>24215232.601880878</v>
      </c>
      <c r="AZ24" s="171">
        <f t="shared" si="24"/>
        <v>24215232.601880878</v>
      </c>
      <c r="BA24" s="171">
        <f t="shared" si="24"/>
        <v>24215232.601880878</v>
      </c>
      <c r="BB24" s="171">
        <f t="shared" si="24"/>
        <v>24215232.601880878</v>
      </c>
      <c r="BC24" s="171">
        <f t="shared" si="24"/>
        <v>24215232.601880878</v>
      </c>
      <c r="BD24" s="171">
        <f t="shared" si="24"/>
        <v>24215232.601880878</v>
      </c>
      <c r="BE24" s="171">
        <f t="shared" si="24"/>
        <v>24215232.601880878</v>
      </c>
      <c r="BF24" s="171">
        <f t="shared" si="24"/>
        <v>24215232.601880878</v>
      </c>
      <c r="BG24" s="171">
        <f t="shared" si="24"/>
        <v>24215232.601880878</v>
      </c>
      <c r="BH24" s="171">
        <f t="shared" si="24"/>
        <v>24215232.601880878</v>
      </c>
      <c r="BI24" s="171">
        <f t="shared" si="24"/>
        <v>24215232.601880878</v>
      </c>
      <c r="BJ24" s="171">
        <f t="shared" si="24"/>
        <v>24215232.601880878</v>
      </c>
      <c r="BK24" s="171">
        <f t="shared" si="24"/>
        <v>24215232.601880878</v>
      </c>
      <c r="BL24" s="171">
        <f t="shared" si="24"/>
        <v>24215232.601880878</v>
      </c>
      <c r="BM24" s="171">
        <f t="shared" si="24"/>
        <v>24215232.601880878</v>
      </c>
      <c r="BN24" s="171">
        <f t="shared" si="24"/>
        <v>24215232.601880878</v>
      </c>
      <c r="BO24" s="171">
        <f t="shared" si="24"/>
        <v>24215232.601880878</v>
      </c>
      <c r="BP24" s="171">
        <f t="shared" si="24"/>
        <v>24215232.601880878</v>
      </c>
      <c r="BQ24" s="171">
        <f t="shared" si="24"/>
        <v>24215232.601880878</v>
      </c>
      <c r="BR24" s="171">
        <f t="shared" si="24"/>
        <v>24215232.601880878</v>
      </c>
      <c r="BS24" s="171">
        <f t="shared" si="24"/>
        <v>24215232.601880878</v>
      </c>
      <c r="BT24" s="171">
        <f t="shared" si="24"/>
        <v>24215232.601880878</v>
      </c>
      <c r="BU24" s="171">
        <f t="shared" si="24"/>
        <v>24215232.601880878</v>
      </c>
      <c r="BV24" s="171">
        <f t="shared" si="24"/>
        <v>24215232.601880878</v>
      </c>
      <c r="BW24" s="171">
        <f t="shared" si="24"/>
        <v>24215232.601880878</v>
      </c>
      <c r="BX24" s="171">
        <f t="shared" si="24"/>
        <v>24215232.601880878</v>
      </c>
      <c r="BY24" s="171">
        <f t="shared" ref="BY24:DS24" si="25">BY21+BY22-BY23</f>
        <v>24215232.601880878</v>
      </c>
      <c r="BZ24" s="171">
        <f t="shared" si="25"/>
        <v>24215232.601880878</v>
      </c>
      <c r="CA24" s="171">
        <f t="shared" si="25"/>
        <v>24215232.601880878</v>
      </c>
      <c r="CB24" s="171">
        <f t="shared" si="25"/>
        <v>24215232.601880878</v>
      </c>
      <c r="CC24" s="171">
        <f t="shared" si="25"/>
        <v>24215232.601880878</v>
      </c>
      <c r="CD24" s="171">
        <f t="shared" si="25"/>
        <v>24215232.601880878</v>
      </c>
      <c r="CE24" s="171">
        <f t="shared" si="25"/>
        <v>24215232.601880878</v>
      </c>
      <c r="CF24" s="171">
        <f t="shared" si="25"/>
        <v>24215232.601880878</v>
      </c>
      <c r="CG24" s="171">
        <f t="shared" si="25"/>
        <v>24215232.601880878</v>
      </c>
      <c r="CH24" s="171">
        <f t="shared" si="25"/>
        <v>24215232.601880878</v>
      </c>
      <c r="CI24" s="171">
        <f t="shared" si="25"/>
        <v>24215232.601880878</v>
      </c>
      <c r="CJ24" s="171">
        <f t="shared" si="25"/>
        <v>24215232.601880878</v>
      </c>
      <c r="CK24" s="171">
        <f t="shared" si="25"/>
        <v>24215232.601880878</v>
      </c>
      <c r="CL24" s="171">
        <f t="shared" si="25"/>
        <v>24215232.601880878</v>
      </c>
      <c r="CM24" s="171">
        <f t="shared" si="25"/>
        <v>24215232.601880878</v>
      </c>
      <c r="CN24" s="171">
        <f t="shared" si="25"/>
        <v>24215232.601880878</v>
      </c>
      <c r="CO24" s="171">
        <f t="shared" si="25"/>
        <v>24215232.601880878</v>
      </c>
      <c r="CP24" s="171">
        <f t="shared" si="25"/>
        <v>24215232.601880878</v>
      </c>
      <c r="CQ24" s="171">
        <f t="shared" si="25"/>
        <v>24215232.601880878</v>
      </c>
      <c r="CR24" s="171">
        <f t="shared" si="25"/>
        <v>24215232.601880878</v>
      </c>
      <c r="CS24" s="171">
        <f t="shared" si="25"/>
        <v>24215232.601880878</v>
      </c>
      <c r="CT24" s="171">
        <f t="shared" si="25"/>
        <v>24215232.601880878</v>
      </c>
      <c r="CU24" s="171">
        <f t="shared" si="25"/>
        <v>24215232.601880878</v>
      </c>
      <c r="CV24" s="171">
        <f t="shared" si="25"/>
        <v>24215232.601880878</v>
      </c>
      <c r="CW24" s="171">
        <f t="shared" si="25"/>
        <v>24215232.601880878</v>
      </c>
      <c r="CX24" s="171">
        <f t="shared" si="25"/>
        <v>24215232.601880878</v>
      </c>
      <c r="CY24" s="171">
        <f t="shared" si="25"/>
        <v>24215232.601880878</v>
      </c>
      <c r="CZ24" s="171">
        <f t="shared" si="25"/>
        <v>24215232.601880878</v>
      </c>
      <c r="DA24" s="171">
        <f t="shared" si="25"/>
        <v>24215232.601880878</v>
      </c>
      <c r="DB24" s="171">
        <f t="shared" si="25"/>
        <v>24215232.601880878</v>
      </c>
      <c r="DC24" s="171">
        <f t="shared" si="25"/>
        <v>24215232.601880878</v>
      </c>
      <c r="DD24" s="171">
        <f t="shared" si="25"/>
        <v>24215232.601880878</v>
      </c>
      <c r="DE24" s="171">
        <f t="shared" si="25"/>
        <v>24215232.601880878</v>
      </c>
      <c r="DF24" s="171">
        <f t="shared" si="25"/>
        <v>24215232.601880878</v>
      </c>
      <c r="DG24" s="171">
        <f t="shared" si="25"/>
        <v>24215232.601880878</v>
      </c>
      <c r="DH24" s="171">
        <f t="shared" si="25"/>
        <v>24215232.601880878</v>
      </c>
      <c r="DI24" s="171">
        <f t="shared" si="25"/>
        <v>24215232.601880878</v>
      </c>
      <c r="DJ24" s="171">
        <f t="shared" si="25"/>
        <v>24215232.601880878</v>
      </c>
      <c r="DK24" s="171">
        <f t="shared" si="25"/>
        <v>24215232.601880878</v>
      </c>
      <c r="DL24" s="171">
        <f t="shared" si="25"/>
        <v>24215232.601880878</v>
      </c>
      <c r="DM24" s="171">
        <f t="shared" si="25"/>
        <v>24215232.601880878</v>
      </c>
      <c r="DN24" s="171">
        <f t="shared" si="25"/>
        <v>24215232.601880878</v>
      </c>
      <c r="DO24" s="171">
        <f t="shared" si="25"/>
        <v>24215232.601880878</v>
      </c>
      <c r="DP24" s="171">
        <f t="shared" si="25"/>
        <v>24215232.601880878</v>
      </c>
      <c r="DQ24" s="171">
        <f t="shared" si="25"/>
        <v>24215232.601880878</v>
      </c>
      <c r="DR24" s="171">
        <f t="shared" si="25"/>
        <v>24215232.601880878</v>
      </c>
      <c r="DS24" s="171">
        <f t="shared" si="25"/>
        <v>24215232.601880878</v>
      </c>
      <c r="DT24" s="171">
        <f t="shared" ref="DT24:EM24" si="26">DT21+DT22-DT23</f>
        <v>24215232.601880878</v>
      </c>
      <c r="DU24" s="171">
        <f t="shared" si="26"/>
        <v>24215232.601880878</v>
      </c>
      <c r="DV24" s="171">
        <f t="shared" si="26"/>
        <v>24215232.601880878</v>
      </c>
      <c r="DW24" s="171">
        <f t="shared" si="26"/>
        <v>24215232.601880878</v>
      </c>
      <c r="DX24" s="171">
        <f t="shared" si="26"/>
        <v>24215232.601880878</v>
      </c>
      <c r="DY24" s="171">
        <f t="shared" si="26"/>
        <v>24215232.601880878</v>
      </c>
      <c r="DZ24" s="171">
        <f t="shared" si="26"/>
        <v>24215232.601880878</v>
      </c>
      <c r="EA24" s="171">
        <f t="shared" si="26"/>
        <v>24215232.601880878</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1.25" customHeight="1">
      <c r="B25" s="218"/>
      <c r="C25" s="158" t="s">
        <v>1083</v>
      </c>
      <c r="D25" s="159"/>
      <c r="E25" s="159"/>
      <c r="F25" s="159"/>
      <c r="G25" s="159"/>
      <c r="H25" s="160" t="s">
        <v>1040</v>
      </c>
      <c r="I25" s="1684">
        <f>간주취득세!G104*1000</f>
        <v>454607.72104607703</v>
      </c>
      <c r="J25" s="220">
        <f ca="1">SUM(J26:J29)</f>
        <v>44955891.512796044</v>
      </c>
      <c r="K25" s="98"/>
      <c r="L25" s="162">
        <f ca="1">SUM(L26:L29)</f>
        <v>0</v>
      </c>
      <c r="M25" s="162">
        <f t="shared" ref="M25:BX25" ca="1" si="27">SUM(M26:M29)</f>
        <v>0</v>
      </c>
      <c r="N25" s="162">
        <f t="shared" ca="1" si="27"/>
        <v>0</v>
      </c>
      <c r="O25" s="162">
        <f t="shared" ca="1" si="27"/>
        <v>0</v>
      </c>
      <c r="P25" s="162">
        <f t="shared" ca="1" si="27"/>
        <v>0</v>
      </c>
      <c r="Q25" s="162">
        <f t="shared" ca="1" si="27"/>
        <v>0</v>
      </c>
      <c r="R25" s="162">
        <f t="shared" ca="1" si="27"/>
        <v>0</v>
      </c>
      <c r="S25" s="162">
        <f t="shared" ca="1" si="27"/>
        <v>0</v>
      </c>
      <c r="T25" s="162">
        <f t="shared" ca="1" si="27"/>
        <v>0</v>
      </c>
      <c r="U25" s="162">
        <f t="shared" ca="1" si="27"/>
        <v>0</v>
      </c>
      <c r="V25" s="162">
        <f t="shared" ca="1" si="27"/>
        <v>0</v>
      </c>
      <c r="W25" s="162">
        <f t="shared" ca="1" si="27"/>
        <v>0</v>
      </c>
      <c r="X25" s="162">
        <f t="shared" ca="1" si="27"/>
        <v>-50454607.721046075</v>
      </c>
      <c r="Y25" s="162">
        <f t="shared" ca="1" si="27"/>
        <v>0</v>
      </c>
      <c r="Z25" s="162">
        <f t="shared" ca="1" si="27"/>
        <v>0</v>
      </c>
      <c r="AA25" s="162">
        <f t="shared" ca="1" si="27"/>
        <v>0</v>
      </c>
      <c r="AB25" s="162">
        <f t="shared" ca="1" si="27"/>
        <v>0</v>
      </c>
      <c r="AC25" s="162">
        <f t="shared" ca="1" si="27"/>
        <v>0</v>
      </c>
      <c r="AD25" s="162">
        <f t="shared" ca="1" si="27"/>
        <v>1875000</v>
      </c>
      <c r="AE25" s="162">
        <f t="shared" ca="1" si="27"/>
        <v>0</v>
      </c>
      <c r="AF25" s="162">
        <f t="shared" ca="1" si="27"/>
        <v>0</v>
      </c>
      <c r="AG25" s="162">
        <f t="shared" ca="1" si="27"/>
        <v>0</v>
      </c>
      <c r="AH25" s="162">
        <f t="shared" ca="1" si="27"/>
        <v>0</v>
      </c>
      <c r="AI25" s="162">
        <f t="shared" ca="1" si="27"/>
        <v>0</v>
      </c>
      <c r="AJ25" s="162">
        <f t="shared" ca="1" si="27"/>
        <v>1875000</v>
      </c>
      <c r="AK25" s="162">
        <f t="shared" ca="1" si="27"/>
        <v>0</v>
      </c>
      <c r="AL25" s="162">
        <f t="shared" ca="1" si="27"/>
        <v>0</v>
      </c>
      <c r="AM25" s="162">
        <f t="shared" ca="1" si="27"/>
        <v>0</v>
      </c>
      <c r="AN25" s="162">
        <f t="shared" ca="1" si="27"/>
        <v>0</v>
      </c>
      <c r="AO25" s="162">
        <f t="shared" ca="1" si="27"/>
        <v>0</v>
      </c>
      <c r="AP25" s="162">
        <f t="shared" ca="1" si="27"/>
        <v>1875000</v>
      </c>
      <c r="AQ25" s="162">
        <f t="shared" ca="1" si="27"/>
        <v>0</v>
      </c>
      <c r="AR25" s="162">
        <f t="shared" ca="1" si="27"/>
        <v>0</v>
      </c>
      <c r="AS25" s="162">
        <f t="shared" ca="1" si="27"/>
        <v>0</v>
      </c>
      <c r="AT25" s="162">
        <f t="shared" ca="1" si="27"/>
        <v>0</v>
      </c>
      <c r="AU25" s="162">
        <f t="shared" ca="1" si="27"/>
        <v>0</v>
      </c>
      <c r="AV25" s="162">
        <f t="shared" ca="1" si="27"/>
        <v>1875000</v>
      </c>
      <c r="AW25" s="162">
        <f t="shared" ca="1" si="27"/>
        <v>0</v>
      </c>
      <c r="AX25" s="162">
        <f t="shared" ca="1" si="27"/>
        <v>0</v>
      </c>
      <c r="AY25" s="162">
        <f t="shared" ca="1" si="27"/>
        <v>0</v>
      </c>
      <c r="AZ25" s="162">
        <f t="shared" ca="1" si="27"/>
        <v>0</v>
      </c>
      <c r="BA25" s="162">
        <f t="shared" ca="1" si="27"/>
        <v>0</v>
      </c>
      <c r="BB25" s="162">
        <f t="shared" ca="1" si="27"/>
        <v>1875000</v>
      </c>
      <c r="BC25" s="162">
        <f t="shared" ca="1" si="27"/>
        <v>0</v>
      </c>
      <c r="BD25" s="162">
        <f t="shared" ca="1" si="27"/>
        <v>0</v>
      </c>
      <c r="BE25" s="162">
        <f t="shared" ca="1" si="27"/>
        <v>0</v>
      </c>
      <c r="BF25" s="162">
        <f t="shared" ca="1" si="27"/>
        <v>0</v>
      </c>
      <c r="BG25" s="162">
        <f t="shared" ca="1" si="27"/>
        <v>0</v>
      </c>
      <c r="BH25" s="162">
        <f t="shared" ca="1" si="27"/>
        <v>1875000</v>
      </c>
      <c r="BI25" s="162">
        <f t="shared" ca="1" si="27"/>
        <v>0</v>
      </c>
      <c r="BJ25" s="162">
        <f t="shared" ca="1" si="27"/>
        <v>0</v>
      </c>
      <c r="BK25" s="162">
        <f t="shared" ca="1" si="27"/>
        <v>0</v>
      </c>
      <c r="BL25" s="162">
        <f t="shared" ca="1" si="27"/>
        <v>0</v>
      </c>
      <c r="BM25" s="162">
        <f t="shared" ca="1" si="27"/>
        <v>0</v>
      </c>
      <c r="BN25" s="162">
        <f t="shared" ca="1" si="27"/>
        <v>1856056.3038810929</v>
      </c>
      <c r="BO25" s="162">
        <f t="shared" ca="1" si="27"/>
        <v>0</v>
      </c>
      <c r="BP25" s="162">
        <f t="shared" ca="1" si="27"/>
        <v>0</v>
      </c>
      <c r="BQ25" s="162">
        <f t="shared" ca="1" si="27"/>
        <v>0</v>
      </c>
      <c r="BR25" s="162">
        <f t="shared" ca="1" si="27"/>
        <v>0</v>
      </c>
      <c r="BS25" s="162">
        <f t="shared" ca="1" si="27"/>
        <v>0</v>
      </c>
      <c r="BT25" s="162">
        <f t="shared" ca="1" si="27"/>
        <v>1761729.2937996686</v>
      </c>
      <c r="BU25" s="162">
        <f t="shared" ca="1" si="27"/>
        <v>0</v>
      </c>
      <c r="BV25" s="162">
        <f t="shared" ca="1" si="27"/>
        <v>0</v>
      </c>
      <c r="BW25" s="162">
        <f t="shared" ca="1" si="27"/>
        <v>0</v>
      </c>
      <c r="BX25" s="162">
        <f t="shared" ca="1" si="27"/>
        <v>0</v>
      </c>
      <c r="BY25" s="162">
        <f t="shared" ref="BY25:EJ25" ca="1" si="28">SUM(BY26:BY29)</f>
        <v>0</v>
      </c>
      <c r="BZ25" s="162">
        <f t="shared" ca="1" si="28"/>
        <v>1838082.375135636</v>
      </c>
      <c r="CA25" s="162">
        <f t="shared" ca="1" si="28"/>
        <v>0</v>
      </c>
      <c r="CB25" s="162">
        <f t="shared" ca="1" si="28"/>
        <v>0</v>
      </c>
      <c r="CC25" s="162">
        <f t="shared" ca="1" si="28"/>
        <v>0</v>
      </c>
      <c r="CD25" s="162">
        <f t="shared" ca="1" si="28"/>
        <v>0</v>
      </c>
      <c r="CE25" s="162">
        <f t="shared" ca="1" si="28"/>
        <v>0</v>
      </c>
      <c r="CF25" s="162">
        <f t="shared" ca="1" si="28"/>
        <v>2044132.0271836026</v>
      </c>
      <c r="CG25" s="162">
        <f t="shared" ca="1" si="28"/>
        <v>0</v>
      </c>
      <c r="CH25" s="162">
        <f t="shared" ca="1" si="28"/>
        <v>0</v>
      </c>
      <c r="CI25" s="162">
        <f t="shared" ca="1" si="28"/>
        <v>0</v>
      </c>
      <c r="CJ25" s="162">
        <f t="shared" ca="1" si="28"/>
        <v>0</v>
      </c>
      <c r="CK25" s="162">
        <f t="shared" ca="1" si="28"/>
        <v>0</v>
      </c>
      <c r="CL25" s="162">
        <f t="shared" ca="1" si="28"/>
        <v>1875000</v>
      </c>
      <c r="CM25" s="162">
        <f t="shared" ca="1" si="28"/>
        <v>0</v>
      </c>
      <c r="CN25" s="162">
        <f t="shared" ca="1" si="28"/>
        <v>0</v>
      </c>
      <c r="CO25" s="162">
        <f t="shared" ca="1" si="28"/>
        <v>0</v>
      </c>
      <c r="CP25" s="162">
        <f t="shared" ca="1" si="28"/>
        <v>0</v>
      </c>
      <c r="CQ25" s="162">
        <f t="shared" ca="1" si="28"/>
        <v>0</v>
      </c>
      <c r="CR25" s="162">
        <f t="shared" ca="1" si="28"/>
        <v>1875000</v>
      </c>
      <c r="CS25" s="162">
        <f t="shared" ca="1" si="28"/>
        <v>0</v>
      </c>
      <c r="CT25" s="162">
        <f t="shared" ca="1" si="28"/>
        <v>0</v>
      </c>
      <c r="CU25" s="162">
        <f t="shared" ca="1" si="28"/>
        <v>0</v>
      </c>
      <c r="CV25" s="162">
        <f t="shared" ca="1" si="28"/>
        <v>0</v>
      </c>
      <c r="CW25" s="162">
        <f t="shared" ca="1" si="28"/>
        <v>0</v>
      </c>
      <c r="CX25" s="162">
        <f t="shared" ca="1" si="28"/>
        <v>1875000</v>
      </c>
      <c r="CY25" s="162">
        <f t="shared" ca="1" si="28"/>
        <v>0</v>
      </c>
      <c r="CZ25" s="162">
        <f t="shared" ca="1" si="28"/>
        <v>0</v>
      </c>
      <c r="DA25" s="162">
        <f t="shared" ca="1" si="28"/>
        <v>0</v>
      </c>
      <c r="DB25" s="162">
        <f t="shared" ca="1" si="28"/>
        <v>0</v>
      </c>
      <c r="DC25" s="162">
        <f t="shared" ca="1" si="28"/>
        <v>0</v>
      </c>
      <c r="DD25" s="162">
        <f t="shared" ca="1" si="28"/>
        <v>1875000</v>
      </c>
      <c r="DE25" s="162">
        <f t="shared" ca="1" si="28"/>
        <v>0</v>
      </c>
      <c r="DF25" s="162">
        <f t="shared" ca="1" si="28"/>
        <v>0</v>
      </c>
      <c r="DG25" s="162">
        <f t="shared" ca="1" si="28"/>
        <v>0</v>
      </c>
      <c r="DH25" s="162">
        <f t="shared" ca="1" si="28"/>
        <v>0</v>
      </c>
      <c r="DI25" s="162">
        <f t="shared" ca="1" si="28"/>
        <v>0</v>
      </c>
      <c r="DJ25" s="162">
        <f t="shared" ca="1" si="28"/>
        <v>1875000</v>
      </c>
      <c r="DK25" s="162">
        <f t="shared" ca="1" si="28"/>
        <v>0</v>
      </c>
      <c r="DL25" s="162">
        <f t="shared" ca="1" si="28"/>
        <v>0</v>
      </c>
      <c r="DM25" s="162">
        <f t="shared" ca="1" si="28"/>
        <v>0</v>
      </c>
      <c r="DN25" s="162">
        <f t="shared" ca="1" si="28"/>
        <v>0</v>
      </c>
      <c r="DO25" s="162">
        <f t="shared" ca="1" si="28"/>
        <v>0</v>
      </c>
      <c r="DP25" s="162">
        <f t="shared" ca="1" si="28"/>
        <v>1875000</v>
      </c>
      <c r="DQ25" s="162">
        <f t="shared" ca="1" si="28"/>
        <v>0</v>
      </c>
      <c r="DR25" s="162">
        <f t="shared" ca="1" si="28"/>
        <v>0</v>
      </c>
      <c r="DS25" s="162">
        <f t="shared" ca="1" si="28"/>
        <v>0</v>
      </c>
      <c r="DT25" s="162">
        <f t="shared" ca="1" si="28"/>
        <v>0</v>
      </c>
      <c r="DU25" s="162">
        <f t="shared" ca="1" si="28"/>
        <v>0</v>
      </c>
      <c r="DV25" s="162">
        <f t="shared" ca="1" si="28"/>
        <v>1875000</v>
      </c>
      <c r="DW25" s="162">
        <f t="shared" ca="1" si="28"/>
        <v>0</v>
      </c>
      <c r="DX25" s="162">
        <f t="shared" ca="1" si="28"/>
        <v>0</v>
      </c>
      <c r="DY25" s="162">
        <f t="shared" ca="1" si="28"/>
        <v>0</v>
      </c>
      <c r="DZ25" s="162">
        <f t="shared" ca="1" si="28"/>
        <v>0</v>
      </c>
      <c r="EA25" s="162">
        <f t="shared" ca="1" si="28"/>
        <v>0</v>
      </c>
      <c r="EB25" s="162">
        <f t="shared" ca="1" si="28"/>
        <v>63535499.23384212</v>
      </c>
      <c r="EC25" s="162">
        <f t="shared" ca="1" si="28"/>
        <v>0</v>
      </c>
      <c r="ED25" s="162">
        <f t="shared" ca="1" si="28"/>
        <v>0</v>
      </c>
      <c r="EE25" s="162">
        <f t="shared" ca="1" si="28"/>
        <v>0</v>
      </c>
      <c r="EF25" s="162">
        <f t="shared" ca="1" si="28"/>
        <v>0</v>
      </c>
      <c r="EG25" s="162">
        <f t="shared" ca="1" si="28"/>
        <v>0</v>
      </c>
      <c r="EH25" s="162">
        <f t="shared" ca="1" si="28"/>
        <v>0</v>
      </c>
      <c r="EI25" s="162">
        <f t="shared" ca="1" si="28"/>
        <v>0</v>
      </c>
      <c r="EJ25" s="162">
        <f t="shared" ca="1" si="28"/>
        <v>0</v>
      </c>
      <c r="EK25" s="162">
        <f t="shared" ref="EK25:EQ25" ca="1" si="29">SUM(EK26:EK29)</f>
        <v>0</v>
      </c>
      <c r="EL25" s="162">
        <f t="shared" ca="1" si="29"/>
        <v>0</v>
      </c>
      <c r="EM25" s="162">
        <f t="shared" ca="1" si="29"/>
        <v>0</v>
      </c>
      <c r="EN25" s="162">
        <f t="shared" ca="1" si="29"/>
        <v>0</v>
      </c>
      <c r="EO25" s="162">
        <f t="shared" ca="1" si="29"/>
        <v>0</v>
      </c>
      <c r="EP25" s="162">
        <f t="shared" ca="1" si="29"/>
        <v>0</v>
      </c>
      <c r="EQ25" s="162">
        <f t="shared" ca="1" si="29"/>
        <v>0</v>
      </c>
    </row>
    <row r="26" spans="2:147" ht="11.25" customHeight="1">
      <c r="B26" s="218"/>
      <c r="C26" s="163"/>
      <c r="D26" s="164" t="s">
        <v>597</v>
      </c>
      <c r="E26" s="165"/>
      <c r="F26" s="165"/>
      <c r="G26" s="165"/>
      <c r="H26" s="166">
        <f>'A&amp;R'!G112</f>
        <v>46691</v>
      </c>
      <c r="I26" s="228">
        <f>'A&amp;R'!P42*(1+0)+I25</f>
        <v>50454607.721046075</v>
      </c>
      <c r="J26" s="168">
        <f t="shared" ref="J26:J31" si="30">SUM(L26:EQ26)</f>
        <v>-50454607.721046075</v>
      </c>
      <c r="K26" s="98"/>
      <c r="L26" s="168">
        <f>-$I26*(L$5=$H$26)</f>
        <v>0</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-50454607.721046075</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1.25" customHeight="1">
      <c r="B27" s="218"/>
      <c r="C27" s="163"/>
      <c r="D27" s="169" t="s">
        <v>598</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1.25" customHeight="1">
      <c r="B28" s="218"/>
      <c r="C28" s="163"/>
      <c r="D28" s="169" t="s">
        <v>261</v>
      </c>
      <c r="H28" s="146">
        <f>H27</f>
        <v>46691</v>
      </c>
      <c r="I28" s="229"/>
      <c r="J28" s="171">
        <f t="shared" ca="1" si="30"/>
        <v>33750000</v>
      </c>
      <c r="K28" s="98"/>
      <c r="L28" s="171">
        <f ca="1">'IS(M)'!M80*(L$5&gt;$H28)</f>
        <v>0</v>
      </c>
      <c r="M28" s="171">
        <f ca="1">'IS(M)'!N80*(M$5&gt;$H28)</f>
        <v>0</v>
      </c>
      <c r="N28" s="171">
        <f ca="1">'IS(M)'!O80*(N$5&gt;$H28)</f>
        <v>0</v>
      </c>
      <c r="O28" s="171">
        <f ca="1">'IS(M)'!P80*(O$5&gt;$H28)</f>
        <v>0</v>
      </c>
      <c r="P28" s="171">
        <f ca="1">'IS(M)'!Q80*(P$5&gt;$H28)</f>
        <v>0</v>
      </c>
      <c r="Q28" s="171">
        <f ca="1">'IS(M)'!R80*(Q$5&gt;$H28)</f>
        <v>0</v>
      </c>
      <c r="R28" s="171">
        <f ca="1">'IS(M)'!S80*(R$5&gt;$H28)</f>
        <v>0</v>
      </c>
      <c r="S28" s="171">
        <f ca="1">'IS(M)'!T80*(S$5&gt;$H28)</f>
        <v>0</v>
      </c>
      <c r="T28" s="171">
        <f ca="1">'IS(M)'!U80*(T$5&gt;$H28)</f>
        <v>0</v>
      </c>
      <c r="U28" s="171">
        <f ca="1">'IS(M)'!V80*(U$5&gt;$H28)</f>
        <v>0</v>
      </c>
      <c r="V28" s="171">
        <f ca="1">'IS(M)'!W80*(V$5&gt;$H28)</f>
        <v>0</v>
      </c>
      <c r="W28" s="171">
        <f ca="1">'IS(M)'!X80*(W$5&gt;$H28)</f>
        <v>0</v>
      </c>
      <c r="X28" s="171">
        <f ca="1">'IS(M)'!Y80*(X$5&gt;$H28)</f>
        <v>0</v>
      </c>
      <c r="Y28" s="171">
        <f ca="1">'IS(M)'!Z80*(Y$5&gt;$H28)</f>
        <v>0</v>
      </c>
      <c r="Z28" s="171">
        <f ca="1">'IS(M)'!AA80*(Z$5&gt;$H28)</f>
        <v>0</v>
      </c>
      <c r="AA28" s="171">
        <f ca="1">'IS(M)'!AB80*(AA$5&gt;$H28)</f>
        <v>0</v>
      </c>
      <c r="AB28" s="171">
        <f ca="1">'IS(M)'!AC80*(AB$5&gt;$H28)</f>
        <v>0</v>
      </c>
      <c r="AC28" s="171">
        <f ca="1">'IS(M)'!AD80*(AC$5&gt;$H28)</f>
        <v>0</v>
      </c>
      <c r="AD28" s="171">
        <f ca="1">'IS(M)'!AE80*(AD$5&gt;$H28)</f>
        <v>1875000</v>
      </c>
      <c r="AE28" s="171">
        <f ca="1">'IS(M)'!AF80*(AE$5&gt;$H28)</f>
        <v>0</v>
      </c>
      <c r="AF28" s="171">
        <f ca="1">'IS(M)'!AG80*(AF$5&gt;$H28)</f>
        <v>0</v>
      </c>
      <c r="AG28" s="171">
        <f ca="1">'IS(M)'!AH80*(AG$5&gt;$H28)</f>
        <v>0</v>
      </c>
      <c r="AH28" s="171">
        <f ca="1">'IS(M)'!AI80*(AH$5&gt;$H28)</f>
        <v>0</v>
      </c>
      <c r="AI28" s="171">
        <f ca="1">'IS(M)'!AJ80*(AI$5&gt;$H28)</f>
        <v>0</v>
      </c>
      <c r="AJ28" s="171">
        <f ca="1">'IS(M)'!AK80*(AJ$5&gt;$H28)</f>
        <v>1875000</v>
      </c>
      <c r="AK28" s="171">
        <f ca="1">'IS(M)'!AL80*(AK$5&gt;$H28)</f>
        <v>0</v>
      </c>
      <c r="AL28" s="171">
        <f ca="1">'IS(M)'!AM80*(AL$5&gt;$H28)</f>
        <v>0</v>
      </c>
      <c r="AM28" s="171">
        <f ca="1">'IS(M)'!AN80*(AM$5&gt;$H28)</f>
        <v>0</v>
      </c>
      <c r="AN28" s="171">
        <f ca="1">'IS(M)'!AO80*(AN$5&gt;$H28)</f>
        <v>0</v>
      </c>
      <c r="AO28" s="171">
        <f ca="1">'IS(M)'!AP80*(AO$5&gt;$H28)</f>
        <v>0</v>
      </c>
      <c r="AP28" s="171">
        <f ca="1">'IS(M)'!AQ80*(AP$5&gt;$H28)</f>
        <v>1875000</v>
      </c>
      <c r="AQ28" s="171">
        <f ca="1">'IS(M)'!AR80*(AQ$5&gt;$H28)</f>
        <v>0</v>
      </c>
      <c r="AR28" s="171">
        <f ca="1">'IS(M)'!AS80*(AR$5&gt;$H28)</f>
        <v>0</v>
      </c>
      <c r="AS28" s="171">
        <f ca="1">'IS(M)'!AT80*(AS$5&gt;$H28)</f>
        <v>0</v>
      </c>
      <c r="AT28" s="171">
        <f ca="1">'IS(M)'!AU80*(AT$5&gt;$H28)</f>
        <v>0</v>
      </c>
      <c r="AU28" s="171">
        <f ca="1">'IS(M)'!AV80*(AU$5&gt;$H28)</f>
        <v>0</v>
      </c>
      <c r="AV28" s="171">
        <f ca="1">'IS(M)'!AW80*(AV$5&gt;$H28)</f>
        <v>1875000</v>
      </c>
      <c r="AW28" s="171">
        <f ca="1">'IS(M)'!AX80*(AW$5&gt;$H28)</f>
        <v>0</v>
      </c>
      <c r="AX28" s="171">
        <f ca="1">'IS(M)'!AY80*(AX$5&gt;$H28)</f>
        <v>0</v>
      </c>
      <c r="AY28" s="171">
        <f ca="1">'IS(M)'!AZ80*(AY$5&gt;$H28)</f>
        <v>0</v>
      </c>
      <c r="AZ28" s="171">
        <f ca="1">'IS(M)'!BA80*(AZ$5&gt;$H28)</f>
        <v>0</v>
      </c>
      <c r="BA28" s="171">
        <f ca="1">'IS(M)'!BB80*(BA$5&gt;$H28)</f>
        <v>0</v>
      </c>
      <c r="BB28" s="171">
        <f ca="1">'IS(M)'!BC80*(BB$5&gt;$H28)</f>
        <v>1875000</v>
      </c>
      <c r="BC28" s="171">
        <f ca="1">'IS(M)'!BD80*(BC$5&gt;$H28)</f>
        <v>0</v>
      </c>
      <c r="BD28" s="171">
        <f ca="1">'IS(M)'!BE80*(BD$5&gt;$H28)</f>
        <v>0</v>
      </c>
      <c r="BE28" s="171">
        <f ca="1">'IS(M)'!BF80*(BE$5&gt;$H28)</f>
        <v>0</v>
      </c>
      <c r="BF28" s="171">
        <f ca="1">'IS(M)'!BG80*(BF$5&gt;$H28)</f>
        <v>0</v>
      </c>
      <c r="BG28" s="171">
        <f ca="1">'IS(M)'!BH80*(BG$5&gt;$H28)</f>
        <v>0</v>
      </c>
      <c r="BH28" s="171">
        <f ca="1">'IS(M)'!BI80*(BH$5&gt;$H28)</f>
        <v>1875000</v>
      </c>
      <c r="BI28" s="171">
        <f ca="1">'IS(M)'!BJ80*(BI$5&gt;$H28)</f>
        <v>0</v>
      </c>
      <c r="BJ28" s="171">
        <f ca="1">'IS(M)'!BK80*(BJ$5&gt;$H28)</f>
        <v>0</v>
      </c>
      <c r="BK28" s="171">
        <f ca="1">'IS(M)'!BL80*(BK$5&gt;$H28)</f>
        <v>0</v>
      </c>
      <c r="BL28" s="171">
        <f ca="1">'IS(M)'!BM80*(BL$5&gt;$H28)</f>
        <v>0</v>
      </c>
      <c r="BM28" s="171">
        <f ca="1">'IS(M)'!BN80*(BM$5&gt;$H28)</f>
        <v>0</v>
      </c>
      <c r="BN28" s="171">
        <f ca="1">'IS(M)'!BO80*(BN$5&gt;$H28)</f>
        <v>1856056.3038810929</v>
      </c>
      <c r="BO28" s="171">
        <f ca="1">'IS(M)'!BP80*(BO$5&gt;$H28)</f>
        <v>0</v>
      </c>
      <c r="BP28" s="171">
        <f ca="1">'IS(M)'!BQ80*(BP$5&gt;$H28)</f>
        <v>0</v>
      </c>
      <c r="BQ28" s="171">
        <f ca="1">'IS(M)'!BR80*(BQ$5&gt;$H28)</f>
        <v>0</v>
      </c>
      <c r="BR28" s="171">
        <f ca="1">'IS(M)'!BS80*(BR$5&gt;$H28)</f>
        <v>0</v>
      </c>
      <c r="BS28" s="171">
        <f ca="1">'IS(M)'!BT80*(BS$5&gt;$H28)</f>
        <v>0</v>
      </c>
      <c r="BT28" s="171">
        <f ca="1">'IS(M)'!BU80*(BT$5&gt;$H28)</f>
        <v>1761729.2937996686</v>
      </c>
      <c r="BU28" s="171">
        <f ca="1">'IS(M)'!BV80*(BU$5&gt;$H28)</f>
        <v>0</v>
      </c>
      <c r="BV28" s="171">
        <f ca="1">'IS(M)'!BW80*(BV$5&gt;$H28)</f>
        <v>0</v>
      </c>
      <c r="BW28" s="171">
        <f ca="1">'IS(M)'!BX80*(BW$5&gt;$H28)</f>
        <v>0</v>
      </c>
      <c r="BX28" s="171">
        <f ca="1">'IS(M)'!BY80*(BX$5&gt;$H28)</f>
        <v>0</v>
      </c>
      <c r="BY28" s="171">
        <f ca="1">'IS(M)'!BZ80*(BY$5&gt;$H28)</f>
        <v>0</v>
      </c>
      <c r="BZ28" s="171">
        <f ca="1">'IS(M)'!CA80*(BZ$5&gt;$H28)</f>
        <v>1838082.375135636</v>
      </c>
      <c r="CA28" s="171">
        <f ca="1">'IS(M)'!CB80*(CA$5&gt;$H28)</f>
        <v>0</v>
      </c>
      <c r="CB28" s="171">
        <f ca="1">'IS(M)'!CC80*(CB$5&gt;$H28)</f>
        <v>0</v>
      </c>
      <c r="CC28" s="171">
        <f ca="1">'IS(M)'!CD80*(CC$5&gt;$H28)</f>
        <v>0</v>
      </c>
      <c r="CD28" s="171">
        <f ca="1">'IS(M)'!CE80*(CD$5&gt;$H28)</f>
        <v>0</v>
      </c>
      <c r="CE28" s="171">
        <f ca="1">'IS(M)'!CF80*(CE$5&gt;$H28)</f>
        <v>0</v>
      </c>
      <c r="CF28" s="171">
        <f ca="1">'IS(M)'!CG80*(CF$5&gt;$H28)</f>
        <v>2044132.0271836026</v>
      </c>
      <c r="CG28" s="171">
        <f ca="1">'IS(M)'!CH80*(CG$5&gt;$H28)</f>
        <v>0</v>
      </c>
      <c r="CH28" s="171">
        <f ca="1">'IS(M)'!CI80*(CH$5&gt;$H28)</f>
        <v>0</v>
      </c>
      <c r="CI28" s="171">
        <f ca="1">'IS(M)'!CJ80*(CI$5&gt;$H28)</f>
        <v>0</v>
      </c>
      <c r="CJ28" s="171">
        <f ca="1">'IS(M)'!CK80*(CJ$5&gt;$H28)</f>
        <v>0</v>
      </c>
      <c r="CK28" s="171">
        <f ca="1">'IS(M)'!CL80*(CK$5&gt;$H28)</f>
        <v>0</v>
      </c>
      <c r="CL28" s="171">
        <f ca="1">'IS(M)'!CM80*(CL$5&gt;$H28)</f>
        <v>1875000</v>
      </c>
      <c r="CM28" s="171">
        <f ca="1">'IS(M)'!CN80*(CM$5&gt;$H28)</f>
        <v>0</v>
      </c>
      <c r="CN28" s="171">
        <f ca="1">'IS(M)'!CO80*(CN$5&gt;$H28)</f>
        <v>0</v>
      </c>
      <c r="CO28" s="171">
        <f ca="1">'IS(M)'!CP80*(CO$5&gt;$H28)</f>
        <v>0</v>
      </c>
      <c r="CP28" s="171">
        <f ca="1">'IS(M)'!CQ80*(CP$5&gt;$H28)</f>
        <v>0</v>
      </c>
      <c r="CQ28" s="171">
        <f ca="1">'IS(M)'!CR80*(CQ$5&gt;$H28)</f>
        <v>0</v>
      </c>
      <c r="CR28" s="171">
        <f ca="1">'IS(M)'!CS80*(CR$5&gt;$H28)</f>
        <v>1875000</v>
      </c>
      <c r="CS28" s="171">
        <f ca="1">'IS(M)'!CT80*(CS$5&gt;$H28)</f>
        <v>0</v>
      </c>
      <c r="CT28" s="171">
        <f ca="1">'IS(M)'!CU80*(CT$5&gt;$H28)</f>
        <v>0</v>
      </c>
      <c r="CU28" s="171">
        <f ca="1">'IS(M)'!CV80*(CU$5&gt;$H28)</f>
        <v>0</v>
      </c>
      <c r="CV28" s="171">
        <f ca="1">'IS(M)'!CW80*(CV$5&gt;$H28)</f>
        <v>0</v>
      </c>
      <c r="CW28" s="171">
        <f ca="1">'IS(M)'!CX80*(CW$5&gt;$H28)</f>
        <v>0</v>
      </c>
      <c r="CX28" s="171">
        <f ca="1">'IS(M)'!CY80*(CX$5&gt;$H28)</f>
        <v>1875000</v>
      </c>
      <c r="CY28" s="171">
        <f ca="1">'IS(M)'!CZ80*(CY$5&gt;$H28)</f>
        <v>0</v>
      </c>
      <c r="CZ28" s="171">
        <f ca="1">'IS(M)'!DA80*(CZ$5&gt;$H28)</f>
        <v>0</v>
      </c>
      <c r="DA28" s="171">
        <f ca="1">'IS(M)'!DB80*(DA$5&gt;$H28)</f>
        <v>0</v>
      </c>
      <c r="DB28" s="171">
        <f ca="1">'IS(M)'!DC80*(DB$5&gt;$H28)</f>
        <v>0</v>
      </c>
      <c r="DC28" s="171">
        <f ca="1">'IS(M)'!DD80*(DC$5&gt;$H28)</f>
        <v>0</v>
      </c>
      <c r="DD28" s="171">
        <f ca="1">'IS(M)'!DE80*(DD$5&gt;$H28)</f>
        <v>1875000</v>
      </c>
      <c r="DE28" s="171">
        <f ca="1">'IS(M)'!DF80*(DE$5&gt;$H28)</f>
        <v>0</v>
      </c>
      <c r="DF28" s="171">
        <f ca="1">'IS(M)'!DG80*(DF$5&gt;$H28)</f>
        <v>0</v>
      </c>
      <c r="DG28" s="171">
        <f ca="1">'IS(M)'!DH80*(DG$5&gt;$H28)</f>
        <v>0</v>
      </c>
      <c r="DH28" s="171">
        <f ca="1">'IS(M)'!DI80*(DH$5&gt;$H28)</f>
        <v>0</v>
      </c>
      <c r="DI28" s="171">
        <f ca="1">'IS(M)'!DJ80*(DI$5&gt;$H28)</f>
        <v>0</v>
      </c>
      <c r="DJ28" s="171">
        <f ca="1">'IS(M)'!DK80*(DJ$5&gt;$H28)</f>
        <v>1875000</v>
      </c>
      <c r="DK28" s="171">
        <f ca="1">'IS(M)'!DL80*(DK$5&gt;$H28)</f>
        <v>0</v>
      </c>
      <c r="DL28" s="171">
        <f ca="1">'IS(M)'!DM80*(DL$5&gt;$H28)</f>
        <v>0</v>
      </c>
      <c r="DM28" s="171">
        <f ca="1">'IS(M)'!DN80*(DM$5&gt;$H28)</f>
        <v>0</v>
      </c>
      <c r="DN28" s="171">
        <f ca="1">'IS(M)'!DO80*(DN$5&gt;$H28)</f>
        <v>0</v>
      </c>
      <c r="DO28" s="171">
        <f ca="1">'IS(M)'!DP80*(DO$5&gt;$H28)</f>
        <v>0</v>
      </c>
      <c r="DP28" s="171">
        <f ca="1">'IS(M)'!DQ80*(DP$5&gt;$H28)</f>
        <v>1875000</v>
      </c>
      <c r="DQ28" s="171">
        <f ca="1">'IS(M)'!DR80*(DQ$5&gt;$H28)</f>
        <v>0</v>
      </c>
      <c r="DR28" s="171">
        <f ca="1">'IS(M)'!DS80*(DR$5&gt;$H28)</f>
        <v>0</v>
      </c>
      <c r="DS28" s="171">
        <f ca="1">'IS(M)'!DT80*(DS$5&gt;$H28)</f>
        <v>0</v>
      </c>
      <c r="DT28" s="171">
        <f ca="1">'IS(M)'!DU80*(DT$5&gt;$H28)</f>
        <v>0</v>
      </c>
      <c r="DU28" s="171">
        <f ca="1">'IS(M)'!DV80*(DU$5&gt;$H28)</f>
        <v>0</v>
      </c>
      <c r="DV28" s="171">
        <f ca="1">'IS(M)'!DW80*(DV$5&gt;$H28)</f>
        <v>1875000</v>
      </c>
      <c r="DW28" s="171">
        <f ca="1">'IS(M)'!DX80*(DW$5&gt;$H28)</f>
        <v>0</v>
      </c>
      <c r="DX28" s="171">
        <f ca="1">'IS(M)'!DY80*(DX$5&gt;$H28)</f>
        <v>0</v>
      </c>
      <c r="DY28" s="171">
        <f ca="1">'IS(M)'!DZ80*(DY$5&gt;$H28)</f>
        <v>0</v>
      </c>
      <c r="DZ28" s="171">
        <f ca="1">'IS(M)'!EA80*(DZ$5&gt;$H28)</f>
        <v>0</v>
      </c>
      <c r="EA28" s="171">
        <f ca="1">'IS(M)'!EB80*(EA$5&gt;$H28)</f>
        <v>0</v>
      </c>
      <c r="EB28" s="171">
        <f ca="1">'IS(M)'!EC80*(EB$5&gt;$H28)</f>
        <v>1875000</v>
      </c>
      <c r="EC28" s="171">
        <f ca="1">'IS(M)'!ED80*(EC$5&gt;$H28)</f>
        <v>0</v>
      </c>
      <c r="ED28" s="171">
        <f ca="1">'IS(M)'!EE80*(ED$5&gt;$H28)</f>
        <v>0</v>
      </c>
      <c r="EE28" s="171">
        <f ca="1">'IS(M)'!EF80*(EE$5&gt;$H28)</f>
        <v>0</v>
      </c>
      <c r="EF28" s="171">
        <f ca="1">'IS(M)'!EG80*(EF$5&gt;$H28)</f>
        <v>0</v>
      </c>
      <c r="EG28" s="171">
        <f ca="1">'IS(M)'!EH80*(EG$5&gt;$H28)</f>
        <v>0</v>
      </c>
      <c r="EH28" s="171">
        <f ca="1">'IS(M)'!EI80*(EH$5&gt;$H28)</f>
        <v>0</v>
      </c>
      <c r="EI28" s="171">
        <f ca="1">'IS(M)'!EJ80*(EI$5&gt;$H28)</f>
        <v>0</v>
      </c>
      <c r="EJ28" s="171">
        <f ca="1">'IS(M)'!EK80*(EJ$5&gt;$H28)</f>
        <v>0</v>
      </c>
      <c r="EK28" s="171">
        <f ca="1">'IS(M)'!EL80*(EK$5&gt;$H28)</f>
        <v>0</v>
      </c>
      <c r="EL28" s="171">
        <f ca="1">'IS(M)'!EM80*(EL$5&gt;$H28)</f>
        <v>0</v>
      </c>
      <c r="EM28" s="171">
        <f ca="1">'IS(M)'!EN80*(EM$5&gt;$H28)</f>
        <v>0</v>
      </c>
      <c r="EN28" s="171">
        <f ca="1">'IS(M)'!EO80*(EN$5&gt;$H28)</f>
        <v>0</v>
      </c>
      <c r="EO28" s="171">
        <f ca="1">'IS(M)'!EP80*(EO$5&gt;$H28)</f>
        <v>0</v>
      </c>
      <c r="EP28" s="171">
        <f ca="1">'IS(M)'!EQ80*(EP$5&gt;$H28)</f>
        <v>0</v>
      </c>
      <c r="EQ28" s="171">
        <f ca="1">'IS(M)'!ER80*(EQ$5&gt;$H28)</f>
        <v>0</v>
      </c>
    </row>
    <row r="29" spans="2:147" ht="11.25" customHeight="1">
      <c r="B29" s="218"/>
      <c r="C29" s="163"/>
      <c r="D29" s="1017" t="s">
        <v>469</v>
      </c>
      <c r="E29" s="1018"/>
      <c r="F29" s="1018"/>
      <c r="G29" s="1019"/>
      <c r="H29" s="1020">
        <f>H28</f>
        <v>46691</v>
      </c>
      <c r="I29" s="1021">
        <f>SUM(J26:J27)</f>
        <v>-454607.72104607522</v>
      </c>
      <c r="J29" s="997">
        <f t="shared" si="30"/>
        <v>11660499.233842118</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11660499.233842118</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1.25" customHeight="1">
      <c r="B30" s="218"/>
      <c r="C30" s="163"/>
      <c r="D30" s="169" t="s">
        <v>599</v>
      </c>
      <c r="G30" s="1031" t="s">
        <v>604</v>
      </c>
      <c r="H30" s="1032">
        <f ca="1">(J28/I26)*(12/H31)</f>
        <v>7.4324232599984455E-2</v>
      </c>
      <c r="I30" s="1022">
        <f ca="1">(IRR($L30:$EQ30,0.01)+1)^12-1</f>
        <v>7.4928371891924472E-2</v>
      </c>
      <c r="J30" s="171">
        <f t="shared" ca="1" si="30"/>
        <v>33295392.278953929</v>
      </c>
      <c r="K30" s="98"/>
      <c r="L30" s="171">
        <f ca="1">SUM(L26:L28)</f>
        <v>0</v>
      </c>
      <c r="M30" s="171">
        <f t="shared" ref="M30:BX30" ca="1" si="34">SUM(M26:M28)</f>
        <v>0</v>
      </c>
      <c r="N30" s="171">
        <f t="shared" ca="1" si="34"/>
        <v>0</v>
      </c>
      <c r="O30" s="171">
        <f t="shared" ca="1" si="34"/>
        <v>0</v>
      </c>
      <c r="P30" s="171">
        <f t="shared" ca="1" si="34"/>
        <v>0</v>
      </c>
      <c r="Q30" s="171">
        <f t="shared" ca="1" si="34"/>
        <v>0</v>
      </c>
      <c r="R30" s="171">
        <f t="shared" ca="1" si="34"/>
        <v>0</v>
      </c>
      <c r="S30" s="171">
        <f t="shared" ca="1" si="34"/>
        <v>0</v>
      </c>
      <c r="T30" s="171">
        <f t="shared" ca="1" si="34"/>
        <v>0</v>
      </c>
      <c r="U30" s="171">
        <f t="shared" ca="1" si="34"/>
        <v>0</v>
      </c>
      <c r="V30" s="171">
        <f t="shared" ca="1" si="34"/>
        <v>0</v>
      </c>
      <c r="W30" s="171">
        <f t="shared" ca="1" si="34"/>
        <v>0</v>
      </c>
      <c r="X30" s="171">
        <f t="shared" ca="1" si="34"/>
        <v>-50454607.721046075</v>
      </c>
      <c r="Y30" s="171">
        <f t="shared" ca="1" si="34"/>
        <v>0</v>
      </c>
      <c r="Z30" s="171">
        <f t="shared" ca="1" si="34"/>
        <v>0</v>
      </c>
      <c r="AA30" s="171">
        <f t="shared" ca="1" si="34"/>
        <v>0</v>
      </c>
      <c r="AB30" s="171">
        <f t="shared" ca="1" si="34"/>
        <v>0</v>
      </c>
      <c r="AC30" s="171">
        <f t="shared" ca="1" si="34"/>
        <v>0</v>
      </c>
      <c r="AD30" s="171">
        <f t="shared" ca="1" si="34"/>
        <v>1875000</v>
      </c>
      <c r="AE30" s="171">
        <f t="shared" ca="1" si="34"/>
        <v>0</v>
      </c>
      <c r="AF30" s="171">
        <f t="shared" ca="1" si="34"/>
        <v>0</v>
      </c>
      <c r="AG30" s="171">
        <f t="shared" ca="1" si="34"/>
        <v>0</v>
      </c>
      <c r="AH30" s="171">
        <f t="shared" ca="1" si="34"/>
        <v>0</v>
      </c>
      <c r="AI30" s="171">
        <f t="shared" ca="1" si="34"/>
        <v>0</v>
      </c>
      <c r="AJ30" s="171">
        <f t="shared" ca="1" si="34"/>
        <v>1875000</v>
      </c>
      <c r="AK30" s="171">
        <f t="shared" ca="1" si="34"/>
        <v>0</v>
      </c>
      <c r="AL30" s="171">
        <f t="shared" ca="1" si="34"/>
        <v>0</v>
      </c>
      <c r="AM30" s="171">
        <f t="shared" ca="1" si="34"/>
        <v>0</v>
      </c>
      <c r="AN30" s="171">
        <f t="shared" ca="1" si="34"/>
        <v>0</v>
      </c>
      <c r="AO30" s="171">
        <f t="shared" ca="1" si="34"/>
        <v>0</v>
      </c>
      <c r="AP30" s="171">
        <f t="shared" ca="1" si="34"/>
        <v>1875000</v>
      </c>
      <c r="AQ30" s="171">
        <f t="shared" ca="1" si="34"/>
        <v>0</v>
      </c>
      <c r="AR30" s="171">
        <f t="shared" ca="1" si="34"/>
        <v>0</v>
      </c>
      <c r="AS30" s="171">
        <f t="shared" ca="1" si="34"/>
        <v>0</v>
      </c>
      <c r="AT30" s="171">
        <f t="shared" ca="1" si="34"/>
        <v>0</v>
      </c>
      <c r="AU30" s="171">
        <f t="shared" ca="1" si="34"/>
        <v>0</v>
      </c>
      <c r="AV30" s="171">
        <f t="shared" ca="1" si="34"/>
        <v>1875000</v>
      </c>
      <c r="AW30" s="171">
        <f t="shared" ca="1" si="34"/>
        <v>0</v>
      </c>
      <c r="AX30" s="171">
        <f t="shared" ca="1" si="34"/>
        <v>0</v>
      </c>
      <c r="AY30" s="171">
        <f t="shared" ca="1" si="34"/>
        <v>0</v>
      </c>
      <c r="AZ30" s="171">
        <f t="shared" ca="1" si="34"/>
        <v>0</v>
      </c>
      <c r="BA30" s="171">
        <f t="shared" ca="1" si="34"/>
        <v>0</v>
      </c>
      <c r="BB30" s="171">
        <f t="shared" ca="1" si="34"/>
        <v>1875000</v>
      </c>
      <c r="BC30" s="171">
        <f t="shared" ca="1" si="34"/>
        <v>0</v>
      </c>
      <c r="BD30" s="171">
        <f t="shared" ca="1" si="34"/>
        <v>0</v>
      </c>
      <c r="BE30" s="171">
        <f t="shared" ca="1" si="34"/>
        <v>0</v>
      </c>
      <c r="BF30" s="171">
        <f t="shared" ca="1" si="34"/>
        <v>0</v>
      </c>
      <c r="BG30" s="171">
        <f t="shared" ca="1" si="34"/>
        <v>0</v>
      </c>
      <c r="BH30" s="171">
        <f t="shared" ca="1" si="34"/>
        <v>1875000</v>
      </c>
      <c r="BI30" s="171">
        <f t="shared" ca="1" si="34"/>
        <v>0</v>
      </c>
      <c r="BJ30" s="171">
        <f t="shared" ca="1" si="34"/>
        <v>0</v>
      </c>
      <c r="BK30" s="171">
        <f t="shared" ca="1" si="34"/>
        <v>0</v>
      </c>
      <c r="BL30" s="171">
        <f t="shared" ca="1" si="34"/>
        <v>0</v>
      </c>
      <c r="BM30" s="171">
        <f t="shared" ca="1" si="34"/>
        <v>0</v>
      </c>
      <c r="BN30" s="171">
        <f t="shared" ca="1" si="34"/>
        <v>1856056.3038810929</v>
      </c>
      <c r="BO30" s="171">
        <f t="shared" ca="1" si="34"/>
        <v>0</v>
      </c>
      <c r="BP30" s="171">
        <f t="shared" ca="1" si="34"/>
        <v>0</v>
      </c>
      <c r="BQ30" s="171">
        <f t="shared" ca="1" si="34"/>
        <v>0</v>
      </c>
      <c r="BR30" s="171">
        <f t="shared" ca="1" si="34"/>
        <v>0</v>
      </c>
      <c r="BS30" s="171">
        <f t="shared" ca="1" si="34"/>
        <v>0</v>
      </c>
      <c r="BT30" s="171">
        <f t="shared" ca="1" si="34"/>
        <v>1761729.2937996686</v>
      </c>
      <c r="BU30" s="171">
        <f t="shared" ca="1" si="34"/>
        <v>0</v>
      </c>
      <c r="BV30" s="171">
        <f t="shared" ca="1" si="34"/>
        <v>0</v>
      </c>
      <c r="BW30" s="171">
        <f t="shared" ca="1" si="34"/>
        <v>0</v>
      </c>
      <c r="BX30" s="171">
        <f t="shared" ca="1" si="34"/>
        <v>0</v>
      </c>
      <c r="BY30" s="171">
        <f t="shared" ref="BY30:EJ30" ca="1" si="35">SUM(BY26:BY28)</f>
        <v>0</v>
      </c>
      <c r="BZ30" s="171">
        <f t="shared" ca="1" si="35"/>
        <v>1838082.375135636</v>
      </c>
      <c r="CA30" s="171">
        <f t="shared" ca="1" si="35"/>
        <v>0</v>
      </c>
      <c r="CB30" s="171">
        <f t="shared" ca="1" si="35"/>
        <v>0</v>
      </c>
      <c r="CC30" s="171">
        <f t="shared" ca="1" si="35"/>
        <v>0</v>
      </c>
      <c r="CD30" s="171">
        <f t="shared" ca="1" si="35"/>
        <v>0</v>
      </c>
      <c r="CE30" s="171">
        <f t="shared" ca="1" si="35"/>
        <v>0</v>
      </c>
      <c r="CF30" s="171">
        <f t="shared" ca="1" si="35"/>
        <v>2044132.0271836026</v>
      </c>
      <c r="CG30" s="171">
        <f t="shared" ca="1" si="35"/>
        <v>0</v>
      </c>
      <c r="CH30" s="171">
        <f t="shared" ca="1" si="35"/>
        <v>0</v>
      </c>
      <c r="CI30" s="171">
        <f t="shared" ca="1" si="35"/>
        <v>0</v>
      </c>
      <c r="CJ30" s="171">
        <f t="shared" ca="1" si="35"/>
        <v>0</v>
      </c>
      <c r="CK30" s="171">
        <f t="shared" ca="1" si="35"/>
        <v>0</v>
      </c>
      <c r="CL30" s="171">
        <f t="shared" ca="1" si="35"/>
        <v>1875000</v>
      </c>
      <c r="CM30" s="171">
        <f t="shared" ca="1" si="35"/>
        <v>0</v>
      </c>
      <c r="CN30" s="171">
        <f t="shared" ca="1" si="35"/>
        <v>0</v>
      </c>
      <c r="CO30" s="171">
        <f t="shared" ca="1" si="35"/>
        <v>0</v>
      </c>
      <c r="CP30" s="171">
        <f t="shared" ca="1" si="35"/>
        <v>0</v>
      </c>
      <c r="CQ30" s="171">
        <f t="shared" ca="1" si="35"/>
        <v>0</v>
      </c>
      <c r="CR30" s="171">
        <f t="shared" ca="1" si="35"/>
        <v>1875000</v>
      </c>
      <c r="CS30" s="171">
        <f t="shared" ca="1" si="35"/>
        <v>0</v>
      </c>
      <c r="CT30" s="171">
        <f t="shared" ca="1" si="35"/>
        <v>0</v>
      </c>
      <c r="CU30" s="171">
        <f t="shared" ca="1" si="35"/>
        <v>0</v>
      </c>
      <c r="CV30" s="171">
        <f t="shared" ca="1" si="35"/>
        <v>0</v>
      </c>
      <c r="CW30" s="171">
        <f t="shared" ca="1" si="35"/>
        <v>0</v>
      </c>
      <c r="CX30" s="171">
        <f t="shared" ca="1" si="35"/>
        <v>1875000</v>
      </c>
      <c r="CY30" s="171">
        <f t="shared" ca="1" si="35"/>
        <v>0</v>
      </c>
      <c r="CZ30" s="171">
        <f t="shared" ca="1" si="35"/>
        <v>0</v>
      </c>
      <c r="DA30" s="171">
        <f t="shared" ca="1" si="35"/>
        <v>0</v>
      </c>
      <c r="DB30" s="171">
        <f t="shared" ca="1" si="35"/>
        <v>0</v>
      </c>
      <c r="DC30" s="171">
        <f t="shared" ca="1" si="35"/>
        <v>0</v>
      </c>
      <c r="DD30" s="171">
        <f t="shared" ca="1" si="35"/>
        <v>1875000</v>
      </c>
      <c r="DE30" s="171">
        <f t="shared" ca="1" si="35"/>
        <v>0</v>
      </c>
      <c r="DF30" s="171">
        <f t="shared" ca="1" si="35"/>
        <v>0</v>
      </c>
      <c r="DG30" s="171">
        <f t="shared" ca="1" si="35"/>
        <v>0</v>
      </c>
      <c r="DH30" s="171">
        <f t="shared" ca="1" si="35"/>
        <v>0</v>
      </c>
      <c r="DI30" s="171">
        <f t="shared" ca="1" si="35"/>
        <v>0</v>
      </c>
      <c r="DJ30" s="171">
        <f t="shared" ca="1" si="35"/>
        <v>1875000</v>
      </c>
      <c r="DK30" s="171">
        <f t="shared" ca="1" si="35"/>
        <v>0</v>
      </c>
      <c r="DL30" s="171">
        <f t="shared" ca="1" si="35"/>
        <v>0</v>
      </c>
      <c r="DM30" s="171">
        <f t="shared" ca="1" si="35"/>
        <v>0</v>
      </c>
      <c r="DN30" s="171">
        <f t="shared" ca="1" si="35"/>
        <v>0</v>
      </c>
      <c r="DO30" s="171">
        <f t="shared" ca="1" si="35"/>
        <v>0</v>
      </c>
      <c r="DP30" s="171">
        <f t="shared" ca="1" si="35"/>
        <v>1875000</v>
      </c>
      <c r="DQ30" s="171">
        <f t="shared" ca="1" si="35"/>
        <v>0</v>
      </c>
      <c r="DR30" s="171">
        <f t="shared" ca="1" si="35"/>
        <v>0</v>
      </c>
      <c r="DS30" s="171">
        <f t="shared" ca="1" si="35"/>
        <v>0</v>
      </c>
      <c r="DT30" s="171">
        <f t="shared" ca="1" si="35"/>
        <v>0</v>
      </c>
      <c r="DU30" s="171">
        <f t="shared" ca="1" si="35"/>
        <v>0</v>
      </c>
      <c r="DV30" s="171">
        <f t="shared" ca="1" si="35"/>
        <v>1875000</v>
      </c>
      <c r="DW30" s="171">
        <f t="shared" ca="1" si="35"/>
        <v>0</v>
      </c>
      <c r="DX30" s="171">
        <f t="shared" ca="1" si="35"/>
        <v>0</v>
      </c>
      <c r="DY30" s="171">
        <f t="shared" ca="1" si="35"/>
        <v>0</v>
      </c>
      <c r="DZ30" s="171">
        <f t="shared" ca="1" si="35"/>
        <v>0</v>
      </c>
      <c r="EA30" s="171">
        <f t="shared" ca="1" si="35"/>
        <v>0</v>
      </c>
      <c r="EB30" s="171">
        <f t="shared" ca="1" si="35"/>
        <v>51875000</v>
      </c>
      <c r="EC30" s="171">
        <f t="shared" ca="1" si="35"/>
        <v>0</v>
      </c>
      <c r="ED30" s="171">
        <f t="shared" ca="1" si="35"/>
        <v>0</v>
      </c>
      <c r="EE30" s="171">
        <f t="shared" ca="1" si="35"/>
        <v>0</v>
      </c>
      <c r="EF30" s="171">
        <f t="shared" ca="1" si="35"/>
        <v>0</v>
      </c>
      <c r="EG30" s="171">
        <f t="shared" ca="1" si="35"/>
        <v>0</v>
      </c>
      <c r="EH30" s="171">
        <f t="shared" ca="1" si="35"/>
        <v>0</v>
      </c>
      <c r="EI30" s="171">
        <f t="shared" ca="1" si="35"/>
        <v>0</v>
      </c>
      <c r="EJ30" s="171">
        <f t="shared" ca="1" si="35"/>
        <v>0</v>
      </c>
      <c r="EK30" s="171">
        <f t="shared" ref="EK30:EQ30" ca="1" si="36">SUM(EK26:EK28)</f>
        <v>0</v>
      </c>
      <c r="EL30" s="171">
        <f t="shared" ca="1" si="36"/>
        <v>0</v>
      </c>
      <c r="EM30" s="171">
        <f t="shared" ca="1" si="36"/>
        <v>0</v>
      </c>
      <c r="EN30" s="171">
        <f t="shared" ca="1" si="36"/>
        <v>0</v>
      </c>
      <c r="EO30" s="171">
        <f t="shared" ca="1" si="36"/>
        <v>0</v>
      </c>
      <c r="EP30" s="171">
        <f t="shared" ca="1" si="36"/>
        <v>0</v>
      </c>
      <c r="EQ30" s="171">
        <f t="shared" ca="1" si="36"/>
        <v>0</v>
      </c>
    </row>
    <row r="31" spans="2:147" ht="11.25" customHeight="1">
      <c r="B31" s="218"/>
      <c r="C31" s="163"/>
      <c r="D31" s="169" t="s">
        <v>600</v>
      </c>
      <c r="G31" s="1032"/>
      <c r="H31" s="1030">
        <f>DATEDIF(H26-1,'A&amp;R'!$E$37+1,"m")</f>
        <v>108</v>
      </c>
      <c r="I31" s="1022">
        <f ca="1">(IRR($L31:$EQ31,0.01)+1)^12-1</f>
        <v>9.2834322117689716E-2</v>
      </c>
      <c r="J31" s="171">
        <f t="shared" ca="1" si="30"/>
        <v>44955891.512796044</v>
      </c>
      <c r="K31" s="98"/>
      <c r="L31" s="997">
        <f ca="1">SUM(L26:L29)</f>
        <v>0</v>
      </c>
      <c r="M31" s="997">
        <f t="shared" ref="M31:BX31" ca="1" si="37">SUM(M26:M29)</f>
        <v>0</v>
      </c>
      <c r="N31" s="997">
        <f t="shared" ca="1" si="37"/>
        <v>0</v>
      </c>
      <c r="O31" s="997">
        <f t="shared" ca="1" si="37"/>
        <v>0</v>
      </c>
      <c r="P31" s="997">
        <f t="shared" ca="1" si="37"/>
        <v>0</v>
      </c>
      <c r="Q31" s="997">
        <f t="shared" ca="1" si="37"/>
        <v>0</v>
      </c>
      <c r="R31" s="997">
        <f t="shared" ca="1" si="37"/>
        <v>0</v>
      </c>
      <c r="S31" s="997">
        <f t="shared" ca="1" si="37"/>
        <v>0</v>
      </c>
      <c r="T31" s="997">
        <f t="shared" ca="1" si="37"/>
        <v>0</v>
      </c>
      <c r="U31" s="997">
        <f t="shared" ca="1" si="37"/>
        <v>0</v>
      </c>
      <c r="V31" s="997">
        <f t="shared" ca="1" si="37"/>
        <v>0</v>
      </c>
      <c r="W31" s="997">
        <f t="shared" ca="1" si="37"/>
        <v>0</v>
      </c>
      <c r="X31" s="997">
        <f t="shared" ca="1" si="37"/>
        <v>-50454607.721046075</v>
      </c>
      <c r="Y31" s="997">
        <f t="shared" ca="1" si="37"/>
        <v>0</v>
      </c>
      <c r="Z31" s="997">
        <f t="shared" ca="1" si="37"/>
        <v>0</v>
      </c>
      <c r="AA31" s="997">
        <f t="shared" ca="1" si="37"/>
        <v>0</v>
      </c>
      <c r="AB31" s="997">
        <f t="shared" ca="1" si="37"/>
        <v>0</v>
      </c>
      <c r="AC31" s="997">
        <f t="shared" ca="1" si="37"/>
        <v>0</v>
      </c>
      <c r="AD31" s="997">
        <f t="shared" ca="1" si="37"/>
        <v>1875000</v>
      </c>
      <c r="AE31" s="997">
        <f t="shared" ca="1" si="37"/>
        <v>0</v>
      </c>
      <c r="AF31" s="997">
        <f t="shared" ca="1" si="37"/>
        <v>0</v>
      </c>
      <c r="AG31" s="997">
        <f t="shared" ca="1" si="37"/>
        <v>0</v>
      </c>
      <c r="AH31" s="997">
        <f t="shared" ca="1" si="37"/>
        <v>0</v>
      </c>
      <c r="AI31" s="997">
        <f t="shared" ca="1" si="37"/>
        <v>0</v>
      </c>
      <c r="AJ31" s="997">
        <f t="shared" ca="1" si="37"/>
        <v>1875000</v>
      </c>
      <c r="AK31" s="997">
        <f t="shared" ca="1" si="37"/>
        <v>0</v>
      </c>
      <c r="AL31" s="997">
        <f t="shared" ca="1" si="37"/>
        <v>0</v>
      </c>
      <c r="AM31" s="997">
        <f t="shared" ca="1" si="37"/>
        <v>0</v>
      </c>
      <c r="AN31" s="997">
        <f t="shared" ca="1" si="37"/>
        <v>0</v>
      </c>
      <c r="AO31" s="997">
        <f t="shared" ca="1" si="37"/>
        <v>0</v>
      </c>
      <c r="AP31" s="997">
        <f t="shared" ca="1" si="37"/>
        <v>1875000</v>
      </c>
      <c r="AQ31" s="997">
        <f t="shared" ca="1" si="37"/>
        <v>0</v>
      </c>
      <c r="AR31" s="997">
        <f t="shared" ca="1" si="37"/>
        <v>0</v>
      </c>
      <c r="AS31" s="997">
        <f t="shared" ca="1" si="37"/>
        <v>0</v>
      </c>
      <c r="AT31" s="997">
        <f t="shared" ca="1" si="37"/>
        <v>0</v>
      </c>
      <c r="AU31" s="997">
        <f t="shared" ca="1" si="37"/>
        <v>0</v>
      </c>
      <c r="AV31" s="997">
        <f t="shared" ca="1" si="37"/>
        <v>1875000</v>
      </c>
      <c r="AW31" s="997">
        <f t="shared" ca="1" si="37"/>
        <v>0</v>
      </c>
      <c r="AX31" s="997">
        <f t="shared" ca="1" si="37"/>
        <v>0</v>
      </c>
      <c r="AY31" s="997">
        <f t="shared" ca="1" si="37"/>
        <v>0</v>
      </c>
      <c r="AZ31" s="997">
        <f t="shared" ca="1" si="37"/>
        <v>0</v>
      </c>
      <c r="BA31" s="997">
        <f t="shared" ca="1" si="37"/>
        <v>0</v>
      </c>
      <c r="BB31" s="997">
        <f t="shared" ca="1" si="37"/>
        <v>1875000</v>
      </c>
      <c r="BC31" s="997">
        <f t="shared" ca="1" si="37"/>
        <v>0</v>
      </c>
      <c r="BD31" s="997">
        <f t="shared" ca="1" si="37"/>
        <v>0</v>
      </c>
      <c r="BE31" s="997">
        <f t="shared" ca="1" si="37"/>
        <v>0</v>
      </c>
      <c r="BF31" s="997">
        <f t="shared" ca="1" si="37"/>
        <v>0</v>
      </c>
      <c r="BG31" s="997">
        <f t="shared" ca="1" si="37"/>
        <v>0</v>
      </c>
      <c r="BH31" s="997">
        <f t="shared" ca="1" si="37"/>
        <v>1875000</v>
      </c>
      <c r="BI31" s="997">
        <f t="shared" ca="1" si="37"/>
        <v>0</v>
      </c>
      <c r="BJ31" s="997">
        <f t="shared" ca="1" si="37"/>
        <v>0</v>
      </c>
      <c r="BK31" s="997">
        <f t="shared" ca="1" si="37"/>
        <v>0</v>
      </c>
      <c r="BL31" s="997">
        <f t="shared" ca="1" si="37"/>
        <v>0</v>
      </c>
      <c r="BM31" s="997">
        <f t="shared" ca="1" si="37"/>
        <v>0</v>
      </c>
      <c r="BN31" s="997">
        <f t="shared" ca="1" si="37"/>
        <v>1856056.3038810929</v>
      </c>
      <c r="BO31" s="997">
        <f t="shared" ca="1" si="37"/>
        <v>0</v>
      </c>
      <c r="BP31" s="997">
        <f t="shared" ca="1" si="37"/>
        <v>0</v>
      </c>
      <c r="BQ31" s="997">
        <f t="shared" ca="1" si="37"/>
        <v>0</v>
      </c>
      <c r="BR31" s="997">
        <f t="shared" ca="1" si="37"/>
        <v>0</v>
      </c>
      <c r="BS31" s="997">
        <f t="shared" ca="1" si="37"/>
        <v>0</v>
      </c>
      <c r="BT31" s="997">
        <f t="shared" ca="1" si="37"/>
        <v>1761729.2937996686</v>
      </c>
      <c r="BU31" s="997">
        <f t="shared" ca="1" si="37"/>
        <v>0</v>
      </c>
      <c r="BV31" s="997">
        <f t="shared" ca="1" si="37"/>
        <v>0</v>
      </c>
      <c r="BW31" s="997">
        <f t="shared" ca="1" si="37"/>
        <v>0</v>
      </c>
      <c r="BX31" s="997">
        <f t="shared" ca="1" si="37"/>
        <v>0</v>
      </c>
      <c r="BY31" s="997">
        <f t="shared" ref="BY31:EJ31" ca="1" si="38">SUM(BY26:BY29)</f>
        <v>0</v>
      </c>
      <c r="BZ31" s="997">
        <f t="shared" ca="1" si="38"/>
        <v>1838082.375135636</v>
      </c>
      <c r="CA31" s="997">
        <f t="shared" ca="1" si="38"/>
        <v>0</v>
      </c>
      <c r="CB31" s="997">
        <f t="shared" ca="1" si="38"/>
        <v>0</v>
      </c>
      <c r="CC31" s="997">
        <f t="shared" ca="1" si="38"/>
        <v>0</v>
      </c>
      <c r="CD31" s="997">
        <f t="shared" ca="1" si="38"/>
        <v>0</v>
      </c>
      <c r="CE31" s="997">
        <f t="shared" ca="1" si="38"/>
        <v>0</v>
      </c>
      <c r="CF31" s="997">
        <f t="shared" ca="1" si="38"/>
        <v>2044132.0271836026</v>
      </c>
      <c r="CG31" s="997">
        <f t="shared" ca="1" si="38"/>
        <v>0</v>
      </c>
      <c r="CH31" s="997">
        <f t="shared" ca="1" si="38"/>
        <v>0</v>
      </c>
      <c r="CI31" s="997">
        <f t="shared" ca="1" si="38"/>
        <v>0</v>
      </c>
      <c r="CJ31" s="997">
        <f t="shared" ca="1" si="38"/>
        <v>0</v>
      </c>
      <c r="CK31" s="997">
        <f t="shared" ca="1" si="38"/>
        <v>0</v>
      </c>
      <c r="CL31" s="997">
        <f t="shared" ca="1" si="38"/>
        <v>1875000</v>
      </c>
      <c r="CM31" s="997">
        <f t="shared" ca="1" si="38"/>
        <v>0</v>
      </c>
      <c r="CN31" s="997">
        <f t="shared" ca="1" si="38"/>
        <v>0</v>
      </c>
      <c r="CO31" s="997">
        <f t="shared" ca="1" si="38"/>
        <v>0</v>
      </c>
      <c r="CP31" s="997">
        <f t="shared" ca="1" si="38"/>
        <v>0</v>
      </c>
      <c r="CQ31" s="997">
        <f t="shared" ca="1" si="38"/>
        <v>0</v>
      </c>
      <c r="CR31" s="997">
        <f t="shared" ca="1" si="38"/>
        <v>1875000</v>
      </c>
      <c r="CS31" s="997">
        <f t="shared" ca="1" si="38"/>
        <v>0</v>
      </c>
      <c r="CT31" s="997">
        <f t="shared" ca="1" si="38"/>
        <v>0</v>
      </c>
      <c r="CU31" s="997">
        <f t="shared" ca="1" si="38"/>
        <v>0</v>
      </c>
      <c r="CV31" s="997">
        <f t="shared" ca="1" si="38"/>
        <v>0</v>
      </c>
      <c r="CW31" s="997">
        <f t="shared" ca="1" si="38"/>
        <v>0</v>
      </c>
      <c r="CX31" s="997">
        <f t="shared" ca="1" si="38"/>
        <v>1875000</v>
      </c>
      <c r="CY31" s="997">
        <f t="shared" ca="1" si="38"/>
        <v>0</v>
      </c>
      <c r="CZ31" s="997">
        <f t="shared" ca="1" si="38"/>
        <v>0</v>
      </c>
      <c r="DA31" s="997">
        <f t="shared" ca="1" si="38"/>
        <v>0</v>
      </c>
      <c r="DB31" s="997">
        <f t="shared" ca="1" si="38"/>
        <v>0</v>
      </c>
      <c r="DC31" s="997">
        <f t="shared" ca="1" si="38"/>
        <v>0</v>
      </c>
      <c r="DD31" s="997">
        <f t="shared" ca="1" si="38"/>
        <v>1875000</v>
      </c>
      <c r="DE31" s="997">
        <f t="shared" ca="1" si="38"/>
        <v>0</v>
      </c>
      <c r="DF31" s="997">
        <f t="shared" ca="1" si="38"/>
        <v>0</v>
      </c>
      <c r="DG31" s="997">
        <f t="shared" ca="1" si="38"/>
        <v>0</v>
      </c>
      <c r="DH31" s="997">
        <f t="shared" ca="1" si="38"/>
        <v>0</v>
      </c>
      <c r="DI31" s="997">
        <f t="shared" ca="1" si="38"/>
        <v>0</v>
      </c>
      <c r="DJ31" s="997">
        <f t="shared" ca="1" si="38"/>
        <v>1875000</v>
      </c>
      <c r="DK31" s="997">
        <f t="shared" ca="1" si="38"/>
        <v>0</v>
      </c>
      <c r="DL31" s="997">
        <f t="shared" ca="1" si="38"/>
        <v>0</v>
      </c>
      <c r="DM31" s="997">
        <f t="shared" ca="1" si="38"/>
        <v>0</v>
      </c>
      <c r="DN31" s="997">
        <f t="shared" ca="1" si="38"/>
        <v>0</v>
      </c>
      <c r="DO31" s="997">
        <f t="shared" ca="1" si="38"/>
        <v>0</v>
      </c>
      <c r="DP31" s="997">
        <f t="shared" ca="1" si="38"/>
        <v>1875000</v>
      </c>
      <c r="DQ31" s="997">
        <f t="shared" ca="1" si="38"/>
        <v>0</v>
      </c>
      <c r="DR31" s="997">
        <f t="shared" ca="1" si="38"/>
        <v>0</v>
      </c>
      <c r="DS31" s="997">
        <f t="shared" ca="1" si="38"/>
        <v>0</v>
      </c>
      <c r="DT31" s="997">
        <f t="shared" ca="1" si="38"/>
        <v>0</v>
      </c>
      <c r="DU31" s="997">
        <f t="shared" ca="1" si="38"/>
        <v>0</v>
      </c>
      <c r="DV31" s="997">
        <f t="shared" ca="1" si="38"/>
        <v>1875000</v>
      </c>
      <c r="DW31" s="997">
        <f t="shared" ca="1" si="38"/>
        <v>0</v>
      </c>
      <c r="DX31" s="997">
        <f t="shared" ca="1" si="38"/>
        <v>0</v>
      </c>
      <c r="DY31" s="997">
        <f t="shared" ca="1" si="38"/>
        <v>0</v>
      </c>
      <c r="DZ31" s="997">
        <f t="shared" ca="1" si="38"/>
        <v>0</v>
      </c>
      <c r="EA31" s="997">
        <f t="shared" ca="1" si="38"/>
        <v>0</v>
      </c>
      <c r="EB31" s="997">
        <f t="shared" ca="1" si="38"/>
        <v>63535499.23384212</v>
      </c>
      <c r="EC31" s="997">
        <f t="shared" ca="1" si="38"/>
        <v>0</v>
      </c>
      <c r="ED31" s="997">
        <f t="shared" ca="1" si="38"/>
        <v>0</v>
      </c>
      <c r="EE31" s="997">
        <f t="shared" ca="1" si="38"/>
        <v>0</v>
      </c>
      <c r="EF31" s="997">
        <f t="shared" ca="1" si="38"/>
        <v>0</v>
      </c>
      <c r="EG31" s="997">
        <f t="shared" ca="1" si="38"/>
        <v>0</v>
      </c>
      <c r="EH31" s="997">
        <f t="shared" ca="1" si="38"/>
        <v>0</v>
      </c>
      <c r="EI31" s="997">
        <f t="shared" ca="1" si="38"/>
        <v>0</v>
      </c>
      <c r="EJ31" s="997">
        <f t="shared" ca="1" si="38"/>
        <v>0</v>
      </c>
      <c r="EK31" s="997">
        <f t="shared" ref="EK31:EQ31" ca="1" si="39">SUM(EK26:EK29)</f>
        <v>0</v>
      </c>
      <c r="EL31" s="997">
        <f t="shared" ca="1" si="39"/>
        <v>0</v>
      </c>
      <c r="EM31" s="997">
        <f t="shared" ca="1" si="39"/>
        <v>0</v>
      </c>
      <c r="EN31" s="997">
        <f t="shared" ca="1" si="39"/>
        <v>0</v>
      </c>
      <c r="EO31" s="997">
        <f t="shared" ca="1" si="39"/>
        <v>0</v>
      </c>
      <c r="EP31" s="997">
        <f t="shared" ca="1" si="39"/>
        <v>0</v>
      </c>
      <c r="EQ31" s="997">
        <f t="shared" ca="1" si="39"/>
        <v>0</v>
      </c>
    </row>
    <row r="32" spans="2:147" ht="11.25" customHeight="1">
      <c r="B32" s="218"/>
      <c r="C32" s="163"/>
      <c r="D32" s="1037" t="s">
        <v>217</v>
      </c>
      <c r="E32" s="886"/>
      <c r="F32" s="886"/>
      <c r="G32" s="1027"/>
      <c r="H32" s="1033"/>
      <c r="I32" s="1023"/>
      <c r="J32" s="888"/>
      <c r="K32" s="98"/>
      <c r="L32" s="171">
        <f t="shared" ref="L32:AQ32" si="40">K35</f>
        <v>0</v>
      </c>
      <c r="M32" s="171">
        <f t="shared" si="40"/>
        <v>0</v>
      </c>
      <c r="N32" s="171">
        <f t="shared" si="40"/>
        <v>0</v>
      </c>
      <c r="O32" s="171">
        <f t="shared" si="40"/>
        <v>0</v>
      </c>
      <c r="P32" s="171">
        <f t="shared" si="40"/>
        <v>0</v>
      </c>
      <c r="Q32" s="171">
        <f t="shared" si="40"/>
        <v>0</v>
      </c>
      <c r="R32" s="171">
        <f t="shared" si="40"/>
        <v>0</v>
      </c>
      <c r="S32" s="171">
        <f t="shared" si="40"/>
        <v>0</v>
      </c>
      <c r="T32" s="171">
        <f t="shared" si="40"/>
        <v>0</v>
      </c>
      <c r="U32" s="171">
        <f t="shared" si="40"/>
        <v>0</v>
      </c>
      <c r="V32" s="171">
        <f t="shared" si="40"/>
        <v>0</v>
      </c>
      <c r="W32" s="171">
        <f t="shared" si="40"/>
        <v>0</v>
      </c>
      <c r="X32" s="171">
        <f t="shared" si="40"/>
        <v>0</v>
      </c>
      <c r="Y32" s="171">
        <f t="shared" si="40"/>
        <v>50454607.721046075</v>
      </c>
      <c r="Z32" s="171">
        <f t="shared" si="40"/>
        <v>50454607.721046075</v>
      </c>
      <c r="AA32" s="171">
        <f t="shared" si="40"/>
        <v>50454607.721046075</v>
      </c>
      <c r="AB32" s="171">
        <f t="shared" si="40"/>
        <v>50454607.721046075</v>
      </c>
      <c r="AC32" s="171">
        <f t="shared" si="40"/>
        <v>50454607.721046075</v>
      </c>
      <c r="AD32" s="171">
        <f t="shared" si="40"/>
        <v>50454607.721046075</v>
      </c>
      <c r="AE32" s="171">
        <f t="shared" si="40"/>
        <v>50454607.721046075</v>
      </c>
      <c r="AF32" s="171">
        <f t="shared" si="40"/>
        <v>50454607.721046075</v>
      </c>
      <c r="AG32" s="171">
        <f t="shared" si="40"/>
        <v>50454607.721046075</v>
      </c>
      <c r="AH32" s="171">
        <f t="shared" si="40"/>
        <v>50454607.721046075</v>
      </c>
      <c r="AI32" s="171">
        <f t="shared" si="40"/>
        <v>50454607.721046075</v>
      </c>
      <c r="AJ32" s="171">
        <f t="shared" si="40"/>
        <v>50454607.721046075</v>
      </c>
      <c r="AK32" s="171">
        <f t="shared" si="40"/>
        <v>50454607.721046075</v>
      </c>
      <c r="AL32" s="171">
        <f t="shared" si="40"/>
        <v>50454607.721046075</v>
      </c>
      <c r="AM32" s="171">
        <f t="shared" si="40"/>
        <v>50454607.721046075</v>
      </c>
      <c r="AN32" s="171">
        <f t="shared" si="40"/>
        <v>50454607.721046075</v>
      </c>
      <c r="AO32" s="171">
        <f t="shared" si="40"/>
        <v>50454607.721046075</v>
      </c>
      <c r="AP32" s="171">
        <f t="shared" si="40"/>
        <v>50454607.721046075</v>
      </c>
      <c r="AQ32" s="171">
        <f t="shared" si="40"/>
        <v>50454607.721046075</v>
      </c>
      <c r="AR32" s="171">
        <f t="shared" ref="AR32:BW32" si="41">AQ35</f>
        <v>50454607.721046075</v>
      </c>
      <c r="AS32" s="171">
        <f t="shared" si="41"/>
        <v>50454607.721046075</v>
      </c>
      <c r="AT32" s="171">
        <f t="shared" si="41"/>
        <v>50454607.721046075</v>
      </c>
      <c r="AU32" s="171">
        <f t="shared" si="41"/>
        <v>50454607.721046075</v>
      </c>
      <c r="AV32" s="171">
        <f t="shared" si="41"/>
        <v>50454607.721046075</v>
      </c>
      <c r="AW32" s="171">
        <f t="shared" si="41"/>
        <v>50454607.721046075</v>
      </c>
      <c r="AX32" s="171">
        <f t="shared" si="41"/>
        <v>50454607.721046075</v>
      </c>
      <c r="AY32" s="171">
        <f t="shared" si="41"/>
        <v>50454607.721046075</v>
      </c>
      <c r="AZ32" s="171">
        <f t="shared" si="41"/>
        <v>50454607.721046075</v>
      </c>
      <c r="BA32" s="171">
        <f t="shared" si="41"/>
        <v>50454607.721046075</v>
      </c>
      <c r="BB32" s="171">
        <f t="shared" si="41"/>
        <v>50454607.721046075</v>
      </c>
      <c r="BC32" s="171">
        <f t="shared" si="41"/>
        <v>50454607.721046075</v>
      </c>
      <c r="BD32" s="171">
        <f t="shared" si="41"/>
        <v>50454607.721046075</v>
      </c>
      <c r="BE32" s="171">
        <f t="shared" si="41"/>
        <v>50454607.721046075</v>
      </c>
      <c r="BF32" s="171">
        <f t="shared" si="41"/>
        <v>50454607.721046075</v>
      </c>
      <c r="BG32" s="171">
        <f t="shared" si="41"/>
        <v>50454607.721046075</v>
      </c>
      <c r="BH32" s="171">
        <f t="shared" si="41"/>
        <v>50454607.721046075</v>
      </c>
      <c r="BI32" s="171">
        <f t="shared" si="41"/>
        <v>50454607.721046075</v>
      </c>
      <c r="BJ32" s="171">
        <f t="shared" si="41"/>
        <v>50454607.721046075</v>
      </c>
      <c r="BK32" s="171">
        <f t="shared" si="41"/>
        <v>50454607.721046075</v>
      </c>
      <c r="BL32" s="171">
        <f t="shared" si="41"/>
        <v>50454607.721046075</v>
      </c>
      <c r="BM32" s="171">
        <f t="shared" si="41"/>
        <v>50454607.721046075</v>
      </c>
      <c r="BN32" s="171">
        <f t="shared" si="41"/>
        <v>50454607.721046075</v>
      </c>
      <c r="BO32" s="171">
        <f t="shared" si="41"/>
        <v>50454607.721046075</v>
      </c>
      <c r="BP32" s="171">
        <f t="shared" si="41"/>
        <v>50454607.721046075</v>
      </c>
      <c r="BQ32" s="171">
        <f t="shared" si="41"/>
        <v>50454607.721046075</v>
      </c>
      <c r="BR32" s="171">
        <f t="shared" si="41"/>
        <v>50454607.721046075</v>
      </c>
      <c r="BS32" s="171">
        <f t="shared" si="41"/>
        <v>50454607.721046075</v>
      </c>
      <c r="BT32" s="171">
        <f t="shared" si="41"/>
        <v>50454607.721046075</v>
      </c>
      <c r="BU32" s="171">
        <f t="shared" si="41"/>
        <v>50454607.721046075</v>
      </c>
      <c r="BV32" s="171">
        <f t="shared" si="41"/>
        <v>50454607.721046075</v>
      </c>
      <c r="BW32" s="171">
        <f t="shared" si="41"/>
        <v>50454607.721046075</v>
      </c>
      <c r="BX32" s="171">
        <f t="shared" ref="BX32:DC32" si="42">BW35</f>
        <v>50454607.721046075</v>
      </c>
      <c r="BY32" s="171">
        <f t="shared" si="42"/>
        <v>50454607.721046075</v>
      </c>
      <c r="BZ32" s="171">
        <f t="shared" si="42"/>
        <v>50454607.721046075</v>
      </c>
      <c r="CA32" s="171">
        <f t="shared" si="42"/>
        <v>50454607.721046075</v>
      </c>
      <c r="CB32" s="171">
        <f t="shared" si="42"/>
        <v>50454607.721046075</v>
      </c>
      <c r="CC32" s="171">
        <f t="shared" si="42"/>
        <v>50454607.721046075</v>
      </c>
      <c r="CD32" s="171">
        <f t="shared" si="42"/>
        <v>50454607.721046075</v>
      </c>
      <c r="CE32" s="171">
        <f t="shared" si="42"/>
        <v>50454607.721046075</v>
      </c>
      <c r="CF32" s="171">
        <f t="shared" si="42"/>
        <v>50454607.721046075</v>
      </c>
      <c r="CG32" s="171">
        <f t="shared" si="42"/>
        <v>50454607.721046075</v>
      </c>
      <c r="CH32" s="171">
        <f t="shared" si="42"/>
        <v>50454607.721046075</v>
      </c>
      <c r="CI32" s="171">
        <f t="shared" si="42"/>
        <v>50454607.721046075</v>
      </c>
      <c r="CJ32" s="171">
        <f t="shared" si="42"/>
        <v>50454607.721046075</v>
      </c>
      <c r="CK32" s="171">
        <f t="shared" si="42"/>
        <v>50454607.721046075</v>
      </c>
      <c r="CL32" s="171">
        <f t="shared" si="42"/>
        <v>50454607.721046075</v>
      </c>
      <c r="CM32" s="171">
        <f t="shared" si="42"/>
        <v>50454607.721046075</v>
      </c>
      <c r="CN32" s="171">
        <f t="shared" si="42"/>
        <v>50454607.721046075</v>
      </c>
      <c r="CO32" s="171">
        <f t="shared" si="42"/>
        <v>50454607.721046075</v>
      </c>
      <c r="CP32" s="171">
        <f t="shared" si="42"/>
        <v>50454607.721046075</v>
      </c>
      <c r="CQ32" s="171">
        <f t="shared" si="42"/>
        <v>50454607.721046075</v>
      </c>
      <c r="CR32" s="171">
        <f t="shared" si="42"/>
        <v>50454607.721046075</v>
      </c>
      <c r="CS32" s="171">
        <f t="shared" si="42"/>
        <v>50454607.721046075</v>
      </c>
      <c r="CT32" s="171">
        <f t="shared" si="42"/>
        <v>50454607.721046075</v>
      </c>
      <c r="CU32" s="171">
        <f t="shared" si="42"/>
        <v>50454607.721046075</v>
      </c>
      <c r="CV32" s="171">
        <f t="shared" si="42"/>
        <v>50454607.721046075</v>
      </c>
      <c r="CW32" s="171">
        <f t="shared" si="42"/>
        <v>50454607.721046075</v>
      </c>
      <c r="CX32" s="171">
        <f t="shared" si="42"/>
        <v>50454607.721046075</v>
      </c>
      <c r="CY32" s="171">
        <f t="shared" si="42"/>
        <v>50454607.721046075</v>
      </c>
      <c r="CZ32" s="171">
        <f t="shared" si="42"/>
        <v>50454607.721046075</v>
      </c>
      <c r="DA32" s="171">
        <f t="shared" si="42"/>
        <v>50454607.721046075</v>
      </c>
      <c r="DB32" s="171">
        <f t="shared" si="42"/>
        <v>50454607.721046075</v>
      </c>
      <c r="DC32" s="171">
        <f t="shared" si="42"/>
        <v>50454607.721046075</v>
      </c>
      <c r="DD32" s="171">
        <f t="shared" ref="DD32:EI32" si="43">DC35</f>
        <v>50454607.721046075</v>
      </c>
      <c r="DE32" s="171">
        <f t="shared" si="43"/>
        <v>50454607.721046075</v>
      </c>
      <c r="DF32" s="171">
        <f t="shared" si="43"/>
        <v>50454607.721046075</v>
      </c>
      <c r="DG32" s="171">
        <f t="shared" si="43"/>
        <v>50454607.721046075</v>
      </c>
      <c r="DH32" s="171">
        <f t="shared" si="43"/>
        <v>50454607.721046075</v>
      </c>
      <c r="DI32" s="171">
        <f t="shared" si="43"/>
        <v>50454607.721046075</v>
      </c>
      <c r="DJ32" s="171">
        <f t="shared" si="43"/>
        <v>50454607.721046075</v>
      </c>
      <c r="DK32" s="171">
        <f t="shared" si="43"/>
        <v>50454607.721046075</v>
      </c>
      <c r="DL32" s="171">
        <f t="shared" si="43"/>
        <v>50454607.721046075</v>
      </c>
      <c r="DM32" s="171">
        <f t="shared" si="43"/>
        <v>50454607.721046075</v>
      </c>
      <c r="DN32" s="171">
        <f t="shared" si="43"/>
        <v>50454607.721046075</v>
      </c>
      <c r="DO32" s="171">
        <f t="shared" si="43"/>
        <v>50454607.721046075</v>
      </c>
      <c r="DP32" s="171">
        <f t="shared" si="43"/>
        <v>50454607.721046075</v>
      </c>
      <c r="DQ32" s="171">
        <f t="shared" si="43"/>
        <v>50454607.721046075</v>
      </c>
      <c r="DR32" s="171">
        <f t="shared" si="43"/>
        <v>50454607.721046075</v>
      </c>
      <c r="DS32" s="171">
        <f t="shared" si="43"/>
        <v>50454607.721046075</v>
      </c>
      <c r="DT32" s="171">
        <f t="shared" si="43"/>
        <v>50454607.721046075</v>
      </c>
      <c r="DU32" s="171">
        <f t="shared" si="43"/>
        <v>50454607.721046075</v>
      </c>
      <c r="DV32" s="171">
        <f t="shared" si="43"/>
        <v>50454607.721046075</v>
      </c>
      <c r="DW32" s="171">
        <f t="shared" si="43"/>
        <v>50454607.721046075</v>
      </c>
      <c r="DX32" s="171">
        <f t="shared" si="43"/>
        <v>50454607.721046075</v>
      </c>
      <c r="DY32" s="171">
        <f t="shared" si="43"/>
        <v>50454607.721046075</v>
      </c>
      <c r="DZ32" s="171">
        <f t="shared" si="43"/>
        <v>50454607.721046075</v>
      </c>
      <c r="EA32" s="171">
        <f t="shared" si="43"/>
        <v>50454607.721046075</v>
      </c>
      <c r="EB32" s="171">
        <f t="shared" si="43"/>
        <v>50454607.721046075</v>
      </c>
      <c r="EC32" s="171">
        <f t="shared" si="43"/>
        <v>0</v>
      </c>
      <c r="ED32" s="171">
        <f t="shared" si="43"/>
        <v>0</v>
      </c>
      <c r="EE32" s="171">
        <f t="shared" si="43"/>
        <v>0</v>
      </c>
      <c r="EF32" s="171">
        <f t="shared" si="43"/>
        <v>0</v>
      </c>
      <c r="EG32" s="171">
        <f t="shared" si="43"/>
        <v>0</v>
      </c>
      <c r="EH32" s="171">
        <f t="shared" si="43"/>
        <v>0</v>
      </c>
      <c r="EI32" s="171">
        <f t="shared" si="43"/>
        <v>0</v>
      </c>
      <c r="EJ32" s="171">
        <f t="shared" ref="EJ32:EQ32" si="44">EI35</f>
        <v>0</v>
      </c>
      <c r="EK32" s="171">
        <f t="shared" si="44"/>
        <v>0</v>
      </c>
      <c r="EL32" s="171">
        <f t="shared" si="44"/>
        <v>0</v>
      </c>
      <c r="EM32" s="171">
        <f t="shared" si="44"/>
        <v>0</v>
      </c>
      <c r="EN32" s="171">
        <f t="shared" si="44"/>
        <v>0</v>
      </c>
      <c r="EO32" s="171">
        <f t="shared" si="44"/>
        <v>0</v>
      </c>
      <c r="EP32" s="171">
        <f t="shared" si="44"/>
        <v>0</v>
      </c>
      <c r="EQ32" s="171">
        <f t="shared" si="44"/>
        <v>0</v>
      </c>
    </row>
    <row r="33" spans="2:147" ht="11.25" customHeight="1">
      <c r="B33" s="218"/>
      <c r="C33" s="163"/>
      <c r="D33" s="66" t="s">
        <v>218</v>
      </c>
      <c r="G33" s="1032"/>
      <c r="H33" s="1030"/>
      <c r="I33" s="1022"/>
      <c r="J33" s="171">
        <f>SUM(L33:EQ33)</f>
        <v>50454607.721046075</v>
      </c>
      <c r="K33" s="98"/>
      <c r="L33" s="171">
        <f>-L26</f>
        <v>0</v>
      </c>
      <c r="M33" s="171">
        <f t="shared" ref="M33:BX33" si="45">-M26</f>
        <v>0</v>
      </c>
      <c r="N33" s="171">
        <f t="shared" si="45"/>
        <v>0</v>
      </c>
      <c r="O33" s="171">
        <f t="shared" si="45"/>
        <v>0</v>
      </c>
      <c r="P33" s="171">
        <f t="shared" si="45"/>
        <v>0</v>
      </c>
      <c r="Q33" s="171">
        <f t="shared" si="45"/>
        <v>0</v>
      </c>
      <c r="R33" s="171">
        <f t="shared" si="45"/>
        <v>0</v>
      </c>
      <c r="S33" s="171">
        <f t="shared" si="45"/>
        <v>0</v>
      </c>
      <c r="T33" s="171">
        <f t="shared" si="45"/>
        <v>0</v>
      </c>
      <c r="U33" s="171">
        <f t="shared" si="45"/>
        <v>0</v>
      </c>
      <c r="V33" s="171">
        <f t="shared" si="45"/>
        <v>0</v>
      </c>
      <c r="W33" s="171">
        <f t="shared" si="45"/>
        <v>0</v>
      </c>
      <c r="X33" s="171">
        <f t="shared" si="45"/>
        <v>50454607.721046075</v>
      </c>
      <c r="Y33" s="171">
        <f t="shared" si="45"/>
        <v>0</v>
      </c>
      <c r="Z33" s="171">
        <f t="shared" si="45"/>
        <v>0</v>
      </c>
      <c r="AA33" s="171">
        <f t="shared" si="45"/>
        <v>0</v>
      </c>
      <c r="AB33" s="171">
        <f t="shared" si="45"/>
        <v>0</v>
      </c>
      <c r="AC33" s="171">
        <f t="shared" si="45"/>
        <v>0</v>
      </c>
      <c r="AD33" s="171">
        <f t="shared" si="45"/>
        <v>0</v>
      </c>
      <c r="AE33" s="171">
        <f t="shared" si="45"/>
        <v>0</v>
      </c>
      <c r="AF33" s="171">
        <f t="shared" si="45"/>
        <v>0</v>
      </c>
      <c r="AG33" s="171">
        <f t="shared" si="45"/>
        <v>0</v>
      </c>
      <c r="AH33" s="171">
        <f t="shared" si="45"/>
        <v>0</v>
      </c>
      <c r="AI33" s="171">
        <f t="shared" si="45"/>
        <v>0</v>
      </c>
      <c r="AJ33" s="171">
        <f t="shared" si="45"/>
        <v>0</v>
      </c>
      <c r="AK33" s="171">
        <f t="shared" si="45"/>
        <v>0</v>
      </c>
      <c r="AL33" s="171">
        <f t="shared" si="45"/>
        <v>0</v>
      </c>
      <c r="AM33" s="171">
        <f t="shared" si="45"/>
        <v>0</v>
      </c>
      <c r="AN33" s="171">
        <f t="shared" si="45"/>
        <v>0</v>
      </c>
      <c r="AO33" s="171">
        <f t="shared" si="45"/>
        <v>0</v>
      </c>
      <c r="AP33" s="171">
        <f t="shared" si="45"/>
        <v>0</v>
      </c>
      <c r="AQ33" s="171">
        <f t="shared" si="45"/>
        <v>0</v>
      </c>
      <c r="AR33" s="171">
        <f t="shared" si="45"/>
        <v>0</v>
      </c>
      <c r="AS33" s="171">
        <f t="shared" si="45"/>
        <v>0</v>
      </c>
      <c r="AT33" s="171">
        <f t="shared" si="45"/>
        <v>0</v>
      </c>
      <c r="AU33" s="171">
        <f t="shared" si="45"/>
        <v>0</v>
      </c>
      <c r="AV33" s="171">
        <f t="shared" si="45"/>
        <v>0</v>
      </c>
      <c r="AW33" s="171">
        <f t="shared" si="45"/>
        <v>0</v>
      </c>
      <c r="AX33" s="171">
        <f t="shared" si="45"/>
        <v>0</v>
      </c>
      <c r="AY33" s="171">
        <f t="shared" si="45"/>
        <v>0</v>
      </c>
      <c r="AZ33" s="171">
        <f t="shared" si="45"/>
        <v>0</v>
      </c>
      <c r="BA33" s="171">
        <f t="shared" si="45"/>
        <v>0</v>
      </c>
      <c r="BB33" s="171">
        <f t="shared" si="45"/>
        <v>0</v>
      </c>
      <c r="BC33" s="171">
        <f t="shared" si="45"/>
        <v>0</v>
      </c>
      <c r="BD33" s="171">
        <f t="shared" si="45"/>
        <v>0</v>
      </c>
      <c r="BE33" s="171">
        <f t="shared" si="45"/>
        <v>0</v>
      </c>
      <c r="BF33" s="171">
        <f t="shared" si="45"/>
        <v>0</v>
      </c>
      <c r="BG33" s="171">
        <f t="shared" si="45"/>
        <v>0</v>
      </c>
      <c r="BH33" s="171">
        <f t="shared" si="45"/>
        <v>0</v>
      </c>
      <c r="BI33" s="171">
        <f t="shared" si="45"/>
        <v>0</v>
      </c>
      <c r="BJ33" s="171">
        <f t="shared" si="45"/>
        <v>0</v>
      </c>
      <c r="BK33" s="171">
        <f t="shared" si="45"/>
        <v>0</v>
      </c>
      <c r="BL33" s="171">
        <f t="shared" si="45"/>
        <v>0</v>
      </c>
      <c r="BM33" s="171">
        <f t="shared" si="45"/>
        <v>0</v>
      </c>
      <c r="BN33" s="171">
        <f t="shared" si="45"/>
        <v>0</v>
      </c>
      <c r="BO33" s="171">
        <f t="shared" si="45"/>
        <v>0</v>
      </c>
      <c r="BP33" s="171">
        <f t="shared" si="45"/>
        <v>0</v>
      </c>
      <c r="BQ33" s="171">
        <f t="shared" si="45"/>
        <v>0</v>
      </c>
      <c r="BR33" s="171">
        <f t="shared" si="45"/>
        <v>0</v>
      </c>
      <c r="BS33" s="171">
        <f t="shared" si="45"/>
        <v>0</v>
      </c>
      <c r="BT33" s="171">
        <f t="shared" si="45"/>
        <v>0</v>
      </c>
      <c r="BU33" s="171">
        <f t="shared" si="45"/>
        <v>0</v>
      </c>
      <c r="BV33" s="171">
        <f t="shared" si="45"/>
        <v>0</v>
      </c>
      <c r="BW33" s="171">
        <f t="shared" si="45"/>
        <v>0</v>
      </c>
      <c r="BX33" s="171">
        <f t="shared" si="45"/>
        <v>0</v>
      </c>
      <c r="BY33" s="171">
        <f t="shared" ref="BY33:EJ33" si="46">-BY26</f>
        <v>0</v>
      </c>
      <c r="BZ33" s="171">
        <f t="shared" si="46"/>
        <v>0</v>
      </c>
      <c r="CA33" s="171">
        <f t="shared" si="46"/>
        <v>0</v>
      </c>
      <c r="CB33" s="171">
        <f t="shared" si="46"/>
        <v>0</v>
      </c>
      <c r="CC33" s="171">
        <f t="shared" si="46"/>
        <v>0</v>
      </c>
      <c r="CD33" s="171">
        <f t="shared" si="46"/>
        <v>0</v>
      </c>
      <c r="CE33" s="171">
        <f t="shared" si="46"/>
        <v>0</v>
      </c>
      <c r="CF33" s="171">
        <f t="shared" si="46"/>
        <v>0</v>
      </c>
      <c r="CG33" s="171">
        <f t="shared" si="46"/>
        <v>0</v>
      </c>
      <c r="CH33" s="171">
        <f t="shared" si="46"/>
        <v>0</v>
      </c>
      <c r="CI33" s="171">
        <f t="shared" si="46"/>
        <v>0</v>
      </c>
      <c r="CJ33" s="171">
        <f t="shared" si="46"/>
        <v>0</v>
      </c>
      <c r="CK33" s="171">
        <f t="shared" si="46"/>
        <v>0</v>
      </c>
      <c r="CL33" s="171">
        <f t="shared" si="46"/>
        <v>0</v>
      </c>
      <c r="CM33" s="171">
        <f t="shared" si="46"/>
        <v>0</v>
      </c>
      <c r="CN33" s="171">
        <f t="shared" si="46"/>
        <v>0</v>
      </c>
      <c r="CO33" s="171">
        <f t="shared" si="46"/>
        <v>0</v>
      </c>
      <c r="CP33" s="171">
        <f t="shared" si="46"/>
        <v>0</v>
      </c>
      <c r="CQ33" s="171">
        <f t="shared" si="46"/>
        <v>0</v>
      </c>
      <c r="CR33" s="171">
        <f t="shared" si="46"/>
        <v>0</v>
      </c>
      <c r="CS33" s="171">
        <f t="shared" si="46"/>
        <v>0</v>
      </c>
      <c r="CT33" s="171">
        <f t="shared" si="46"/>
        <v>0</v>
      </c>
      <c r="CU33" s="171">
        <f t="shared" si="46"/>
        <v>0</v>
      </c>
      <c r="CV33" s="171">
        <f t="shared" si="46"/>
        <v>0</v>
      </c>
      <c r="CW33" s="171">
        <f t="shared" si="46"/>
        <v>0</v>
      </c>
      <c r="CX33" s="171">
        <f t="shared" si="46"/>
        <v>0</v>
      </c>
      <c r="CY33" s="171">
        <f t="shared" si="46"/>
        <v>0</v>
      </c>
      <c r="CZ33" s="171">
        <f t="shared" si="46"/>
        <v>0</v>
      </c>
      <c r="DA33" s="171">
        <f t="shared" si="46"/>
        <v>0</v>
      </c>
      <c r="DB33" s="171">
        <f t="shared" si="46"/>
        <v>0</v>
      </c>
      <c r="DC33" s="171">
        <f t="shared" si="46"/>
        <v>0</v>
      </c>
      <c r="DD33" s="171">
        <f t="shared" si="46"/>
        <v>0</v>
      </c>
      <c r="DE33" s="171">
        <f t="shared" si="46"/>
        <v>0</v>
      </c>
      <c r="DF33" s="171">
        <f t="shared" si="46"/>
        <v>0</v>
      </c>
      <c r="DG33" s="171">
        <f t="shared" si="46"/>
        <v>0</v>
      </c>
      <c r="DH33" s="171">
        <f t="shared" si="46"/>
        <v>0</v>
      </c>
      <c r="DI33" s="171">
        <f t="shared" si="46"/>
        <v>0</v>
      </c>
      <c r="DJ33" s="171">
        <f t="shared" si="46"/>
        <v>0</v>
      </c>
      <c r="DK33" s="171">
        <f t="shared" si="46"/>
        <v>0</v>
      </c>
      <c r="DL33" s="171">
        <f t="shared" si="46"/>
        <v>0</v>
      </c>
      <c r="DM33" s="171">
        <f t="shared" si="46"/>
        <v>0</v>
      </c>
      <c r="DN33" s="171">
        <f t="shared" si="46"/>
        <v>0</v>
      </c>
      <c r="DO33" s="171">
        <f t="shared" si="46"/>
        <v>0</v>
      </c>
      <c r="DP33" s="171">
        <f t="shared" si="46"/>
        <v>0</v>
      </c>
      <c r="DQ33" s="171">
        <f t="shared" si="46"/>
        <v>0</v>
      </c>
      <c r="DR33" s="171">
        <f t="shared" si="46"/>
        <v>0</v>
      </c>
      <c r="DS33" s="171">
        <f t="shared" si="46"/>
        <v>0</v>
      </c>
      <c r="DT33" s="171">
        <f t="shared" si="46"/>
        <v>0</v>
      </c>
      <c r="DU33" s="171">
        <f t="shared" si="46"/>
        <v>0</v>
      </c>
      <c r="DV33" s="171">
        <f t="shared" si="46"/>
        <v>0</v>
      </c>
      <c r="DW33" s="171">
        <f t="shared" si="46"/>
        <v>0</v>
      </c>
      <c r="DX33" s="171">
        <f t="shared" si="46"/>
        <v>0</v>
      </c>
      <c r="DY33" s="171">
        <f t="shared" si="46"/>
        <v>0</v>
      </c>
      <c r="DZ33" s="171">
        <f t="shared" si="46"/>
        <v>0</v>
      </c>
      <c r="EA33" s="171">
        <f t="shared" si="46"/>
        <v>0</v>
      </c>
      <c r="EB33" s="171">
        <f t="shared" si="46"/>
        <v>0</v>
      </c>
      <c r="EC33" s="171">
        <f t="shared" si="46"/>
        <v>0</v>
      </c>
      <c r="ED33" s="171">
        <f t="shared" si="46"/>
        <v>0</v>
      </c>
      <c r="EE33" s="171">
        <f t="shared" si="46"/>
        <v>0</v>
      </c>
      <c r="EF33" s="171">
        <f t="shared" si="46"/>
        <v>0</v>
      </c>
      <c r="EG33" s="171">
        <f t="shared" si="46"/>
        <v>0</v>
      </c>
      <c r="EH33" s="171">
        <f t="shared" si="46"/>
        <v>0</v>
      </c>
      <c r="EI33" s="171">
        <f t="shared" si="46"/>
        <v>0</v>
      </c>
      <c r="EJ33" s="171">
        <f t="shared" si="46"/>
        <v>0</v>
      </c>
      <c r="EK33" s="171">
        <f t="shared" ref="EK33:EQ33" si="47">-EK26</f>
        <v>0</v>
      </c>
      <c r="EL33" s="171">
        <f t="shared" si="47"/>
        <v>0</v>
      </c>
      <c r="EM33" s="171">
        <f t="shared" si="47"/>
        <v>0</v>
      </c>
      <c r="EN33" s="171">
        <f t="shared" si="47"/>
        <v>0</v>
      </c>
      <c r="EO33" s="171">
        <f t="shared" si="47"/>
        <v>0</v>
      </c>
      <c r="EP33" s="171">
        <f t="shared" si="47"/>
        <v>0</v>
      </c>
      <c r="EQ33" s="171">
        <f t="shared" si="47"/>
        <v>0</v>
      </c>
    </row>
    <row r="34" spans="2:147" ht="11.25" customHeight="1">
      <c r="B34" s="218"/>
      <c r="C34" s="163"/>
      <c r="D34" s="66" t="s">
        <v>219</v>
      </c>
      <c r="G34" s="1032"/>
      <c r="H34" s="1039">
        <f>'A&amp;R'!$E$39</f>
        <v>49979</v>
      </c>
      <c r="I34" s="1022"/>
      <c r="J34" s="171">
        <f>SUM(L34:EQ34)</f>
        <v>50454607.721046075</v>
      </c>
      <c r="K34" s="98"/>
      <c r="L34" s="171">
        <f>SUM(L32:L33)*(L$5=$H34)</f>
        <v>0</v>
      </c>
      <c r="M34" s="171">
        <f t="shared" ref="M34:BX34" si="48">SUM(M32:M33)*(M$5=$H34)</f>
        <v>0</v>
      </c>
      <c r="N34" s="171">
        <f t="shared" si="48"/>
        <v>0</v>
      </c>
      <c r="O34" s="171">
        <f t="shared" si="48"/>
        <v>0</v>
      </c>
      <c r="P34" s="171">
        <f t="shared" si="48"/>
        <v>0</v>
      </c>
      <c r="Q34" s="171">
        <f t="shared" si="48"/>
        <v>0</v>
      </c>
      <c r="R34" s="171">
        <f t="shared" si="48"/>
        <v>0</v>
      </c>
      <c r="S34" s="171">
        <f t="shared" si="48"/>
        <v>0</v>
      </c>
      <c r="T34" s="171">
        <f t="shared" si="48"/>
        <v>0</v>
      </c>
      <c r="U34" s="171">
        <f t="shared" si="48"/>
        <v>0</v>
      </c>
      <c r="V34" s="171">
        <f t="shared" si="48"/>
        <v>0</v>
      </c>
      <c r="W34" s="171">
        <f t="shared" si="48"/>
        <v>0</v>
      </c>
      <c r="X34" s="171">
        <f t="shared" si="48"/>
        <v>0</v>
      </c>
      <c r="Y34" s="171">
        <f t="shared" si="48"/>
        <v>0</v>
      </c>
      <c r="Z34" s="171">
        <f t="shared" si="48"/>
        <v>0</v>
      </c>
      <c r="AA34" s="171">
        <f t="shared" si="48"/>
        <v>0</v>
      </c>
      <c r="AB34" s="171">
        <f t="shared" si="48"/>
        <v>0</v>
      </c>
      <c r="AC34" s="171">
        <f t="shared" si="48"/>
        <v>0</v>
      </c>
      <c r="AD34" s="171">
        <f t="shared" si="48"/>
        <v>0</v>
      </c>
      <c r="AE34" s="171">
        <f t="shared" si="48"/>
        <v>0</v>
      </c>
      <c r="AF34" s="171">
        <f t="shared" si="48"/>
        <v>0</v>
      </c>
      <c r="AG34" s="171">
        <f t="shared" si="48"/>
        <v>0</v>
      </c>
      <c r="AH34" s="171">
        <f t="shared" si="48"/>
        <v>0</v>
      </c>
      <c r="AI34" s="171">
        <f t="shared" si="48"/>
        <v>0</v>
      </c>
      <c r="AJ34" s="171">
        <f t="shared" si="48"/>
        <v>0</v>
      </c>
      <c r="AK34" s="171">
        <f t="shared" si="48"/>
        <v>0</v>
      </c>
      <c r="AL34" s="171">
        <f t="shared" si="48"/>
        <v>0</v>
      </c>
      <c r="AM34" s="171">
        <f t="shared" si="48"/>
        <v>0</v>
      </c>
      <c r="AN34" s="171">
        <f t="shared" si="48"/>
        <v>0</v>
      </c>
      <c r="AO34" s="171">
        <f t="shared" si="48"/>
        <v>0</v>
      </c>
      <c r="AP34" s="171">
        <f t="shared" si="48"/>
        <v>0</v>
      </c>
      <c r="AQ34" s="171">
        <f t="shared" si="48"/>
        <v>0</v>
      </c>
      <c r="AR34" s="171">
        <f t="shared" si="48"/>
        <v>0</v>
      </c>
      <c r="AS34" s="171">
        <f t="shared" si="48"/>
        <v>0</v>
      </c>
      <c r="AT34" s="171">
        <f t="shared" si="48"/>
        <v>0</v>
      </c>
      <c r="AU34" s="171">
        <f t="shared" si="48"/>
        <v>0</v>
      </c>
      <c r="AV34" s="171">
        <f t="shared" si="48"/>
        <v>0</v>
      </c>
      <c r="AW34" s="171">
        <f t="shared" si="48"/>
        <v>0</v>
      </c>
      <c r="AX34" s="171">
        <f t="shared" si="48"/>
        <v>0</v>
      </c>
      <c r="AY34" s="171">
        <f t="shared" si="48"/>
        <v>0</v>
      </c>
      <c r="AZ34" s="171">
        <f t="shared" si="48"/>
        <v>0</v>
      </c>
      <c r="BA34" s="171">
        <f t="shared" si="48"/>
        <v>0</v>
      </c>
      <c r="BB34" s="171">
        <f t="shared" si="48"/>
        <v>0</v>
      </c>
      <c r="BC34" s="171">
        <f t="shared" si="48"/>
        <v>0</v>
      </c>
      <c r="BD34" s="171">
        <f t="shared" si="48"/>
        <v>0</v>
      </c>
      <c r="BE34" s="171">
        <f t="shared" si="48"/>
        <v>0</v>
      </c>
      <c r="BF34" s="171">
        <f t="shared" si="48"/>
        <v>0</v>
      </c>
      <c r="BG34" s="171">
        <f t="shared" si="48"/>
        <v>0</v>
      </c>
      <c r="BH34" s="171">
        <f t="shared" si="48"/>
        <v>0</v>
      </c>
      <c r="BI34" s="171">
        <f t="shared" si="48"/>
        <v>0</v>
      </c>
      <c r="BJ34" s="171">
        <f t="shared" si="48"/>
        <v>0</v>
      </c>
      <c r="BK34" s="171">
        <f t="shared" si="48"/>
        <v>0</v>
      </c>
      <c r="BL34" s="171">
        <f t="shared" si="48"/>
        <v>0</v>
      </c>
      <c r="BM34" s="171">
        <f t="shared" si="48"/>
        <v>0</v>
      </c>
      <c r="BN34" s="171">
        <f t="shared" si="48"/>
        <v>0</v>
      </c>
      <c r="BO34" s="171">
        <f t="shared" si="48"/>
        <v>0</v>
      </c>
      <c r="BP34" s="171">
        <f t="shared" si="48"/>
        <v>0</v>
      </c>
      <c r="BQ34" s="171">
        <f t="shared" si="48"/>
        <v>0</v>
      </c>
      <c r="BR34" s="171">
        <f t="shared" si="48"/>
        <v>0</v>
      </c>
      <c r="BS34" s="171">
        <f t="shared" si="48"/>
        <v>0</v>
      </c>
      <c r="BT34" s="171">
        <f t="shared" si="48"/>
        <v>0</v>
      </c>
      <c r="BU34" s="171">
        <f t="shared" si="48"/>
        <v>0</v>
      </c>
      <c r="BV34" s="171">
        <f t="shared" si="48"/>
        <v>0</v>
      </c>
      <c r="BW34" s="171">
        <f t="shared" si="48"/>
        <v>0</v>
      </c>
      <c r="BX34" s="171">
        <f t="shared" si="48"/>
        <v>0</v>
      </c>
      <c r="BY34" s="171">
        <f t="shared" ref="BY34:EJ34" si="49">SUM(BY32:BY33)*(BY$5=$H34)</f>
        <v>0</v>
      </c>
      <c r="BZ34" s="171">
        <f t="shared" si="49"/>
        <v>0</v>
      </c>
      <c r="CA34" s="171">
        <f t="shared" si="49"/>
        <v>0</v>
      </c>
      <c r="CB34" s="171">
        <f t="shared" si="49"/>
        <v>0</v>
      </c>
      <c r="CC34" s="171">
        <f t="shared" si="49"/>
        <v>0</v>
      </c>
      <c r="CD34" s="171">
        <f t="shared" si="49"/>
        <v>0</v>
      </c>
      <c r="CE34" s="171">
        <f t="shared" si="49"/>
        <v>0</v>
      </c>
      <c r="CF34" s="171">
        <f t="shared" si="49"/>
        <v>0</v>
      </c>
      <c r="CG34" s="171">
        <f t="shared" si="49"/>
        <v>0</v>
      </c>
      <c r="CH34" s="171">
        <f t="shared" si="49"/>
        <v>0</v>
      </c>
      <c r="CI34" s="171">
        <f t="shared" si="49"/>
        <v>0</v>
      </c>
      <c r="CJ34" s="171">
        <f t="shared" si="49"/>
        <v>0</v>
      </c>
      <c r="CK34" s="171">
        <f t="shared" si="49"/>
        <v>0</v>
      </c>
      <c r="CL34" s="171">
        <f t="shared" si="49"/>
        <v>0</v>
      </c>
      <c r="CM34" s="171">
        <f t="shared" si="49"/>
        <v>0</v>
      </c>
      <c r="CN34" s="171">
        <f t="shared" si="49"/>
        <v>0</v>
      </c>
      <c r="CO34" s="171">
        <f t="shared" si="49"/>
        <v>0</v>
      </c>
      <c r="CP34" s="171">
        <f t="shared" si="49"/>
        <v>0</v>
      </c>
      <c r="CQ34" s="171">
        <f t="shared" si="49"/>
        <v>0</v>
      </c>
      <c r="CR34" s="171">
        <f t="shared" si="49"/>
        <v>0</v>
      </c>
      <c r="CS34" s="171">
        <f t="shared" si="49"/>
        <v>0</v>
      </c>
      <c r="CT34" s="171">
        <f t="shared" si="49"/>
        <v>0</v>
      </c>
      <c r="CU34" s="171">
        <f t="shared" si="49"/>
        <v>0</v>
      </c>
      <c r="CV34" s="171">
        <f t="shared" si="49"/>
        <v>0</v>
      </c>
      <c r="CW34" s="171">
        <f t="shared" si="49"/>
        <v>0</v>
      </c>
      <c r="CX34" s="171">
        <f t="shared" si="49"/>
        <v>0</v>
      </c>
      <c r="CY34" s="171">
        <f t="shared" si="49"/>
        <v>0</v>
      </c>
      <c r="CZ34" s="171">
        <f t="shared" si="49"/>
        <v>0</v>
      </c>
      <c r="DA34" s="171">
        <f t="shared" si="49"/>
        <v>0</v>
      </c>
      <c r="DB34" s="171">
        <f t="shared" si="49"/>
        <v>0</v>
      </c>
      <c r="DC34" s="171">
        <f t="shared" si="49"/>
        <v>0</v>
      </c>
      <c r="DD34" s="171">
        <f t="shared" si="49"/>
        <v>0</v>
      </c>
      <c r="DE34" s="171">
        <f t="shared" si="49"/>
        <v>0</v>
      </c>
      <c r="DF34" s="171">
        <f t="shared" si="49"/>
        <v>0</v>
      </c>
      <c r="DG34" s="171">
        <f t="shared" si="49"/>
        <v>0</v>
      </c>
      <c r="DH34" s="171">
        <f t="shared" si="49"/>
        <v>0</v>
      </c>
      <c r="DI34" s="171">
        <f t="shared" si="49"/>
        <v>0</v>
      </c>
      <c r="DJ34" s="171">
        <f t="shared" si="49"/>
        <v>0</v>
      </c>
      <c r="DK34" s="171">
        <f t="shared" si="49"/>
        <v>0</v>
      </c>
      <c r="DL34" s="171">
        <f t="shared" si="49"/>
        <v>0</v>
      </c>
      <c r="DM34" s="171">
        <f t="shared" si="49"/>
        <v>0</v>
      </c>
      <c r="DN34" s="171">
        <f t="shared" si="49"/>
        <v>0</v>
      </c>
      <c r="DO34" s="171">
        <f t="shared" si="49"/>
        <v>0</v>
      </c>
      <c r="DP34" s="171">
        <f t="shared" si="49"/>
        <v>0</v>
      </c>
      <c r="DQ34" s="171">
        <f t="shared" si="49"/>
        <v>0</v>
      </c>
      <c r="DR34" s="171">
        <f t="shared" si="49"/>
        <v>0</v>
      </c>
      <c r="DS34" s="171">
        <f t="shared" si="49"/>
        <v>0</v>
      </c>
      <c r="DT34" s="171">
        <f t="shared" si="49"/>
        <v>0</v>
      </c>
      <c r="DU34" s="171">
        <f t="shared" si="49"/>
        <v>0</v>
      </c>
      <c r="DV34" s="171">
        <f t="shared" si="49"/>
        <v>0</v>
      </c>
      <c r="DW34" s="171">
        <f t="shared" si="49"/>
        <v>0</v>
      </c>
      <c r="DX34" s="171">
        <f t="shared" si="49"/>
        <v>0</v>
      </c>
      <c r="DY34" s="171">
        <f t="shared" si="49"/>
        <v>0</v>
      </c>
      <c r="DZ34" s="171">
        <f t="shared" si="49"/>
        <v>0</v>
      </c>
      <c r="EA34" s="171">
        <f t="shared" si="49"/>
        <v>0</v>
      </c>
      <c r="EB34" s="171">
        <f t="shared" si="49"/>
        <v>50454607.721046075</v>
      </c>
      <c r="EC34" s="171">
        <f t="shared" si="49"/>
        <v>0</v>
      </c>
      <c r="ED34" s="171">
        <f t="shared" si="49"/>
        <v>0</v>
      </c>
      <c r="EE34" s="171">
        <f t="shared" si="49"/>
        <v>0</v>
      </c>
      <c r="EF34" s="171">
        <f t="shared" si="49"/>
        <v>0</v>
      </c>
      <c r="EG34" s="171">
        <f t="shared" si="49"/>
        <v>0</v>
      </c>
      <c r="EH34" s="171">
        <f t="shared" si="49"/>
        <v>0</v>
      </c>
      <c r="EI34" s="171">
        <f t="shared" si="49"/>
        <v>0</v>
      </c>
      <c r="EJ34" s="171">
        <f t="shared" si="49"/>
        <v>0</v>
      </c>
      <c r="EK34" s="171">
        <f t="shared" ref="EK34:EQ34" si="50">SUM(EK32:EK33)*(EK$5=$H34)</f>
        <v>0</v>
      </c>
      <c r="EL34" s="171">
        <f t="shared" si="50"/>
        <v>0</v>
      </c>
      <c r="EM34" s="171">
        <f t="shared" si="50"/>
        <v>0</v>
      </c>
      <c r="EN34" s="171">
        <f t="shared" si="50"/>
        <v>0</v>
      </c>
      <c r="EO34" s="171">
        <f t="shared" si="50"/>
        <v>0</v>
      </c>
      <c r="EP34" s="171">
        <f t="shared" si="50"/>
        <v>0</v>
      </c>
      <c r="EQ34" s="171">
        <f t="shared" si="50"/>
        <v>0</v>
      </c>
    </row>
    <row r="35" spans="2:147" ht="11.25" customHeight="1">
      <c r="B35" s="218"/>
      <c r="C35" s="163"/>
      <c r="D35" s="1038" t="s">
        <v>220</v>
      </c>
      <c r="E35" s="175"/>
      <c r="F35" s="175"/>
      <c r="G35" s="1034"/>
      <c r="H35" s="1035"/>
      <c r="I35" s="1036"/>
      <c r="J35" s="177"/>
      <c r="K35" s="98"/>
      <c r="L35" s="171">
        <f>L32+L33-L34</f>
        <v>0</v>
      </c>
      <c r="M35" s="171">
        <f t="shared" ref="M35:BX35" si="51">M32+M33-M34</f>
        <v>0</v>
      </c>
      <c r="N35" s="171">
        <f t="shared" si="51"/>
        <v>0</v>
      </c>
      <c r="O35" s="171">
        <f t="shared" si="51"/>
        <v>0</v>
      </c>
      <c r="P35" s="171">
        <f t="shared" si="51"/>
        <v>0</v>
      </c>
      <c r="Q35" s="171">
        <f t="shared" si="51"/>
        <v>0</v>
      </c>
      <c r="R35" s="171">
        <f t="shared" si="51"/>
        <v>0</v>
      </c>
      <c r="S35" s="171">
        <f t="shared" si="51"/>
        <v>0</v>
      </c>
      <c r="T35" s="171">
        <f t="shared" si="51"/>
        <v>0</v>
      </c>
      <c r="U35" s="171">
        <f t="shared" si="51"/>
        <v>0</v>
      </c>
      <c r="V35" s="171">
        <f t="shared" si="51"/>
        <v>0</v>
      </c>
      <c r="W35" s="171">
        <f t="shared" si="51"/>
        <v>0</v>
      </c>
      <c r="X35" s="171">
        <f t="shared" si="51"/>
        <v>50454607.721046075</v>
      </c>
      <c r="Y35" s="171">
        <f t="shared" si="51"/>
        <v>50454607.721046075</v>
      </c>
      <c r="Z35" s="171">
        <f t="shared" si="51"/>
        <v>50454607.721046075</v>
      </c>
      <c r="AA35" s="171">
        <f t="shared" si="51"/>
        <v>50454607.721046075</v>
      </c>
      <c r="AB35" s="171">
        <f t="shared" si="51"/>
        <v>50454607.721046075</v>
      </c>
      <c r="AC35" s="171">
        <f t="shared" si="51"/>
        <v>50454607.721046075</v>
      </c>
      <c r="AD35" s="171">
        <f t="shared" si="51"/>
        <v>50454607.721046075</v>
      </c>
      <c r="AE35" s="171">
        <f t="shared" si="51"/>
        <v>50454607.721046075</v>
      </c>
      <c r="AF35" s="171">
        <f t="shared" si="51"/>
        <v>50454607.721046075</v>
      </c>
      <c r="AG35" s="171">
        <f t="shared" si="51"/>
        <v>50454607.721046075</v>
      </c>
      <c r="AH35" s="171">
        <f t="shared" si="51"/>
        <v>50454607.721046075</v>
      </c>
      <c r="AI35" s="171">
        <f t="shared" si="51"/>
        <v>50454607.721046075</v>
      </c>
      <c r="AJ35" s="171">
        <f t="shared" si="51"/>
        <v>50454607.721046075</v>
      </c>
      <c r="AK35" s="171">
        <f t="shared" si="51"/>
        <v>50454607.721046075</v>
      </c>
      <c r="AL35" s="171">
        <f t="shared" si="51"/>
        <v>50454607.721046075</v>
      </c>
      <c r="AM35" s="171">
        <f t="shared" si="51"/>
        <v>50454607.721046075</v>
      </c>
      <c r="AN35" s="171">
        <f t="shared" si="51"/>
        <v>50454607.721046075</v>
      </c>
      <c r="AO35" s="171">
        <f t="shared" si="51"/>
        <v>50454607.721046075</v>
      </c>
      <c r="AP35" s="171">
        <f t="shared" si="51"/>
        <v>50454607.721046075</v>
      </c>
      <c r="AQ35" s="171">
        <f t="shared" si="51"/>
        <v>50454607.721046075</v>
      </c>
      <c r="AR35" s="171">
        <f t="shared" si="51"/>
        <v>50454607.721046075</v>
      </c>
      <c r="AS35" s="171">
        <f t="shared" si="51"/>
        <v>50454607.721046075</v>
      </c>
      <c r="AT35" s="171">
        <f t="shared" si="51"/>
        <v>50454607.721046075</v>
      </c>
      <c r="AU35" s="171">
        <f t="shared" si="51"/>
        <v>50454607.721046075</v>
      </c>
      <c r="AV35" s="171">
        <f t="shared" si="51"/>
        <v>50454607.721046075</v>
      </c>
      <c r="AW35" s="171">
        <f t="shared" si="51"/>
        <v>50454607.721046075</v>
      </c>
      <c r="AX35" s="171">
        <f t="shared" si="51"/>
        <v>50454607.721046075</v>
      </c>
      <c r="AY35" s="171">
        <f t="shared" si="51"/>
        <v>50454607.721046075</v>
      </c>
      <c r="AZ35" s="171">
        <f t="shared" si="51"/>
        <v>50454607.721046075</v>
      </c>
      <c r="BA35" s="171">
        <f t="shared" si="51"/>
        <v>50454607.721046075</v>
      </c>
      <c r="BB35" s="171">
        <f t="shared" si="51"/>
        <v>50454607.721046075</v>
      </c>
      <c r="BC35" s="171">
        <f t="shared" si="51"/>
        <v>50454607.721046075</v>
      </c>
      <c r="BD35" s="171">
        <f t="shared" si="51"/>
        <v>50454607.721046075</v>
      </c>
      <c r="BE35" s="171">
        <f t="shared" si="51"/>
        <v>50454607.721046075</v>
      </c>
      <c r="BF35" s="171">
        <f t="shared" si="51"/>
        <v>50454607.721046075</v>
      </c>
      <c r="BG35" s="171">
        <f t="shared" si="51"/>
        <v>50454607.721046075</v>
      </c>
      <c r="BH35" s="171">
        <f t="shared" si="51"/>
        <v>50454607.721046075</v>
      </c>
      <c r="BI35" s="171">
        <f t="shared" si="51"/>
        <v>50454607.721046075</v>
      </c>
      <c r="BJ35" s="171">
        <f t="shared" si="51"/>
        <v>50454607.721046075</v>
      </c>
      <c r="BK35" s="171">
        <f t="shared" si="51"/>
        <v>50454607.721046075</v>
      </c>
      <c r="BL35" s="171">
        <f t="shared" si="51"/>
        <v>50454607.721046075</v>
      </c>
      <c r="BM35" s="171">
        <f t="shared" si="51"/>
        <v>50454607.721046075</v>
      </c>
      <c r="BN35" s="171">
        <f t="shared" si="51"/>
        <v>50454607.721046075</v>
      </c>
      <c r="BO35" s="171">
        <f t="shared" si="51"/>
        <v>50454607.721046075</v>
      </c>
      <c r="BP35" s="171">
        <f t="shared" si="51"/>
        <v>50454607.721046075</v>
      </c>
      <c r="BQ35" s="171">
        <f t="shared" si="51"/>
        <v>50454607.721046075</v>
      </c>
      <c r="BR35" s="171">
        <f t="shared" si="51"/>
        <v>50454607.721046075</v>
      </c>
      <c r="BS35" s="171">
        <f t="shared" si="51"/>
        <v>50454607.721046075</v>
      </c>
      <c r="BT35" s="171">
        <f t="shared" si="51"/>
        <v>50454607.721046075</v>
      </c>
      <c r="BU35" s="171">
        <f t="shared" si="51"/>
        <v>50454607.721046075</v>
      </c>
      <c r="BV35" s="171">
        <f t="shared" si="51"/>
        <v>50454607.721046075</v>
      </c>
      <c r="BW35" s="171">
        <f t="shared" si="51"/>
        <v>50454607.721046075</v>
      </c>
      <c r="BX35" s="171">
        <f t="shared" si="51"/>
        <v>50454607.721046075</v>
      </c>
      <c r="BY35" s="171">
        <f t="shared" ref="BY35:EJ35" si="52">BY32+BY33-BY34</f>
        <v>50454607.721046075</v>
      </c>
      <c r="BZ35" s="171">
        <f t="shared" si="52"/>
        <v>50454607.721046075</v>
      </c>
      <c r="CA35" s="171">
        <f t="shared" si="52"/>
        <v>50454607.721046075</v>
      </c>
      <c r="CB35" s="171">
        <f t="shared" si="52"/>
        <v>50454607.721046075</v>
      </c>
      <c r="CC35" s="171">
        <f t="shared" si="52"/>
        <v>50454607.721046075</v>
      </c>
      <c r="CD35" s="171">
        <f t="shared" si="52"/>
        <v>50454607.721046075</v>
      </c>
      <c r="CE35" s="171">
        <f t="shared" si="52"/>
        <v>50454607.721046075</v>
      </c>
      <c r="CF35" s="171">
        <f t="shared" si="52"/>
        <v>50454607.721046075</v>
      </c>
      <c r="CG35" s="171">
        <f t="shared" si="52"/>
        <v>50454607.721046075</v>
      </c>
      <c r="CH35" s="171">
        <f t="shared" si="52"/>
        <v>50454607.721046075</v>
      </c>
      <c r="CI35" s="171">
        <f t="shared" si="52"/>
        <v>50454607.721046075</v>
      </c>
      <c r="CJ35" s="171">
        <f t="shared" si="52"/>
        <v>50454607.721046075</v>
      </c>
      <c r="CK35" s="171">
        <f t="shared" si="52"/>
        <v>50454607.721046075</v>
      </c>
      <c r="CL35" s="171">
        <f t="shared" si="52"/>
        <v>50454607.721046075</v>
      </c>
      <c r="CM35" s="171">
        <f t="shared" si="52"/>
        <v>50454607.721046075</v>
      </c>
      <c r="CN35" s="171">
        <f t="shared" si="52"/>
        <v>50454607.721046075</v>
      </c>
      <c r="CO35" s="171">
        <f t="shared" si="52"/>
        <v>50454607.721046075</v>
      </c>
      <c r="CP35" s="171">
        <f t="shared" si="52"/>
        <v>50454607.721046075</v>
      </c>
      <c r="CQ35" s="171">
        <f t="shared" si="52"/>
        <v>50454607.721046075</v>
      </c>
      <c r="CR35" s="171">
        <f t="shared" si="52"/>
        <v>50454607.721046075</v>
      </c>
      <c r="CS35" s="171">
        <f t="shared" si="52"/>
        <v>50454607.721046075</v>
      </c>
      <c r="CT35" s="171">
        <f t="shared" si="52"/>
        <v>50454607.721046075</v>
      </c>
      <c r="CU35" s="171">
        <f t="shared" si="52"/>
        <v>50454607.721046075</v>
      </c>
      <c r="CV35" s="171">
        <f t="shared" si="52"/>
        <v>50454607.721046075</v>
      </c>
      <c r="CW35" s="171">
        <f t="shared" si="52"/>
        <v>50454607.721046075</v>
      </c>
      <c r="CX35" s="171">
        <f t="shared" si="52"/>
        <v>50454607.721046075</v>
      </c>
      <c r="CY35" s="171">
        <f t="shared" si="52"/>
        <v>50454607.721046075</v>
      </c>
      <c r="CZ35" s="171">
        <f t="shared" si="52"/>
        <v>50454607.721046075</v>
      </c>
      <c r="DA35" s="171">
        <f t="shared" si="52"/>
        <v>50454607.721046075</v>
      </c>
      <c r="DB35" s="171">
        <f t="shared" si="52"/>
        <v>50454607.721046075</v>
      </c>
      <c r="DC35" s="171">
        <f t="shared" si="52"/>
        <v>50454607.721046075</v>
      </c>
      <c r="DD35" s="171">
        <f t="shared" si="52"/>
        <v>50454607.721046075</v>
      </c>
      <c r="DE35" s="171">
        <f t="shared" si="52"/>
        <v>50454607.721046075</v>
      </c>
      <c r="DF35" s="171">
        <f t="shared" si="52"/>
        <v>50454607.721046075</v>
      </c>
      <c r="DG35" s="171">
        <f t="shared" si="52"/>
        <v>50454607.721046075</v>
      </c>
      <c r="DH35" s="171">
        <f t="shared" si="52"/>
        <v>50454607.721046075</v>
      </c>
      <c r="DI35" s="171">
        <f t="shared" si="52"/>
        <v>50454607.721046075</v>
      </c>
      <c r="DJ35" s="171">
        <f t="shared" si="52"/>
        <v>50454607.721046075</v>
      </c>
      <c r="DK35" s="171">
        <f t="shared" si="52"/>
        <v>50454607.721046075</v>
      </c>
      <c r="DL35" s="171">
        <f t="shared" si="52"/>
        <v>50454607.721046075</v>
      </c>
      <c r="DM35" s="171">
        <f t="shared" si="52"/>
        <v>50454607.721046075</v>
      </c>
      <c r="DN35" s="171">
        <f t="shared" si="52"/>
        <v>50454607.721046075</v>
      </c>
      <c r="DO35" s="171">
        <f t="shared" si="52"/>
        <v>50454607.721046075</v>
      </c>
      <c r="DP35" s="171">
        <f t="shared" si="52"/>
        <v>50454607.721046075</v>
      </c>
      <c r="DQ35" s="171">
        <f t="shared" si="52"/>
        <v>50454607.721046075</v>
      </c>
      <c r="DR35" s="171">
        <f t="shared" si="52"/>
        <v>50454607.721046075</v>
      </c>
      <c r="DS35" s="171">
        <f t="shared" si="52"/>
        <v>50454607.721046075</v>
      </c>
      <c r="DT35" s="171">
        <f t="shared" si="52"/>
        <v>50454607.721046075</v>
      </c>
      <c r="DU35" s="171">
        <f t="shared" si="52"/>
        <v>50454607.721046075</v>
      </c>
      <c r="DV35" s="171">
        <f t="shared" si="52"/>
        <v>50454607.721046075</v>
      </c>
      <c r="DW35" s="171">
        <f t="shared" si="52"/>
        <v>50454607.721046075</v>
      </c>
      <c r="DX35" s="171">
        <f t="shared" si="52"/>
        <v>50454607.721046075</v>
      </c>
      <c r="DY35" s="171">
        <f t="shared" si="52"/>
        <v>50454607.721046075</v>
      </c>
      <c r="DZ35" s="171">
        <f t="shared" si="52"/>
        <v>50454607.721046075</v>
      </c>
      <c r="EA35" s="171">
        <f t="shared" si="52"/>
        <v>50454607.721046075</v>
      </c>
      <c r="EB35" s="171">
        <f t="shared" si="52"/>
        <v>0</v>
      </c>
      <c r="EC35" s="171">
        <f t="shared" si="52"/>
        <v>0</v>
      </c>
      <c r="ED35" s="171">
        <f t="shared" si="52"/>
        <v>0</v>
      </c>
      <c r="EE35" s="171">
        <f t="shared" si="52"/>
        <v>0</v>
      </c>
      <c r="EF35" s="171">
        <f t="shared" si="52"/>
        <v>0</v>
      </c>
      <c r="EG35" s="171">
        <f t="shared" si="52"/>
        <v>0</v>
      </c>
      <c r="EH35" s="171">
        <f t="shared" si="52"/>
        <v>0</v>
      </c>
      <c r="EI35" s="171">
        <f t="shared" si="52"/>
        <v>0</v>
      </c>
      <c r="EJ35" s="171">
        <f t="shared" si="52"/>
        <v>0</v>
      </c>
      <c r="EK35" s="171">
        <f t="shared" ref="EK35:EQ35" si="53">EK32+EK33-EK34</f>
        <v>0</v>
      </c>
      <c r="EL35" s="171">
        <f t="shared" si="53"/>
        <v>0</v>
      </c>
      <c r="EM35" s="171">
        <f t="shared" si="53"/>
        <v>0</v>
      </c>
      <c r="EN35" s="171">
        <f t="shared" si="53"/>
        <v>0</v>
      </c>
      <c r="EO35" s="171">
        <f t="shared" si="53"/>
        <v>0</v>
      </c>
      <c r="EP35" s="171">
        <f t="shared" si="53"/>
        <v>0</v>
      </c>
      <c r="EQ35" s="171">
        <f t="shared" si="53"/>
        <v>0</v>
      </c>
    </row>
    <row r="36" spans="2:147" ht="11.25" customHeight="1">
      <c r="B36" s="218"/>
      <c r="C36" s="158" t="s">
        <v>619</v>
      </c>
      <c r="D36" s="159"/>
      <c r="E36" s="159"/>
      <c r="F36" s="159"/>
      <c r="G36" s="159"/>
      <c r="H36" s="160" t="s">
        <v>1040</v>
      </c>
      <c r="I36" s="219">
        <f>'BS(M)'!K20*2.2%*'A&amp;R'!R44*('A&amp;R'!R44&gt;0.5)</f>
        <v>0</v>
      </c>
      <c r="J36" s="220">
        <f ca="1">SUM(J37:J40)</f>
        <v>49570427.819552772</v>
      </c>
      <c r="K36" s="98"/>
      <c r="L36" s="162">
        <f t="shared" ref="L36:AQ36" ca="1" si="54">SUM(L37:L40)</f>
        <v>-14800000</v>
      </c>
      <c r="M36" s="162">
        <f t="shared" ca="1" si="54"/>
        <v>0</v>
      </c>
      <c r="N36" s="162">
        <f t="shared" ca="1" si="54"/>
        <v>0</v>
      </c>
      <c r="O36" s="162">
        <f t="shared" ca="1" si="54"/>
        <v>0</v>
      </c>
      <c r="P36" s="162">
        <f t="shared" ca="1" si="54"/>
        <v>0</v>
      </c>
      <c r="Q36" s="162">
        <f t="shared" ca="1" si="54"/>
        <v>0</v>
      </c>
      <c r="R36" s="162">
        <f t="shared" ca="1" si="54"/>
        <v>555000</v>
      </c>
      <c r="S36" s="162">
        <f t="shared" ca="1" si="54"/>
        <v>0</v>
      </c>
      <c r="T36" s="162">
        <f t="shared" ca="1" si="54"/>
        <v>0</v>
      </c>
      <c r="U36" s="162">
        <f t="shared" ca="1" si="54"/>
        <v>0</v>
      </c>
      <c r="V36" s="162">
        <f t="shared" ca="1" si="54"/>
        <v>0</v>
      </c>
      <c r="W36" s="162">
        <f t="shared" ca="1" si="54"/>
        <v>0</v>
      </c>
      <c r="X36" s="162">
        <f t="shared" ca="1" si="54"/>
        <v>555000</v>
      </c>
      <c r="Y36" s="162">
        <f t="shared" ca="1" si="54"/>
        <v>0</v>
      </c>
      <c r="Z36" s="162">
        <f t="shared" ca="1" si="54"/>
        <v>0</v>
      </c>
      <c r="AA36" s="162">
        <f t="shared" ca="1" si="54"/>
        <v>0</v>
      </c>
      <c r="AB36" s="162">
        <f t="shared" ca="1" si="54"/>
        <v>0</v>
      </c>
      <c r="AC36" s="162">
        <f t="shared" ca="1" si="54"/>
        <v>0</v>
      </c>
      <c r="AD36" s="162">
        <f t="shared" ca="1" si="54"/>
        <v>0</v>
      </c>
      <c r="AE36" s="162">
        <f t="shared" ca="1" si="54"/>
        <v>0</v>
      </c>
      <c r="AF36" s="162">
        <f t="shared" ca="1" si="54"/>
        <v>0</v>
      </c>
      <c r="AG36" s="162">
        <f t="shared" ca="1" si="54"/>
        <v>0</v>
      </c>
      <c r="AH36" s="162">
        <f t="shared" ca="1" si="54"/>
        <v>0</v>
      </c>
      <c r="AI36" s="162">
        <f t="shared" ca="1" si="54"/>
        <v>0</v>
      </c>
      <c r="AJ36" s="162">
        <f t="shared" ca="1" si="54"/>
        <v>0</v>
      </c>
      <c r="AK36" s="162">
        <f t="shared" ca="1" si="54"/>
        <v>0</v>
      </c>
      <c r="AL36" s="162">
        <f t="shared" ca="1" si="54"/>
        <v>0</v>
      </c>
      <c r="AM36" s="162">
        <f t="shared" ca="1" si="54"/>
        <v>0</v>
      </c>
      <c r="AN36" s="162">
        <f t="shared" ca="1" si="54"/>
        <v>0</v>
      </c>
      <c r="AO36" s="162">
        <f t="shared" ca="1" si="54"/>
        <v>0</v>
      </c>
      <c r="AP36" s="162">
        <f t="shared" ca="1" si="54"/>
        <v>0</v>
      </c>
      <c r="AQ36" s="162">
        <f t="shared" ca="1" si="54"/>
        <v>0</v>
      </c>
      <c r="AR36" s="162">
        <f t="shared" ref="AR36:BW36" ca="1" si="55">SUM(AR37:AR40)</f>
        <v>0</v>
      </c>
      <c r="AS36" s="162">
        <f t="shared" ca="1" si="55"/>
        <v>0</v>
      </c>
      <c r="AT36" s="162">
        <f t="shared" ca="1" si="55"/>
        <v>0</v>
      </c>
      <c r="AU36" s="162">
        <f t="shared" ca="1" si="55"/>
        <v>0</v>
      </c>
      <c r="AV36" s="162">
        <f t="shared" ca="1" si="55"/>
        <v>0</v>
      </c>
      <c r="AW36" s="162">
        <f t="shared" ca="1" si="55"/>
        <v>0</v>
      </c>
      <c r="AX36" s="162">
        <f t="shared" ca="1" si="55"/>
        <v>0</v>
      </c>
      <c r="AY36" s="162">
        <f t="shared" ca="1" si="55"/>
        <v>0</v>
      </c>
      <c r="AZ36" s="162">
        <f t="shared" ca="1" si="55"/>
        <v>0</v>
      </c>
      <c r="BA36" s="162">
        <f t="shared" ca="1" si="55"/>
        <v>0</v>
      </c>
      <c r="BB36" s="162">
        <f t="shared" ca="1" si="55"/>
        <v>0</v>
      </c>
      <c r="BC36" s="162">
        <f t="shared" ca="1" si="55"/>
        <v>0</v>
      </c>
      <c r="BD36" s="162">
        <f t="shared" ca="1" si="55"/>
        <v>0</v>
      </c>
      <c r="BE36" s="162">
        <f t="shared" ca="1" si="55"/>
        <v>0</v>
      </c>
      <c r="BF36" s="162">
        <f t="shared" ca="1" si="55"/>
        <v>0</v>
      </c>
      <c r="BG36" s="162">
        <f t="shared" ca="1" si="55"/>
        <v>0</v>
      </c>
      <c r="BH36" s="162">
        <f t="shared" ca="1" si="55"/>
        <v>0</v>
      </c>
      <c r="BI36" s="162">
        <f t="shared" ca="1" si="55"/>
        <v>0</v>
      </c>
      <c r="BJ36" s="162">
        <f t="shared" ca="1" si="55"/>
        <v>0</v>
      </c>
      <c r="BK36" s="162">
        <f t="shared" ca="1" si="55"/>
        <v>0</v>
      </c>
      <c r="BL36" s="162">
        <f t="shared" ca="1" si="55"/>
        <v>0</v>
      </c>
      <c r="BM36" s="162">
        <f t="shared" ca="1" si="55"/>
        <v>0</v>
      </c>
      <c r="BN36" s="162">
        <f t="shared" ca="1" si="55"/>
        <v>0</v>
      </c>
      <c r="BO36" s="162">
        <f t="shared" ca="1" si="55"/>
        <v>0</v>
      </c>
      <c r="BP36" s="162">
        <f t="shared" ca="1" si="55"/>
        <v>0</v>
      </c>
      <c r="BQ36" s="162">
        <f t="shared" ca="1" si="55"/>
        <v>0</v>
      </c>
      <c r="BR36" s="162">
        <f t="shared" ca="1" si="55"/>
        <v>0</v>
      </c>
      <c r="BS36" s="162">
        <f t="shared" ca="1" si="55"/>
        <v>0</v>
      </c>
      <c r="BT36" s="162">
        <f t="shared" ca="1" si="55"/>
        <v>0</v>
      </c>
      <c r="BU36" s="162">
        <f t="shared" ca="1" si="55"/>
        <v>0</v>
      </c>
      <c r="BV36" s="162">
        <f t="shared" ca="1" si="55"/>
        <v>0</v>
      </c>
      <c r="BW36" s="162">
        <f t="shared" ca="1" si="55"/>
        <v>0</v>
      </c>
      <c r="BX36" s="162">
        <f t="shared" ref="BX36:DC36" ca="1" si="56">SUM(BX37:BX40)</f>
        <v>0</v>
      </c>
      <c r="BY36" s="162">
        <f t="shared" ca="1" si="56"/>
        <v>0</v>
      </c>
      <c r="BZ36" s="162">
        <f t="shared" ca="1" si="56"/>
        <v>0</v>
      </c>
      <c r="CA36" s="162">
        <f t="shared" ca="1" si="56"/>
        <v>0</v>
      </c>
      <c r="CB36" s="162">
        <f t="shared" ca="1" si="56"/>
        <v>0</v>
      </c>
      <c r="CC36" s="162">
        <f t="shared" ca="1" si="56"/>
        <v>0</v>
      </c>
      <c r="CD36" s="162">
        <f t="shared" ca="1" si="56"/>
        <v>0</v>
      </c>
      <c r="CE36" s="162">
        <f t="shared" ca="1" si="56"/>
        <v>0</v>
      </c>
      <c r="CF36" s="162">
        <f t="shared" ca="1" si="56"/>
        <v>0</v>
      </c>
      <c r="CG36" s="162">
        <f t="shared" ca="1" si="56"/>
        <v>0</v>
      </c>
      <c r="CH36" s="162">
        <f t="shared" ca="1" si="56"/>
        <v>0</v>
      </c>
      <c r="CI36" s="162">
        <f t="shared" ca="1" si="56"/>
        <v>0</v>
      </c>
      <c r="CJ36" s="162">
        <f t="shared" ca="1" si="56"/>
        <v>0</v>
      </c>
      <c r="CK36" s="162">
        <f t="shared" ca="1" si="56"/>
        <v>0</v>
      </c>
      <c r="CL36" s="162">
        <f t="shared" ca="1" si="56"/>
        <v>0</v>
      </c>
      <c r="CM36" s="162">
        <f t="shared" ca="1" si="56"/>
        <v>0</v>
      </c>
      <c r="CN36" s="162">
        <f t="shared" ca="1" si="56"/>
        <v>0</v>
      </c>
      <c r="CO36" s="162">
        <f t="shared" ca="1" si="56"/>
        <v>0</v>
      </c>
      <c r="CP36" s="162">
        <f t="shared" ca="1" si="56"/>
        <v>0</v>
      </c>
      <c r="CQ36" s="162">
        <f t="shared" ca="1" si="56"/>
        <v>0</v>
      </c>
      <c r="CR36" s="162">
        <f t="shared" ca="1" si="56"/>
        <v>0</v>
      </c>
      <c r="CS36" s="162">
        <f t="shared" ca="1" si="56"/>
        <v>0</v>
      </c>
      <c r="CT36" s="162">
        <f t="shared" ca="1" si="56"/>
        <v>0</v>
      </c>
      <c r="CU36" s="162">
        <f t="shared" ca="1" si="56"/>
        <v>0</v>
      </c>
      <c r="CV36" s="162">
        <f t="shared" ca="1" si="56"/>
        <v>0</v>
      </c>
      <c r="CW36" s="162">
        <f t="shared" ca="1" si="56"/>
        <v>0</v>
      </c>
      <c r="CX36" s="162">
        <f t="shared" ca="1" si="56"/>
        <v>0</v>
      </c>
      <c r="CY36" s="162">
        <f t="shared" ca="1" si="56"/>
        <v>0</v>
      </c>
      <c r="CZ36" s="162">
        <f t="shared" ca="1" si="56"/>
        <v>0</v>
      </c>
      <c r="DA36" s="162">
        <f t="shared" ca="1" si="56"/>
        <v>0</v>
      </c>
      <c r="DB36" s="162">
        <f t="shared" ca="1" si="56"/>
        <v>0</v>
      </c>
      <c r="DC36" s="162">
        <f t="shared" ca="1" si="56"/>
        <v>0</v>
      </c>
      <c r="DD36" s="162">
        <f t="shared" ref="DD36:DS36" ca="1" si="57">SUM(DD37:DD40)</f>
        <v>0</v>
      </c>
      <c r="DE36" s="162">
        <f t="shared" ca="1" si="57"/>
        <v>0</v>
      </c>
      <c r="DF36" s="162">
        <f t="shared" ca="1" si="57"/>
        <v>0</v>
      </c>
      <c r="DG36" s="162">
        <f t="shared" ca="1" si="57"/>
        <v>0</v>
      </c>
      <c r="DH36" s="162">
        <f t="shared" ca="1" si="57"/>
        <v>0</v>
      </c>
      <c r="DI36" s="162">
        <f t="shared" ca="1" si="57"/>
        <v>0</v>
      </c>
      <c r="DJ36" s="162">
        <f t="shared" ca="1" si="57"/>
        <v>0</v>
      </c>
      <c r="DK36" s="162">
        <f t="shared" ca="1" si="57"/>
        <v>0</v>
      </c>
      <c r="DL36" s="162">
        <f t="shared" ca="1" si="57"/>
        <v>0</v>
      </c>
      <c r="DM36" s="162">
        <f t="shared" ca="1" si="57"/>
        <v>0</v>
      </c>
      <c r="DN36" s="162">
        <f t="shared" ca="1" si="57"/>
        <v>0</v>
      </c>
      <c r="DO36" s="162">
        <f t="shared" ca="1" si="57"/>
        <v>0</v>
      </c>
      <c r="DP36" s="162">
        <f t="shared" ca="1" si="57"/>
        <v>0</v>
      </c>
      <c r="DQ36" s="162">
        <f t="shared" ca="1" si="57"/>
        <v>0</v>
      </c>
      <c r="DR36" s="162">
        <f t="shared" ca="1" si="57"/>
        <v>0</v>
      </c>
      <c r="DS36" s="162">
        <f t="shared" ca="1" si="57"/>
        <v>0</v>
      </c>
      <c r="DT36" s="162">
        <f t="shared" ref="DT36:EQ36" ca="1" si="58">SUM(DT37:DT40)</f>
        <v>0</v>
      </c>
      <c r="DU36" s="162">
        <f t="shared" ca="1" si="58"/>
        <v>0</v>
      </c>
      <c r="DV36" s="162">
        <f t="shared" ca="1" si="58"/>
        <v>0</v>
      </c>
      <c r="DW36" s="162">
        <f t="shared" ca="1" si="58"/>
        <v>0</v>
      </c>
      <c r="DX36" s="162">
        <f t="shared" ca="1" si="58"/>
        <v>0</v>
      </c>
      <c r="DY36" s="162">
        <f t="shared" ca="1" si="58"/>
        <v>0</v>
      </c>
      <c r="DZ36" s="162">
        <f t="shared" ca="1" si="58"/>
        <v>0</v>
      </c>
      <c r="EA36" s="162">
        <f t="shared" ca="1" si="58"/>
        <v>0</v>
      </c>
      <c r="EB36" s="162">
        <f t="shared" ca="1" si="58"/>
        <v>63260427.819552772</v>
      </c>
      <c r="EC36" s="162">
        <f t="shared" ca="1" si="58"/>
        <v>0</v>
      </c>
      <c r="ED36" s="162">
        <f t="shared" ca="1" si="58"/>
        <v>0</v>
      </c>
      <c r="EE36" s="162">
        <f t="shared" ca="1" si="58"/>
        <v>0</v>
      </c>
      <c r="EF36" s="162">
        <f t="shared" ca="1" si="58"/>
        <v>0</v>
      </c>
      <c r="EG36" s="162">
        <f t="shared" ca="1" si="58"/>
        <v>0</v>
      </c>
      <c r="EH36" s="162">
        <f t="shared" ca="1" si="58"/>
        <v>0</v>
      </c>
      <c r="EI36" s="162">
        <f t="shared" ca="1" si="58"/>
        <v>0</v>
      </c>
      <c r="EJ36" s="162">
        <f t="shared" ca="1" si="58"/>
        <v>0</v>
      </c>
      <c r="EK36" s="162">
        <f t="shared" ca="1" si="58"/>
        <v>0</v>
      </c>
      <c r="EL36" s="162">
        <f t="shared" ca="1" si="58"/>
        <v>0</v>
      </c>
      <c r="EM36" s="162">
        <f t="shared" ca="1" si="58"/>
        <v>0</v>
      </c>
      <c r="EN36" s="162">
        <f t="shared" ca="1" si="58"/>
        <v>0</v>
      </c>
      <c r="EO36" s="162">
        <f t="shared" ca="1" si="58"/>
        <v>0</v>
      </c>
      <c r="EP36" s="162">
        <f t="shared" ca="1" si="58"/>
        <v>0</v>
      </c>
      <c r="EQ36" s="162">
        <f t="shared" ca="1" si="58"/>
        <v>0</v>
      </c>
    </row>
    <row r="37" spans="2:147" ht="11.25" customHeight="1">
      <c r="B37" s="218"/>
      <c r="C37" s="163"/>
      <c r="D37" s="164" t="s">
        <v>597</v>
      </c>
      <c r="E37" s="165"/>
      <c r="F37" s="165"/>
      <c r="G37" s="165"/>
      <c r="H37" s="166">
        <f>'A&amp;R'!G112</f>
        <v>46691</v>
      </c>
      <c r="I37" s="228">
        <f>'A&amp;R'!$Q$44*(1+0)+I36</f>
        <v>14800000</v>
      </c>
      <c r="J37" s="168">
        <f t="shared" ref="J37:J42" si="59">SUM(L37:EQ37)</f>
        <v>-14800000</v>
      </c>
      <c r="K37" s="98"/>
      <c r="L37" s="168">
        <f>-'CF(M)'!L111</f>
        <v>-14800000</v>
      </c>
      <c r="M37" s="168">
        <f>-'CF(M)'!M111</f>
        <v>0</v>
      </c>
      <c r="N37" s="168">
        <f>-'CF(M)'!N111</f>
        <v>0</v>
      </c>
      <c r="O37" s="168">
        <f>-'CF(M)'!O111</f>
        <v>0</v>
      </c>
      <c r="P37" s="168">
        <f>-'CF(M)'!P111</f>
        <v>0</v>
      </c>
      <c r="Q37" s="168">
        <f>-'CF(M)'!Q111</f>
        <v>0</v>
      </c>
      <c r="R37" s="168">
        <f>-'CF(M)'!R111</f>
        <v>0</v>
      </c>
      <c r="S37" s="168">
        <f>-'CF(M)'!S111</f>
        <v>0</v>
      </c>
      <c r="T37" s="168">
        <f>-'CF(M)'!T111</f>
        <v>0</v>
      </c>
      <c r="U37" s="168">
        <f>-'CF(M)'!U111</f>
        <v>0</v>
      </c>
      <c r="V37" s="168">
        <f>-'CF(M)'!V111</f>
        <v>0</v>
      </c>
      <c r="W37" s="168">
        <f>-'CF(M)'!W111</f>
        <v>0</v>
      </c>
      <c r="X37" s="168">
        <f>-'CF(M)'!X111</f>
        <v>0</v>
      </c>
      <c r="Y37" s="168">
        <f>-'CF(M)'!Y111</f>
        <v>0</v>
      </c>
      <c r="Z37" s="168">
        <f>-'CF(M)'!Z111</f>
        <v>0</v>
      </c>
      <c r="AA37" s="168">
        <f>-'CF(M)'!AA111</f>
        <v>0</v>
      </c>
      <c r="AB37" s="168">
        <f>-'CF(M)'!AB111</f>
        <v>0</v>
      </c>
      <c r="AC37" s="168">
        <f>-'CF(M)'!AC111</f>
        <v>0</v>
      </c>
      <c r="AD37" s="168">
        <f>-'CF(M)'!AD111</f>
        <v>0</v>
      </c>
      <c r="AE37" s="168">
        <f>-'CF(M)'!AE111</f>
        <v>0</v>
      </c>
      <c r="AF37" s="168">
        <f>-'CF(M)'!AF111</f>
        <v>0</v>
      </c>
      <c r="AG37" s="168">
        <f>-'CF(M)'!AG111</f>
        <v>0</v>
      </c>
      <c r="AH37" s="168">
        <f>-'CF(M)'!AH111</f>
        <v>0</v>
      </c>
      <c r="AI37" s="168">
        <f>-'CF(M)'!AI111</f>
        <v>0</v>
      </c>
      <c r="AJ37" s="168">
        <f>-'CF(M)'!AJ111</f>
        <v>0</v>
      </c>
      <c r="AK37" s="168">
        <f>-'CF(M)'!AK111</f>
        <v>0</v>
      </c>
      <c r="AL37" s="168">
        <f>-'CF(M)'!AL111</f>
        <v>0</v>
      </c>
      <c r="AM37" s="168">
        <f>-'CF(M)'!AM111</f>
        <v>0</v>
      </c>
      <c r="AN37" s="168">
        <f>-'CF(M)'!AN111</f>
        <v>0</v>
      </c>
      <c r="AO37" s="168">
        <f>-'CF(M)'!AO111</f>
        <v>0</v>
      </c>
      <c r="AP37" s="168">
        <f>-'CF(M)'!AP111</f>
        <v>0</v>
      </c>
      <c r="AQ37" s="168">
        <f>-'CF(M)'!AQ111</f>
        <v>0</v>
      </c>
      <c r="AR37" s="168">
        <f>-'CF(M)'!AR111</f>
        <v>0</v>
      </c>
      <c r="AS37" s="168">
        <f>-'CF(M)'!AS111</f>
        <v>0</v>
      </c>
      <c r="AT37" s="168">
        <f>-'CF(M)'!AT111</f>
        <v>0</v>
      </c>
      <c r="AU37" s="168">
        <f>-'CF(M)'!AU111</f>
        <v>0</v>
      </c>
      <c r="AV37" s="168">
        <f>-'CF(M)'!AV111</f>
        <v>0</v>
      </c>
      <c r="AW37" s="168">
        <f>-'CF(M)'!AW111</f>
        <v>0</v>
      </c>
      <c r="AX37" s="168">
        <f>-'CF(M)'!AX111</f>
        <v>0</v>
      </c>
      <c r="AY37" s="168">
        <f>-'CF(M)'!AY111</f>
        <v>0</v>
      </c>
      <c r="AZ37" s="168">
        <f>-'CF(M)'!AZ111</f>
        <v>0</v>
      </c>
      <c r="BA37" s="168">
        <f>-'CF(M)'!BA111</f>
        <v>0</v>
      </c>
      <c r="BB37" s="168">
        <f>-'CF(M)'!BB111</f>
        <v>0</v>
      </c>
      <c r="BC37" s="168">
        <f>-'CF(M)'!BC111</f>
        <v>0</v>
      </c>
      <c r="BD37" s="168">
        <f>-'CF(M)'!BD111</f>
        <v>0</v>
      </c>
      <c r="BE37" s="168">
        <f>-'CF(M)'!BE111</f>
        <v>0</v>
      </c>
      <c r="BF37" s="168">
        <f>-'CF(M)'!BF111</f>
        <v>0</v>
      </c>
      <c r="BG37" s="168">
        <f>-'CF(M)'!BG111</f>
        <v>0</v>
      </c>
      <c r="BH37" s="168">
        <f>-'CF(M)'!BH111</f>
        <v>0</v>
      </c>
      <c r="BI37" s="168">
        <f>-'CF(M)'!BI111</f>
        <v>0</v>
      </c>
      <c r="BJ37" s="168">
        <f>-'CF(M)'!BJ111</f>
        <v>0</v>
      </c>
      <c r="BK37" s="168">
        <f>-'CF(M)'!BK111</f>
        <v>0</v>
      </c>
      <c r="BL37" s="168">
        <f>-'CF(M)'!BL111</f>
        <v>0</v>
      </c>
      <c r="BM37" s="168">
        <f>-'CF(M)'!BM111</f>
        <v>0</v>
      </c>
      <c r="BN37" s="168">
        <f>-'CF(M)'!BN111</f>
        <v>0</v>
      </c>
      <c r="BO37" s="168">
        <f>-'CF(M)'!BO111</f>
        <v>0</v>
      </c>
      <c r="BP37" s="168">
        <f>-'CF(M)'!BP111</f>
        <v>0</v>
      </c>
      <c r="BQ37" s="168">
        <f>-'CF(M)'!BQ111</f>
        <v>0</v>
      </c>
      <c r="BR37" s="168">
        <f>-'CF(M)'!BR111</f>
        <v>0</v>
      </c>
      <c r="BS37" s="168">
        <f>-'CF(M)'!BS111</f>
        <v>0</v>
      </c>
      <c r="BT37" s="168">
        <f>-'CF(M)'!BT111</f>
        <v>0</v>
      </c>
      <c r="BU37" s="168">
        <f>-'CF(M)'!BU111</f>
        <v>0</v>
      </c>
      <c r="BV37" s="168">
        <f>-'CF(M)'!BV111</f>
        <v>0</v>
      </c>
      <c r="BW37" s="168">
        <f>-'CF(M)'!BW111</f>
        <v>0</v>
      </c>
      <c r="BX37" s="168">
        <f>-'CF(M)'!BX111</f>
        <v>0</v>
      </c>
      <c r="BY37" s="168">
        <f>-'CF(M)'!BY111</f>
        <v>0</v>
      </c>
      <c r="BZ37" s="168">
        <f>-'CF(M)'!BZ111</f>
        <v>0</v>
      </c>
      <c r="CA37" s="168">
        <f>-'CF(M)'!CA111</f>
        <v>0</v>
      </c>
      <c r="CB37" s="168">
        <f>-'CF(M)'!CB111</f>
        <v>0</v>
      </c>
      <c r="CC37" s="168">
        <f>-'CF(M)'!CC111</f>
        <v>0</v>
      </c>
      <c r="CD37" s="168">
        <f>-'CF(M)'!CD111</f>
        <v>0</v>
      </c>
      <c r="CE37" s="168">
        <f>-'CF(M)'!CE111</f>
        <v>0</v>
      </c>
      <c r="CF37" s="168">
        <f>-'CF(M)'!CF111</f>
        <v>0</v>
      </c>
      <c r="CG37" s="168">
        <f>-'CF(M)'!CG111</f>
        <v>0</v>
      </c>
      <c r="CH37" s="168">
        <f>-'CF(M)'!CH111</f>
        <v>0</v>
      </c>
      <c r="CI37" s="168">
        <f>-'CF(M)'!CI111</f>
        <v>0</v>
      </c>
      <c r="CJ37" s="168">
        <f>-'CF(M)'!CJ111</f>
        <v>0</v>
      </c>
      <c r="CK37" s="168">
        <f>-'CF(M)'!CK111</f>
        <v>0</v>
      </c>
      <c r="CL37" s="168">
        <f>-'CF(M)'!CL111</f>
        <v>0</v>
      </c>
      <c r="CM37" s="168">
        <f>-'CF(M)'!CM111</f>
        <v>0</v>
      </c>
      <c r="CN37" s="168">
        <f>-'CF(M)'!CN111</f>
        <v>0</v>
      </c>
      <c r="CO37" s="168">
        <f>-'CF(M)'!CO111</f>
        <v>0</v>
      </c>
      <c r="CP37" s="168">
        <f>-'CF(M)'!CP111</f>
        <v>0</v>
      </c>
      <c r="CQ37" s="168">
        <f>-'CF(M)'!CQ111</f>
        <v>0</v>
      </c>
      <c r="CR37" s="168">
        <f>-'CF(M)'!CR111</f>
        <v>0</v>
      </c>
      <c r="CS37" s="168">
        <f>-'CF(M)'!CS111</f>
        <v>0</v>
      </c>
      <c r="CT37" s="168">
        <f>-'CF(M)'!CT111</f>
        <v>0</v>
      </c>
      <c r="CU37" s="168">
        <f>-'CF(M)'!CU111</f>
        <v>0</v>
      </c>
      <c r="CV37" s="168">
        <f>-'CF(M)'!CV111</f>
        <v>0</v>
      </c>
      <c r="CW37" s="168">
        <f>-'CF(M)'!CW111</f>
        <v>0</v>
      </c>
      <c r="CX37" s="168">
        <f>-'CF(M)'!CX111</f>
        <v>0</v>
      </c>
      <c r="CY37" s="168">
        <f>-'CF(M)'!CY111</f>
        <v>0</v>
      </c>
      <c r="CZ37" s="168">
        <f>-'CF(M)'!CZ111</f>
        <v>0</v>
      </c>
      <c r="DA37" s="168">
        <f>-'CF(M)'!DA111</f>
        <v>0</v>
      </c>
      <c r="DB37" s="168">
        <f>-'CF(M)'!DB111</f>
        <v>0</v>
      </c>
      <c r="DC37" s="168">
        <f>-'CF(M)'!DC111</f>
        <v>0</v>
      </c>
      <c r="DD37" s="168">
        <f>-'CF(M)'!DD111</f>
        <v>0</v>
      </c>
      <c r="DE37" s="168">
        <f>-'CF(M)'!DE111</f>
        <v>0</v>
      </c>
      <c r="DF37" s="168">
        <f>-'CF(M)'!DF111</f>
        <v>0</v>
      </c>
      <c r="DG37" s="168">
        <f>-'CF(M)'!DG111</f>
        <v>0</v>
      </c>
      <c r="DH37" s="168">
        <f>-'CF(M)'!DH111</f>
        <v>0</v>
      </c>
      <c r="DI37" s="168">
        <f>-'CF(M)'!DI111</f>
        <v>0</v>
      </c>
      <c r="DJ37" s="168">
        <f>-'CF(M)'!DJ111</f>
        <v>0</v>
      </c>
      <c r="DK37" s="168">
        <f>-'CF(M)'!DK111</f>
        <v>0</v>
      </c>
      <c r="DL37" s="168">
        <f>-'CF(M)'!DL111</f>
        <v>0</v>
      </c>
      <c r="DM37" s="168">
        <f>-'CF(M)'!DM111</f>
        <v>0</v>
      </c>
      <c r="DN37" s="168">
        <f>-'CF(M)'!DN111</f>
        <v>0</v>
      </c>
      <c r="DO37" s="168">
        <f>-'CF(M)'!DO111</f>
        <v>0</v>
      </c>
      <c r="DP37" s="168">
        <f>-'CF(M)'!DP111</f>
        <v>0</v>
      </c>
      <c r="DQ37" s="168">
        <f>-'CF(M)'!DQ111</f>
        <v>0</v>
      </c>
      <c r="DR37" s="168">
        <f>-'CF(M)'!DR111</f>
        <v>0</v>
      </c>
      <c r="DS37" s="168">
        <f>-'CF(M)'!DS111</f>
        <v>0</v>
      </c>
      <c r="DT37" s="168">
        <f>-'CF(M)'!DT111</f>
        <v>0</v>
      </c>
      <c r="DU37" s="168">
        <f>-'CF(M)'!DU111</f>
        <v>0</v>
      </c>
      <c r="DV37" s="168">
        <f>-'CF(M)'!DV111</f>
        <v>0</v>
      </c>
      <c r="DW37" s="168">
        <f>-'CF(M)'!DW111</f>
        <v>0</v>
      </c>
      <c r="DX37" s="168">
        <f>-'CF(M)'!DX111</f>
        <v>0</v>
      </c>
      <c r="DY37" s="168">
        <f>-'CF(M)'!DY111</f>
        <v>0</v>
      </c>
      <c r="DZ37" s="168">
        <f>-'CF(M)'!DZ111</f>
        <v>0</v>
      </c>
      <c r="EA37" s="168">
        <f>-'CF(M)'!EA111</f>
        <v>0</v>
      </c>
      <c r="EB37" s="168">
        <f>-'CF(M)'!EB111</f>
        <v>0</v>
      </c>
      <c r="EC37" s="168">
        <f>-'CF(M)'!EC111</f>
        <v>0</v>
      </c>
      <c r="ED37" s="168">
        <f>-'CF(M)'!ED111</f>
        <v>0</v>
      </c>
      <c r="EE37" s="168">
        <f>-'CF(M)'!EE111</f>
        <v>0</v>
      </c>
      <c r="EF37" s="168">
        <f>-'CF(M)'!EF111</f>
        <v>0</v>
      </c>
      <c r="EG37" s="168">
        <f>-'CF(M)'!EG111</f>
        <v>0</v>
      </c>
      <c r="EH37" s="168">
        <f>-'CF(M)'!EH111</f>
        <v>0</v>
      </c>
      <c r="EI37" s="168">
        <f>-'CF(M)'!EI111</f>
        <v>0</v>
      </c>
      <c r="EJ37" s="168">
        <f>-'CF(M)'!EJ111</f>
        <v>0</v>
      </c>
      <c r="EK37" s="168">
        <f>-'CF(M)'!EK111</f>
        <v>0</v>
      </c>
      <c r="EL37" s="168">
        <f>-'CF(M)'!EL111</f>
        <v>0</v>
      </c>
      <c r="EM37" s="168">
        <f>-'CF(M)'!EM111</f>
        <v>0</v>
      </c>
      <c r="EN37" s="168">
        <f>-'CF(M)'!EN111</f>
        <v>0</v>
      </c>
      <c r="EO37" s="168">
        <f>-'CF(M)'!EO111</f>
        <v>0</v>
      </c>
      <c r="EP37" s="168">
        <f>-'CF(M)'!EP111</f>
        <v>0</v>
      </c>
      <c r="EQ37" s="168">
        <f>-'CF(M)'!EQ111</f>
        <v>0</v>
      </c>
    </row>
    <row r="38" spans="2:147" ht="11.25" customHeight="1">
      <c r="B38" s="218"/>
      <c r="C38" s="163"/>
      <c r="D38" s="169" t="s">
        <v>598</v>
      </c>
      <c r="H38" s="146">
        <f>H37</f>
        <v>46691</v>
      </c>
      <c r="I38" s="229"/>
      <c r="J38" s="171">
        <f t="shared" si="59"/>
        <v>14800000</v>
      </c>
      <c r="K38" s="98"/>
      <c r="L38" s="171">
        <f>-'CF(M)'!L112</f>
        <v>0</v>
      </c>
      <c r="M38" s="171">
        <f>-'CF(M)'!M112</f>
        <v>0</v>
      </c>
      <c r="N38" s="171">
        <f>-'CF(M)'!N112</f>
        <v>0</v>
      </c>
      <c r="O38" s="171">
        <f>-'CF(M)'!O112</f>
        <v>0</v>
      </c>
      <c r="P38" s="171">
        <f>-'CF(M)'!P112</f>
        <v>0</v>
      </c>
      <c r="Q38" s="171">
        <f>-'CF(M)'!Q112</f>
        <v>0</v>
      </c>
      <c r="R38" s="171">
        <f>-'CF(M)'!R112</f>
        <v>0</v>
      </c>
      <c r="S38" s="171">
        <f>-'CF(M)'!S112</f>
        <v>0</v>
      </c>
      <c r="T38" s="171">
        <f>-'CF(M)'!T112</f>
        <v>0</v>
      </c>
      <c r="U38" s="171">
        <f>-'CF(M)'!U112</f>
        <v>0</v>
      </c>
      <c r="V38" s="171">
        <f>-'CF(M)'!V112</f>
        <v>0</v>
      </c>
      <c r="W38" s="171">
        <f>-'CF(M)'!W112</f>
        <v>0</v>
      </c>
      <c r="X38" s="171">
        <f>-'CF(M)'!X112</f>
        <v>0</v>
      </c>
      <c r="Y38" s="171">
        <f>-'CF(M)'!Y112</f>
        <v>0</v>
      </c>
      <c r="Z38" s="171">
        <f>-'CF(M)'!Z112</f>
        <v>0</v>
      </c>
      <c r="AA38" s="171">
        <f>-'CF(M)'!AA112</f>
        <v>0</v>
      </c>
      <c r="AB38" s="171">
        <f>-'CF(M)'!AB112</f>
        <v>0</v>
      </c>
      <c r="AC38" s="171">
        <f>-'CF(M)'!AC112</f>
        <v>0</v>
      </c>
      <c r="AD38" s="171">
        <f>-'CF(M)'!AD112</f>
        <v>0</v>
      </c>
      <c r="AE38" s="171">
        <f>-'CF(M)'!AE112</f>
        <v>0</v>
      </c>
      <c r="AF38" s="171">
        <f>-'CF(M)'!AF112</f>
        <v>0</v>
      </c>
      <c r="AG38" s="171">
        <f>-'CF(M)'!AG112</f>
        <v>0</v>
      </c>
      <c r="AH38" s="171">
        <f>-'CF(M)'!AH112</f>
        <v>0</v>
      </c>
      <c r="AI38" s="171">
        <f>-'CF(M)'!AI112</f>
        <v>0</v>
      </c>
      <c r="AJ38" s="171">
        <f>-'CF(M)'!AJ112</f>
        <v>0</v>
      </c>
      <c r="AK38" s="171">
        <f>-'CF(M)'!AK112</f>
        <v>0</v>
      </c>
      <c r="AL38" s="171">
        <f>-'CF(M)'!AL112</f>
        <v>0</v>
      </c>
      <c r="AM38" s="171">
        <f>-'CF(M)'!AM112</f>
        <v>0</v>
      </c>
      <c r="AN38" s="171">
        <f>-'CF(M)'!AN112</f>
        <v>0</v>
      </c>
      <c r="AO38" s="171">
        <f>-'CF(M)'!AO112</f>
        <v>0</v>
      </c>
      <c r="AP38" s="171">
        <f>-'CF(M)'!AP112</f>
        <v>0</v>
      </c>
      <c r="AQ38" s="171">
        <f>-'CF(M)'!AQ112</f>
        <v>0</v>
      </c>
      <c r="AR38" s="171">
        <f>-'CF(M)'!AR112</f>
        <v>0</v>
      </c>
      <c r="AS38" s="171">
        <f>-'CF(M)'!AS112</f>
        <v>0</v>
      </c>
      <c r="AT38" s="171">
        <f>-'CF(M)'!AT112</f>
        <v>0</v>
      </c>
      <c r="AU38" s="171">
        <f>-'CF(M)'!AU112</f>
        <v>0</v>
      </c>
      <c r="AV38" s="171">
        <f>-'CF(M)'!AV112</f>
        <v>0</v>
      </c>
      <c r="AW38" s="171">
        <f>-'CF(M)'!AW112</f>
        <v>0</v>
      </c>
      <c r="AX38" s="171">
        <f>-'CF(M)'!AX112</f>
        <v>0</v>
      </c>
      <c r="AY38" s="171">
        <f>-'CF(M)'!AY112</f>
        <v>0</v>
      </c>
      <c r="AZ38" s="171">
        <f>-'CF(M)'!AZ112</f>
        <v>0</v>
      </c>
      <c r="BA38" s="171">
        <f>-'CF(M)'!BA112</f>
        <v>0</v>
      </c>
      <c r="BB38" s="171">
        <f>-'CF(M)'!BB112</f>
        <v>0</v>
      </c>
      <c r="BC38" s="171">
        <f>-'CF(M)'!BC112</f>
        <v>0</v>
      </c>
      <c r="BD38" s="171">
        <f>-'CF(M)'!BD112</f>
        <v>0</v>
      </c>
      <c r="BE38" s="171">
        <f>-'CF(M)'!BE112</f>
        <v>0</v>
      </c>
      <c r="BF38" s="171">
        <f>-'CF(M)'!BF112</f>
        <v>0</v>
      </c>
      <c r="BG38" s="171">
        <f>-'CF(M)'!BG112</f>
        <v>0</v>
      </c>
      <c r="BH38" s="171">
        <f>-'CF(M)'!BH112</f>
        <v>0</v>
      </c>
      <c r="BI38" s="171">
        <f>-'CF(M)'!BI112</f>
        <v>0</v>
      </c>
      <c r="BJ38" s="171">
        <f>-'CF(M)'!BJ112</f>
        <v>0</v>
      </c>
      <c r="BK38" s="171">
        <f>-'CF(M)'!BK112</f>
        <v>0</v>
      </c>
      <c r="BL38" s="171">
        <f>-'CF(M)'!BL112</f>
        <v>0</v>
      </c>
      <c r="BM38" s="171">
        <f>-'CF(M)'!BM112</f>
        <v>0</v>
      </c>
      <c r="BN38" s="171">
        <f>-'CF(M)'!BN112</f>
        <v>0</v>
      </c>
      <c r="BO38" s="171">
        <f>-'CF(M)'!BO112</f>
        <v>0</v>
      </c>
      <c r="BP38" s="171">
        <f>-'CF(M)'!BP112</f>
        <v>0</v>
      </c>
      <c r="BQ38" s="171">
        <f>-'CF(M)'!BQ112</f>
        <v>0</v>
      </c>
      <c r="BR38" s="171">
        <f>-'CF(M)'!BR112</f>
        <v>0</v>
      </c>
      <c r="BS38" s="171">
        <f>-'CF(M)'!BS112</f>
        <v>0</v>
      </c>
      <c r="BT38" s="171">
        <f>-'CF(M)'!BT112</f>
        <v>0</v>
      </c>
      <c r="BU38" s="171">
        <f>-'CF(M)'!BU112</f>
        <v>0</v>
      </c>
      <c r="BV38" s="171">
        <f>-'CF(M)'!BV112</f>
        <v>0</v>
      </c>
      <c r="BW38" s="171">
        <f>-'CF(M)'!BW112</f>
        <v>0</v>
      </c>
      <c r="BX38" s="171">
        <f>-'CF(M)'!BX112</f>
        <v>0</v>
      </c>
      <c r="BY38" s="171">
        <f>-'CF(M)'!BY112</f>
        <v>0</v>
      </c>
      <c r="BZ38" s="171">
        <f>-'CF(M)'!BZ112</f>
        <v>0</v>
      </c>
      <c r="CA38" s="171">
        <f>-'CF(M)'!CA112</f>
        <v>0</v>
      </c>
      <c r="CB38" s="171">
        <f>-'CF(M)'!CB112</f>
        <v>0</v>
      </c>
      <c r="CC38" s="171">
        <f>-'CF(M)'!CC112</f>
        <v>0</v>
      </c>
      <c r="CD38" s="171">
        <f>-'CF(M)'!CD112</f>
        <v>0</v>
      </c>
      <c r="CE38" s="171">
        <f>-'CF(M)'!CE112</f>
        <v>0</v>
      </c>
      <c r="CF38" s="171">
        <f>-'CF(M)'!CF112</f>
        <v>0</v>
      </c>
      <c r="CG38" s="171">
        <f>-'CF(M)'!CG112</f>
        <v>0</v>
      </c>
      <c r="CH38" s="171">
        <f>-'CF(M)'!CH112</f>
        <v>0</v>
      </c>
      <c r="CI38" s="171">
        <f>-'CF(M)'!CI112</f>
        <v>0</v>
      </c>
      <c r="CJ38" s="171">
        <f>-'CF(M)'!CJ112</f>
        <v>0</v>
      </c>
      <c r="CK38" s="171">
        <f>-'CF(M)'!CK112</f>
        <v>0</v>
      </c>
      <c r="CL38" s="171">
        <f>-'CF(M)'!CL112</f>
        <v>0</v>
      </c>
      <c r="CM38" s="171">
        <f>-'CF(M)'!CM112</f>
        <v>0</v>
      </c>
      <c r="CN38" s="171">
        <f>-'CF(M)'!CN112</f>
        <v>0</v>
      </c>
      <c r="CO38" s="171">
        <f>-'CF(M)'!CO112</f>
        <v>0</v>
      </c>
      <c r="CP38" s="171">
        <f>-'CF(M)'!CP112</f>
        <v>0</v>
      </c>
      <c r="CQ38" s="171">
        <f>-'CF(M)'!CQ112</f>
        <v>0</v>
      </c>
      <c r="CR38" s="171">
        <f>-'CF(M)'!CR112</f>
        <v>0</v>
      </c>
      <c r="CS38" s="171">
        <f>-'CF(M)'!CS112</f>
        <v>0</v>
      </c>
      <c r="CT38" s="171">
        <f>-'CF(M)'!CT112</f>
        <v>0</v>
      </c>
      <c r="CU38" s="171">
        <f>-'CF(M)'!CU112</f>
        <v>0</v>
      </c>
      <c r="CV38" s="171">
        <f>-'CF(M)'!CV112</f>
        <v>0</v>
      </c>
      <c r="CW38" s="171">
        <f>-'CF(M)'!CW112</f>
        <v>0</v>
      </c>
      <c r="CX38" s="171">
        <f>-'CF(M)'!CX112</f>
        <v>0</v>
      </c>
      <c r="CY38" s="171">
        <f>-'CF(M)'!CY112</f>
        <v>0</v>
      </c>
      <c r="CZ38" s="171">
        <f>-'CF(M)'!CZ112</f>
        <v>0</v>
      </c>
      <c r="DA38" s="171">
        <f>-'CF(M)'!DA112</f>
        <v>0</v>
      </c>
      <c r="DB38" s="171">
        <f>-'CF(M)'!DB112</f>
        <v>0</v>
      </c>
      <c r="DC38" s="171">
        <f>-'CF(M)'!DC112</f>
        <v>0</v>
      </c>
      <c r="DD38" s="171">
        <f>-'CF(M)'!DD112</f>
        <v>0</v>
      </c>
      <c r="DE38" s="171">
        <f>-'CF(M)'!DE112</f>
        <v>0</v>
      </c>
      <c r="DF38" s="171">
        <f>-'CF(M)'!DF112</f>
        <v>0</v>
      </c>
      <c r="DG38" s="171">
        <f>-'CF(M)'!DG112</f>
        <v>0</v>
      </c>
      <c r="DH38" s="171">
        <f>-'CF(M)'!DH112</f>
        <v>0</v>
      </c>
      <c r="DI38" s="171">
        <f>-'CF(M)'!DI112</f>
        <v>0</v>
      </c>
      <c r="DJ38" s="171">
        <f>-'CF(M)'!DJ112</f>
        <v>0</v>
      </c>
      <c r="DK38" s="171">
        <f>-'CF(M)'!DK112</f>
        <v>0</v>
      </c>
      <c r="DL38" s="171">
        <f>-'CF(M)'!DL112</f>
        <v>0</v>
      </c>
      <c r="DM38" s="171">
        <f>-'CF(M)'!DM112</f>
        <v>0</v>
      </c>
      <c r="DN38" s="171">
        <f>-'CF(M)'!DN112</f>
        <v>0</v>
      </c>
      <c r="DO38" s="171">
        <f>-'CF(M)'!DO112</f>
        <v>0</v>
      </c>
      <c r="DP38" s="171">
        <f>-'CF(M)'!DP112</f>
        <v>0</v>
      </c>
      <c r="DQ38" s="171">
        <f>-'CF(M)'!DQ112</f>
        <v>0</v>
      </c>
      <c r="DR38" s="171">
        <f>-'CF(M)'!DR112</f>
        <v>0</v>
      </c>
      <c r="DS38" s="171">
        <f>-'CF(M)'!DS112</f>
        <v>0</v>
      </c>
      <c r="DT38" s="171">
        <f>-'CF(M)'!DT112</f>
        <v>0</v>
      </c>
      <c r="DU38" s="171">
        <f>-'CF(M)'!DU112</f>
        <v>0</v>
      </c>
      <c r="DV38" s="171">
        <f>-'CF(M)'!DV112</f>
        <v>0</v>
      </c>
      <c r="DW38" s="171">
        <f>-'CF(M)'!DW112</f>
        <v>0</v>
      </c>
      <c r="DX38" s="171">
        <f>-'CF(M)'!DX112</f>
        <v>0</v>
      </c>
      <c r="DY38" s="171">
        <f>-'CF(M)'!DY112</f>
        <v>0</v>
      </c>
      <c r="DZ38" s="171">
        <f>-'CF(M)'!DZ112</f>
        <v>0</v>
      </c>
      <c r="EA38" s="171">
        <f>-'CF(M)'!EA112</f>
        <v>0</v>
      </c>
      <c r="EB38" s="171">
        <f>-'CF(M)'!EB112</f>
        <v>14800000</v>
      </c>
      <c r="EC38" s="171">
        <f>-'CF(M)'!EC112</f>
        <v>0</v>
      </c>
      <c r="ED38" s="171">
        <f>-'CF(M)'!ED112</f>
        <v>0</v>
      </c>
      <c r="EE38" s="171">
        <f>-'CF(M)'!EE112</f>
        <v>0</v>
      </c>
      <c r="EF38" s="171">
        <f>-'CF(M)'!EF112</f>
        <v>0</v>
      </c>
      <c r="EG38" s="171">
        <f>-'CF(M)'!EG112</f>
        <v>0</v>
      </c>
      <c r="EH38" s="171">
        <f>-'CF(M)'!EH112</f>
        <v>0</v>
      </c>
      <c r="EI38" s="171">
        <f>-'CF(M)'!EI112</f>
        <v>0</v>
      </c>
      <c r="EJ38" s="171">
        <f>-'CF(M)'!EJ112</f>
        <v>0</v>
      </c>
      <c r="EK38" s="171">
        <f>-'CF(M)'!EK112</f>
        <v>0</v>
      </c>
      <c r="EL38" s="171">
        <f>-'CF(M)'!EL112</f>
        <v>0</v>
      </c>
      <c r="EM38" s="171">
        <f>-'CF(M)'!EM112</f>
        <v>0</v>
      </c>
      <c r="EN38" s="171">
        <f>-'CF(M)'!EN112</f>
        <v>0</v>
      </c>
      <c r="EO38" s="171">
        <f>-'CF(M)'!EO112</f>
        <v>0</v>
      </c>
      <c r="EP38" s="171">
        <f>-'CF(M)'!EP112</f>
        <v>0</v>
      </c>
      <c r="EQ38" s="171">
        <f>-'CF(M)'!EQ112</f>
        <v>0</v>
      </c>
    </row>
    <row r="39" spans="2:147" ht="11.25" customHeight="1">
      <c r="B39" s="218"/>
      <c r="C39" s="163"/>
      <c r="D39" s="169" t="s">
        <v>130</v>
      </c>
      <c r="H39" s="146">
        <f>H38</f>
        <v>46691</v>
      </c>
      <c r="I39" s="229"/>
      <c r="J39" s="171">
        <f t="shared" ca="1" si="59"/>
        <v>1110000</v>
      </c>
      <c r="K39" s="98"/>
      <c r="L39" s="171">
        <f ca="1">-'CF(M)'!L113</f>
        <v>0</v>
      </c>
      <c r="M39" s="171">
        <f ca="1">-'CF(M)'!M113</f>
        <v>0</v>
      </c>
      <c r="N39" s="171">
        <f ca="1">-'CF(M)'!N113</f>
        <v>0</v>
      </c>
      <c r="O39" s="171">
        <f ca="1">-'CF(M)'!O113</f>
        <v>0</v>
      </c>
      <c r="P39" s="171">
        <f ca="1">-'CF(M)'!P113</f>
        <v>0</v>
      </c>
      <c r="Q39" s="171">
        <f ca="1">-'CF(M)'!Q113</f>
        <v>0</v>
      </c>
      <c r="R39" s="171">
        <f ca="1">-'CF(M)'!R113</f>
        <v>555000</v>
      </c>
      <c r="S39" s="171">
        <f ca="1">-'CF(M)'!S113</f>
        <v>0</v>
      </c>
      <c r="T39" s="171">
        <f ca="1">-'CF(M)'!T113</f>
        <v>0</v>
      </c>
      <c r="U39" s="171">
        <f ca="1">-'CF(M)'!U113</f>
        <v>0</v>
      </c>
      <c r="V39" s="171">
        <f ca="1">-'CF(M)'!V113</f>
        <v>0</v>
      </c>
      <c r="W39" s="171">
        <f ca="1">-'CF(M)'!W113</f>
        <v>0</v>
      </c>
      <c r="X39" s="171">
        <f ca="1">-'CF(M)'!X113</f>
        <v>555000</v>
      </c>
      <c r="Y39" s="171">
        <f ca="1">-'CF(M)'!Y113</f>
        <v>0</v>
      </c>
      <c r="Z39" s="171">
        <f ca="1">-'CF(M)'!Z113</f>
        <v>0</v>
      </c>
      <c r="AA39" s="171">
        <f ca="1">-'CF(M)'!AA113</f>
        <v>0</v>
      </c>
      <c r="AB39" s="171">
        <f ca="1">-'CF(M)'!AB113</f>
        <v>0</v>
      </c>
      <c r="AC39" s="171">
        <f ca="1">-'CF(M)'!AC113</f>
        <v>0</v>
      </c>
      <c r="AD39" s="171">
        <f ca="1">-'CF(M)'!AD113</f>
        <v>0</v>
      </c>
      <c r="AE39" s="171">
        <f ca="1">-'CF(M)'!AE113</f>
        <v>0</v>
      </c>
      <c r="AF39" s="171">
        <f ca="1">-'CF(M)'!AF113</f>
        <v>0</v>
      </c>
      <c r="AG39" s="171">
        <f ca="1">-'CF(M)'!AG113</f>
        <v>0</v>
      </c>
      <c r="AH39" s="171">
        <f ca="1">-'CF(M)'!AH113</f>
        <v>0</v>
      </c>
      <c r="AI39" s="171">
        <f ca="1">-'CF(M)'!AI113</f>
        <v>0</v>
      </c>
      <c r="AJ39" s="171">
        <f ca="1">-'CF(M)'!AJ113</f>
        <v>0</v>
      </c>
      <c r="AK39" s="171">
        <f ca="1">-'CF(M)'!AK113</f>
        <v>0</v>
      </c>
      <c r="AL39" s="171">
        <f ca="1">-'CF(M)'!AL113</f>
        <v>0</v>
      </c>
      <c r="AM39" s="171">
        <f ca="1">-'CF(M)'!AM113</f>
        <v>0</v>
      </c>
      <c r="AN39" s="171">
        <f ca="1">-'CF(M)'!AN113</f>
        <v>0</v>
      </c>
      <c r="AO39" s="171">
        <f ca="1">-'CF(M)'!AO113</f>
        <v>0</v>
      </c>
      <c r="AP39" s="171">
        <f ca="1">-'CF(M)'!AP113</f>
        <v>0</v>
      </c>
      <c r="AQ39" s="171">
        <f ca="1">-'CF(M)'!AQ113</f>
        <v>0</v>
      </c>
      <c r="AR39" s="171">
        <f ca="1">-'CF(M)'!AR113</f>
        <v>0</v>
      </c>
      <c r="AS39" s="171">
        <f ca="1">-'CF(M)'!AS113</f>
        <v>0</v>
      </c>
      <c r="AT39" s="171">
        <f ca="1">-'CF(M)'!AT113</f>
        <v>0</v>
      </c>
      <c r="AU39" s="171">
        <f ca="1">-'CF(M)'!AU113</f>
        <v>0</v>
      </c>
      <c r="AV39" s="171">
        <f ca="1">-'CF(M)'!AV113</f>
        <v>0</v>
      </c>
      <c r="AW39" s="171">
        <f ca="1">-'CF(M)'!AW113</f>
        <v>0</v>
      </c>
      <c r="AX39" s="171">
        <f ca="1">-'CF(M)'!AX113</f>
        <v>0</v>
      </c>
      <c r="AY39" s="171">
        <f ca="1">-'CF(M)'!AY113</f>
        <v>0</v>
      </c>
      <c r="AZ39" s="171">
        <f ca="1">-'CF(M)'!AZ113</f>
        <v>0</v>
      </c>
      <c r="BA39" s="171">
        <f ca="1">-'CF(M)'!BA113</f>
        <v>0</v>
      </c>
      <c r="BB39" s="171">
        <f ca="1">-'CF(M)'!BB113</f>
        <v>0</v>
      </c>
      <c r="BC39" s="171">
        <f ca="1">-'CF(M)'!BC113</f>
        <v>0</v>
      </c>
      <c r="BD39" s="171">
        <f ca="1">-'CF(M)'!BD113</f>
        <v>0</v>
      </c>
      <c r="BE39" s="171">
        <f ca="1">-'CF(M)'!BE113</f>
        <v>0</v>
      </c>
      <c r="BF39" s="171">
        <f ca="1">-'CF(M)'!BF113</f>
        <v>0</v>
      </c>
      <c r="BG39" s="171">
        <f ca="1">-'CF(M)'!BG113</f>
        <v>0</v>
      </c>
      <c r="BH39" s="171">
        <f ca="1">-'CF(M)'!BH113</f>
        <v>0</v>
      </c>
      <c r="BI39" s="171">
        <f ca="1">-'CF(M)'!BI113</f>
        <v>0</v>
      </c>
      <c r="BJ39" s="171">
        <f ca="1">-'CF(M)'!BJ113</f>
        <v>0</v>
      </c>
      <c r="BK39" s="171">
        <f ca="1">-'CF(M)'!BK113</f>
        <v>0</v>
      </c>
      <c r="BL39" s="171">
        <f ca="1">-'CF(M)'!BL113</f>
        <v>0</v>
      </c>
      <c r="BM39" s="171">
        <f ca="1">-'CF(M)'!BM113</f>
        <v>0</v>
      </c>
      <c r="BN39" s="171">
        <f ca="1">-'CF(M)'!BN113</f>
        <v>0</v>
      </c>
      <c r="BO39" s="171">
        <f ca="1">-'CF(M)'!BO113</f>
        <v>0</v>
      </c>
      <c r="BP39" s="171">
        <f ca="1">-'CF(M)'!BP113</f>
        <v>0</v>
      </c>
      <c r="BQ39" s="171">
        <f ca="1">-'CF(M)'!BQ113</f>
        <v>0</v>
      </c>
      <c r="BR39" s="171">
        <f ca="1">-'CF(M)'!BR113</f>
        <v>0</v>
      </c>
      <c r="BS39" s="171">
        <f ca="1">-'CF(M)'!BS113</f>
        <v>0</v>
      </c>
      <c r="BT39" s="171">
        <f ca="1">-'CF(M)'!BT113</f>
        <v>0</v>
      </c>
      <c r="BU39" s="171">
        <f ca="1">-'CF(M)'!BU113</f>
        <v>0</v>
      </c>
      <c r="BV39" s="171">
        <f ca="1">-'CF(M)'!BV113</f>
        <v>0</v>
      </c>
      <c r="BW39" s="171">
        <f ca="1">-'CF(M)'!BW113</f>
        <v>0</v>
      </c>
      <c r="BX39" s="171">
        <f ca="1">-'CF(M)'!BX113</f>
        <v>0</v>
      </c>
      <c r="BY39" s="171">
        <f ca="1">-'CF(M)'!BY113</f>
        <v>0</v>
      </c>
      <c r="BZ39" s="171">
        <f ca="1">-'CF(M)'!BZ113</f>
        <v>0</v>
      </c>
      <c r="CA39" s="171">
        <f ca="1">-'CF(M)'!CA113</f>
        <v>0</v>
      </c>
      <c r="CB39" s="171">
        <f ca="1">-'CF(M)'!CB113</f>
        <v>0</v>
      </c>
      <c r="CC39" s="171">
        <f ca="1">-'CF(M)'!CC113</f>
        <v>0</v>
      </c>
      <c r="CD39" s="171">
        <f ca="1">-'CF(M)'!CD113</f>
        <v>0</v>
      </c>
      <c r="CE39" s="171">
        <f ca="1">-'CF(M)'!CE113</f>
        <v>0</v>
      </c>
      <c r="CF39" s="171">
        <f ca="1">-'CF(M)'!CF113</f>
        <v>0</v>
      </c>
      <c r="CG39" s="171">
        <f ca="1">-'CF(M)'!CG113</f>
        <v>0</v>
      </c>
      <c r="CH39" s="171">
        <f ca="1">-'CF(M)'!CH113</f>
        <v>0</v>
      </c>
      <c r="CI39" s="171">
        <f ca="1">-'CF(M)'!CI113</f>
        <v>0</v>
      </c>
      <c r="CJ39" s="171">
        <f ca="1">-'CF(M)'!CJ113</f>
        <v>0</v>
      </c>
      <c r="CK39" s="171">
        <f ca="1">-'CF(M)'!CK113</f>
        <v>0</v>
      </c>
      <c r="CL39" s="171">
        <f ca="1">-'CF(M)'!CL113</f>
        <v>0</v>
      </c>
      <c r="CM39" s="171">
        <f ca="1">-'CF(M)'!CM113</f>
        <v>0</v>
      </c>
      <c r="CN39" s="171">
        <f ca="1">-'CF(M)'!CN113</f>
        <v>0</v>
      </c>
      <c r="CO39" s="171">
        <f ca="1">-'CF(M)'!CO113</f>
        <v>0</v>
      </c>
      <c r="CP39" s="171">
        <f ca="1">-'CF(M)'!CP113</f>
        <v>0</v>
      </c>
      <c r="CQ39" s="171">
        <f ca="1">-'CF(M)'!CQ113</f>
        <v>0</v>
      </c>
      <c r="CR39" s="171">
        <f ca="1">-'CF(M)'!CR113</f>
        <v>0</v>
      </c>
      <c r="CS39" s="171">
        <f ca="1">-'CF(M)'!CS113</f>
        <v>0</v>
      </c>
      <c r="CT39" s="171">
        <f ca="1">-'CF(M)'!CT113</f>
        <v>0</v>
      </c>
      <c r="CU39" s="171">
        <f ca="1">-'CF(M)'!CU113</f>
        <v>0</v>
      </c>
      <c r="CV39" s="171">
        <f ca="1">-'CF(M)'!CV113</f>
        <v>0</v>
      </c>
      <c r="CW39" s="171">
        <f ca="1">-'CF(M)'!CW113</f>
        <v>0</v>
      </c>
      <c r="CX39" s="171">
        <f ca="1">-'CF(M)'!CX113</f>
        <v>0</v>
      </c>
      <c r="CY39" s="171">
        <f ca="1">-'CF(M)'!CY113</f>
        <v>0</v>
      </c>
      <c r="CZ39" s="171">
        <f ca="1">-'CF(M)'!CZ113</f>
        <v>0</v>
      </c>
      <c r="DA39" s="171">
        <f ca="1">-'CF(M)'!DA113</f>
        <v>0</v>
      </c>
      <c r="DB39" s="171">
        <f ca="1">-'CF(M)'!DB113</f>
        <v>0</v>
      </c>
      <c r="DC39" s="171">
        <f ca="1">-'CF(M)'!DC113</f>
        <v>0</v>
      </c>
      <c r="DD39" s="171">
        <f ca="1">-'CF(M)'!DD113</f>
        <v>0</v>
      </c>
      <c r="DE39" s="171">
        <f ca="1">-'CF(M)'!DE113</f>
        <v>0</v>
      </c>
      <c r="DF39" s="171">
        <f ca="1">-'CF(M)'!DF113</f>
        <v>0</v>
      </c>
      <c r="DG39" s="171">
        <f ca="1">-'CF(M)'!DG113</f>
        <v>0</v>
      </c>
      <c r="DH39" s="171">
        <f ca="1">-'CF(M)'!DH113</f>
        <v>0</v>
      </c>
      <c r="DI39" s="171">
        <f ca="1">-'CF(M)'!DI113</f>
        <v>0</v>
      </c>
      <c r="DJ39" s="171">
        <f ca="1">-'CF(M)'!DJ113</f>
        <v>0</v>
      </c>
      <c r="DK39" s="171">
        <f ca="1">-'CF(M)'!DK113</f>
        <v>0</v>
      </c>
      <c r="DL39" s="171">
        <f ca="1">-'CF(M)'!DL113</f>
        <v>0</v>
      </c>
      <c r="DM39" s="171">
        <f ca="1">-'CF(M)'!DM113</f>
        <v>0</v>
      </c>
      <c r="DN39" s="171">
        <f ca="1">-'CF(M)'!DN113</f>
        <v>0</v>
      </c>
      <c r="DO39" s="171">
        <f ca="1">-'CF(M)'!DO113</f>
        <v>0</v>
      </c>
      <c r="DP39" s="171">
        <f ca="1">-'CF(M)'!DP113</f>
        <v>0</v>
      </c>
      <c r="DQ39" s="171">
        <f ca="1">-'CF(M)'!DQ113</f>
        <v>0</v>
      </c>
      <c r="DR39" s="171">
        <f ca="1">-'CF(M)'!DR113</f>
        <v>0</v>
      </c>
      <c r="DS39" s="171">
        <f ca="1">-'CF(M)'!DS113</f>
        <v>0</v>
      </c>
      <c r="DT39" s="171">
        <f ca="1">-'CF(M)'!DT113</f>
        <v>0</v>
      </c>
      <c r="DU39" s="171">
        <f ca="1">-'CF(M)'!DU113</f>
        <v>0</v>
      </c>
      <c r="DV39" s="171">
        <f ca="1">-'CF(M)'!DV113</f>
        <v>0</v>
      </c>
      <c r="DW39" s="171">
        <f ca="1">-'CF(M)'!DW113</f>
        <v>0</v>
      </c>
      <c r="DX39" s="171">
        <f ca="1">-'CF(M)'!DX113</f>
        <v>0</v>
      </c>
      <c r="DY39" s="171">
        <f ca="1">-'CF(M)'!DY113</f>
        <v>0</v>
      </c>
      <c r="DZ39" s="171">
        <f ca="1">-'CF(M)'!DZ113</f>
        <v>0</v>
      </c>
      <c r="EA39" s="171">
        <f ca="1">-'CF(M)'!EA113</f>
        <v>0</v>
      </c>
      <c r="EB39" s="171">
        <f ca="1">-'CF(M)'!EB113</f>
        <v>0</v>
      </c>
      <c r="EC39" s="171">
        <f ca="1">-'CF(M)'!EC113</f>
        <v>0</v>
      </c>
      <c r="ED39" s="171">
        <f ca="1">-'CF(M)'!ED113</f>
        <v>0</v>
      </c>
      <c r="EE39" s="171">
        <f ca="1">-'CF(M)'!EE113</f>
        <v>0</v>
      </c>
      <c r="EF39" s="171">
        <f ca="1">-'CF(M)'!EF113</f>
        <v>0</v>
      </c>
      <c r="EG39" s="171">
        <f ca="1">-'CF(M)'!EG113</f>
        <v>0</v>
      </c>
      <c r="EH39" s="171">
        <f ca="1">-'CF(M)'!EH113</f>
        <v>0</v>
      </c>
      <c r="EI39" s="171">
        <f ca="1">-'CF(M)'!EI113</f>
        <v>0</v>
      </c>
      <c r="EJ39" s="171">
        <f ca="1">-'CF(M)'!EJ113</f>
        <v>0</v>
      </c>
      <c r="EK39" s="171">
        <f ca="1">-'CF(M)'!EK113</f>
        <v>0</v>
      </c>
      <c r="EL39" s="171">
        <f ca="1">-'CF(M)'!EL113</f>
        <v>0</v>
      </c>
      <c r="EM39" s="171">
        <f ca="1">-'CF(M)'!EM113</f>
        <v>0</v>
      </c>
      <c r="EN39" s="171">
        <f ca="1">-'CF(M)'!EN113</f>
        <v>0</v>
      </c>
      <c r="EO39" s="171">
        <f ca="1">-'CF(M)'!EO113</f>
        <v>0</v>
      </c>
      <c r="EP39" s="171">
        <f ca="1">-'CF(M)'!EP113</f>
        <v>0</v>
      </c>
      <c r="EQ39" s="171">
        <f ca="1">-'CF(M)'!EQ113</f>
        <v>0</v>
      </c>
    </row>
    <row r="40" spans="2:147" ht="11.25" customHeight="1">
      <c r="B40" s="218"/>
      <c r="C40" s="163"/>
      <c r="D40" s="169" t="s">
        <v>211</v>
      </c>
      <c r="G40" s="65"/>
      <c r="H40" s="146">
        <f>H39</f>
        <v>46691</v>
      </c>
      <c r="I40" s="229">
        <v>0</v>
      </c>
      <c r="J40" s="171">
        <f t="shared" si="59"/>
        <v>48460427.819552772</v>
      </c>
      <c r="K40" s="98"/>
      <c r="L40" s="171">
        <f>-'CF(M)'!L114</f>
        <v>0</v>
      </c>
      <c r="M40" s="171">
        <f>-'CF(M)'!M114</f>
        <v>0</v>
      </c>
      <c r="N40" s="171">
        <f>-'CF(M)'!N114</f>
        <v>0</v>
      </c>
      <c r="O40" s="171">
        <f>-'CF(M)'!O114</f>
        <v>0</v>
      </c>
      <c r="P40" s="171">
        <f>-'CF(M)'!P114</f>
        <v>0</v>
      </c>
      <c r="Q40" s="171">
        <f>-'CF(M)'!Q114</f>
        <v>0</v>
      </c>
      <c r="R40" s="171">
        <f>-'CF(M)'!R114</f>
        <v>0</v>
      </c>
      <c r="S40" s="171">
        <f>-'CF(M)'!S114</f>
        <v>0</v>
      </c>
      <c r="T40" s="171">
        <f>-'CF(M)'!T114</f>
        <v>0</v>
      </c>
      <c r="U40" s="171">
        <f>-'CF(M)'!U114</f>
        <v>0</v>
      </c>
      <c r="V40" s="171">
        <f>-'CF(M)'!V114</f>
        <v>0</v>
      </c>
      <c r="W40" s="171">
        <f>-'CF(M)'!W114</f>
        <v>0</v>
      </c>
      <c r="X40" s="171">
        <f>-'CF(M)'!X114</f>
        <v>0</v>
      </c>
      <c r="Y40" s="171">
        <f>-'CF(M)'!Y114</f>
        <v>0</v>
      </c>
      <c r="Z40" s="171">
        <f>-'CF(M)'!Z114</f>
        <v>0</v>
      </c>
      <c r="AA40" s="171">
        <f>-'CF(M)'!AA114</f>
        <v>0</v>
      </c>
      <c r="AB40" s="171">
        <f>-'CF(M)'!AB114</f>
        <v>0</v>
      </c>
      <c r="AC40" s="171">
        <f>-'CF(M)'!AC114</f>
        <v>0</v>
      </c>
      <c r="AD40" s="171">
        <f>-'CF(M)'!AD114</f>
        <v>0</v>
      </c>
      <c r="AE40" s="171">
        <f>-'CF(M)'!AE114</f>
        <v>0</v>
      </c>
      <c r="AF40" s="171">
        <f>-'CF(M)'!AF114</f>
        <v>0</v>
      </c>
      <c r="AG40" s="171">
        <f>-'CF(M)'!AG114</f>
        <v>0</v>
      </c>
      <c r="AH40" s="171">
        <f>-'CF(M)'!AH114</f>
        <v>0</v>
      </c>
      <c r="AI40" s="171">
        <f>-'CF(M)'!AI114</f>
        <v>0</v>
      </c>
      <c r="AJ40" s="171">
        <f>-'CF(M)'!AJ114</f>
        <v>0</v>
      </c>
      <c r="AK40" s="171">
        <f>-'CF(M)'!AK114</f>
        <v>0</v>
      </c>
      <c r="AL40" s="171">
        <f>-'CF(M)'!AL114</f>
        <v>0</v>
      </c>
      <c r="AM40" s="171">
        <f>-'CF(M)'!AM114</f>
        <v>0</v>
      </c>
      <c r="AN40" s="171">
        <f>-'CF(M)'!AN114</f>
        <v>0</v>
      </c>
      <c r="AO40" s="171">
        <f>-'CF(M)'!AO114</f>
        <v>0</v>
      </c>
      <c r="AP40" s="171">
        <f>-'CF(M)'!AP114</f>
        <v>0</v>
      </c>
      <c r="AQ40" s="171">
        <f>-'CF(M)'!AQ114</f>
        <v>0</v>
      </c>
      <c r="AR40" s="171">
        <f>-'CF(M)'!AR114</f>
        <v>0</v>
      </c>
      <c r="AS40" s="171">
        <f>-'CF(M)'!AS114</f>
        <v>0</v>
      </c>
      <c r="AT40" s="171">
        <f>-'CF(M)'!AT114</f>
        <v>0</v>
      </c>
      <c r="AU40" s="171">
        <f>-'CF(M)'!AU114</f>
        <v>0</v>
      </c>
      <c r="AV40" s="171">
        <f>-'CF(M)'!AV114</f>
        <v>0</v>
      </c>
      <c r="AW40" s="171">
        <f>-'CF(M)'!AW114</f>
        <v>0</v>
      </c>
      <c r="AX40" s="171">
        <f>-'CF(M)'!AX114</f>
        <v>0</v>
      </c>
      <c r="AY40" s="171">
        <f>-'CF(M)'!AY114</f>
        <v>0</v>
      </c>
      <c r="AZ40" s="171">
        <f>-'CF(M)'!AZ114</f>
        <v>0</v>
      </c>
      <c r="BA40" s="171">
        <f>-'CF(M)'!BA114</f>
        <v>0</v>
      </c>
      <c r="BB40" s="171">
        <f>-'CF(M)'!BB114</f>
        <v>0</v>
      </c>
      <c r="BC40" s="171">
        <f>-'CF(M)'!BC114</f>
        <v>0</v>
      </c>
      <c r="BD40" s="171">
        <f>-'CF(M)'!BD114</f>
        <v>0</v>
      </c>
      <c r="BE40" s="171">
        <f>-'CF(M)'!BE114</f>
        <v>0</v>
      </c>
      <c r="BF40" s="171">
        <f>-'CF(M)'!BF114</f>
        <v>0</v>
      </c>
      <c r="BG40" s="171">
        <f>-'CF(M)'!BG114</f>
        <v>0</v>
      </c>
      <c r="BH40" s="171">
        <f>-'CF(M)'!BH114</f>
        <v>0</v>
      </c>
      <c r="BI40" s="171">
        <f>-'CF(M)'!BI114</f>
        <v>0</v>
      </c>
      <c r="BJ40" s="171">
        <f>-'CF(M)'!BJ114</f>
        <v>0</v>
      </c>
      <c r="BK40" s="171">
        <f>-'CF(M)'!BK114</f>
        <v>0</v>
      </c>
      <c r="BL40" s="171">
        <f>-'CF(M)'!BL114</f>
        <v>0</v>
      </c>
      <c r="BM40" s="171">
        <f>-'CF(M)'!BM114</f>
        <v>0</v>
      </c>
      <c r="BN40" s="171">
        <f>-'CF(M)'!BN114</f>
        <v>0</v>
      </c>
      <c r="BO40" s="171">
        <f>-'CF(M)'!BO114</f>
        <v>0</v>
      </c>
      <c r="BP40" s="171">
        <f>-'CF(M)'!BP114</f>
        <v>0</v>
      </c>
      <c r="BQ40" s="171">
        <f>-'CF(M)'!BQ114</f>
        <v>0</v>
      </c>
      <c r="BR40" s="171">
        <f>-'CF(M)'!BR114</f>
        <v>0</v>
      </c>
      <c r="BS40" s="171">
        <f>-'CF(M)'!BS114</f>
        <v>0</v>
      </c>
      <c r="BT40" s="171">
        <f>-'CF(M)'!BT114</f>
        <v>0</v>
      </c>
      <c r="BU40" s="171">
        <f>-'CF(M)'!BU114</f>
        <v>0</v>
      </c>
      <c r="BV40" s="171">
        <f>-'CF(M)'!BV114</f>
        <v>0</v>
      </c>
      <c r="BW40" s="171">
        <f>-'CF(M)'!BW114</f>
        <v>0</v>
      </c>
      <c r="BX40" s="171">
        <f>-'CF(M)'!BX114</f>
        <v>0</v>
      </c>
      <c r="BY40" s="171">
        <f>-'CF(M)'!BY114</f>
        <v>0</v>
      </c>
      <c r="BZ40" s="171">
        <f>-'CF(M)'!BZ114</f>
        <v>0</v>
      </c>
      <c r="CA40" s="171">
        <f>-'CF(M)'!CA114</f>
        <v>0</v>
      </c>
      <c r="CB40" s="171">
        <f>-'CF(M)'!CB114</f>
        <v>0</v>
      </c>
      <c r="CC40" s="171">
        <f>-'CF(M)'!CC114</f>
        <v>0</v>
      </c>
      <c r="CD40" s="171">
        <f>-'CF(M)'!CD114</f>
        <v>0</v>
      </c>
      <c r="CE40" s="171">
        <f>-'CF(M)'!CE114</f>
        <v>0</v>
      </c>
      <c r="CF40" s="171">
        <f>-'CF(M)'!CF114</f>
        <v>0</v>
      </c>
      <c r="CG40" s="171">
        <f>-'CF(M)'!CG114</f>
        <v>0</v>
      </c>
      <c r="CH40" s="171">
        <f>-'CF(M)'!CH114</f>
        <v>0</v>
      </c>
      <c r="CI40" s="171">
        <f>-'CF(M)'!CI114</f>
        <v>0</v>
      </c>
      <c r="CJ40" s="171">
        <f>-'CF(M)'!CJ114</f>
        <v>0</v>
      </c>
      <c r="CK40" s="171">
        <f>-'CF(M)'!CK114</f>
        <v>0</v>
      </c>
      <c r="CL40" s="171">
        <f>-'CF(M)'!CL114</f>
        <v>0</v>
      </c>
      <c r="CM40" s="171">
        <f>-'CF(M)'!CM114</f>
        <v>0</v>
      </c>
      <c r="CN40" s="171">
        <f>-'CF(M)'!CN114</f>
        <v>0</v>
      </c>
      <c r="CO40" s="171">
        <f>-'CF(M)'!CO114</f>
        <v>0</v>
      </c>
      <c r="CP40" s="171">
        <f>-'CF(M)'!CP114</f>
        <v>0</v>
      </c>
      <c r="CQ40" s="171">
        <f>-'CF(M)'!CQ114</f>
        <v>0</v>
      </c>
      <c r="CR40" s="171">
        <f>-'CF(M)'!CR114</f>
        <v>0</v>
      </c>
      <c r="CS40" s="171">
        <f>-'CF(M)'!CS114</f>
        <v>0</v>
      </c>
      <c r="CT40" s="171">
        <f>-'CF(M)'!CT114</f>
        <v>0</v>
      </c>
      <c r="CU40" s="171">
        <f>-'CF(M)'!CU114</f>
        <v>0</v>
      </c>
      <c r="CV40" s="171">
        <f>-'CF(M)'!CV114</f>
        <v>0</v>
      </c>
      <c r="CW40" s="171">
        <f>-'CF(M)'!CW114</f>
        <v>0</v>
      </c>
      <c r="CX40" s="171">
        <f>-'CF(M)'!CX114</f>
        <v>0</v>
      </c>
      <c r="CY40" s="171">
        <f>-'CF(M)'!CY114</f>
        <v>0</v>
      </c>
      <c r="CZ40" s="171">
        <f>-'CF(M)'!CZ114</f>
        <v>0</v>
      </c>
      <c r="DA40" s="171">
        <f>-'CF(M)'!DA114</f>
        <v>0</v>
      </c>
      <c r="DB40" s="171">
        <f>-'CF(M)'!DB114</f>
        <v>0</v>
      </c>
      <c r="DC40" s="171">
        <f>-'CF(M)'!DC114</f>
        <v>0</v>
      </c>
      <c r="DD40" s="171">
        <f>-'CF(M)'!DD114</f>
        <v>0</v>
      </c>
      <c r="DE40" s="171">
        <f>-'CF(M)'!DE114</f>
        <v>0</v>
      </c>
      <c r="DF40" s="171">
        <f>-'CF(M)'!DF114</f>
        <v>0</v>
      </c>
      <c r="DG40" s="171">
        <f>-'CF(M)'!DG114</f>
        <v>0</v>
      </c>
      <c r="DH40" s="171">
        <f>-'CF(M)'!DH114</f>
        <v>0</v>
      </c>
      <c r="DI40" s="171">
        <f>-'CF(M)'!DI114</f>
        <v>0</v>
      </c>
      <c r="DJ40" s="171">
        <f>-'CF(M)'!DJ114</f>
        <v>0</v>
      </c>
      <c r="DK40" s="171">
        <f>-'CF(M)'!DK114</f>
        <v>0</v>
      </c>
      <c r="DL40" s="171">
        <f>-'CF(M)'!DL114</f>
        <v>0</v>
      </c>
      <c r="DM40" s="171">
        <f>-'CF(M)'!DM114</f>
        <v>0</v>
      </c>
      <c r="DN40" s="171">
        <f>-'CF(M)'!DN114</f>
        <v>0</v>
      </c>
      <c r="DO40" s="171">
        <f>-'CF(M)'!DO114</f>
        <v>0</v>
      </c>
      <c r="DP40" s="171">
        <f>-'CF(M)'!DP114</f>
        <v>0</v>
      </c>
      <c r="DQ40" s="171">
        <f>-'CF(M)'!DQ114</f>
        <v>0</v>
      </c>
      <c r="DR40" s="171">
        <f>-'CF(M)'!DR114</f>
        <v>0</v>
      </c>
      <c r="DS40" s="171">
        <f>-'CF(M)'!DS114</f>
        <v>0</v>
      </c>
      <c r="DT40" s="171">
        <f>-'CF(M)'!DT114</f>
        <v>0</v>
      </c>
      <c r="DU40" s="171">
        <f>-'CF(M)'!DU114</f>
        <v>0</v>
      </c>
      <c r="DV40" s="171">
        <f>-'CF(M)'!DV114</f>
        <v>0</v>
      </c>
      <c r="DW40" s="171">
        <f>-'CF(M)'!DW114</f>
        <v>0</v>
      </c>
      <c r="DX40" s="171">
        <f>-'CF(M)'!DX114</f>
        <v>0</v>
      </c>
      <c r="DY40" s="171">
        <f>-'CF(M)'!DY114</f>
        <v>0</v>
      </c>
      <c r="DZ40" s="171">
        <f>-'CF(M)'!DZ114</f>
        <v>0</v>
      </c>
      <c r="EA40" s="171">
        <f>-'CF(M)'!EA114</f>
        <v>0</v>
      </c>
      <c r="EB40" s="171">
        <f>-'CF(M)'!EB114</f>
        <v>48460427.819552772</v>
      </c>
      <c r="EC40" s="171">
        <f>-'CF(M)'!EC114</f>
        <v>0</v>
      </c>
      <c r="ED40" s="171">
        <f>-'CF(M)'!ED114</f>
        <v>0</v>
      </c>
      <c r="EE40" s="171">
        <f>-'CF(M)'!EE114</f>
        <v>0</v>
      </c>
      <c r="EF40" s="171">
        <f>-'CF(M)'!EF114</f>
        <v>0</v>
      </c>
      <c r="EG40" s="171">
        <f>-'CF(M)'!EG114</f>
        <v>0</v>
      </c>
      <c r="EH40" s="171">
        <f>-'CF(M)'!EH114</f>
        <v>0</v>
      </c>
      <c r="EI40" s="171">
        <f>-'CF(M)'!EI114</f>
        <v>0</v>
      </c>
      <c r="EJ40" s="171">
        <f>-'CF(M)'!EJ114</f>
        <v>0</v>
      </c>
      <c r="EK40" s="171">
        <f>-'CF(M)'!EK114</f>
        <v>0</v>
      </c>
      <c r="EL40" s="171">
        <f>-'CF(M)'!EL114</f>
        <v>0</v>
      </c>
      <c r="EM40" s="171">
        <f>-'CF(M)'!EM114</f>
        <v>0</v>
      </c>
      <c r="EN40" s="171">
        <f>-'CF(M)'!EN114</f>
        <v>0</v>
      </c>
      <c r="EO40" s="171">
        <f>-'CF(M)'!EO114</f>
        <v>0</v>
      </c>
      <c r="EP40" s="171">
        <f>-'CF(M)'!EP114</f>
        <v>0</v>
      </c>
      <c r="EQ40" s="171">
        <f>-'CF(M)'!EQ114</f>
        <v>0</v>
      </c>
    </row>
    <row r="41" spans="2:147" ht="11.25" customHeight="1">
      <c r="B41" s="218"/>
      <c r="C41" s="163"/>
      <c r="D41" s="885" t="s">
        <v>599</v>
      </c>
      <c r="E41" s="886"/>
      <c r="F41" s="886"/>
      <c r="G41" s="1026" t="s">
        <v>603</v>
      </c>
      <c r="H41" s="1027">
        <f ca="1">(J39/I37)*(12/H42)</f>
        <v>7.4999999999999997E-3</v>
      </c>
      <c r="I41" s="1023">
        <f ca="1">(IRR($L41:$EQ41,0.01)+1)^12-1</f>
        <v>7.7792962088110151E-3</v>
      </c>
      <c r="J41" s="888">
        <f t="shared" ca="1" si="59"/>
        <v>1110000</v>
      </c>
      <c r="K41" s="98"/>
      <c r="L41" s="888">
        <f t="shared" ref="L41:AQ41" ca="1" si="60">SUM(L37:L39)</f>
        <v>-14800000</v>
      </c>
      <c r="M41" s="888">
        <f t="shared" ca="1" si="60"/>
        <v>0</v>
      </c>
      <c r="N41" s="888">
        <f t="shared" ca="1" si="60"/>
        <v>0</v>
      </c>
      <c r="O41" s="888">
        <f t="shared" ca="1" si="60"/>
        <v>0</v>
      </c>
      <c r="P41" s="888">
        <f t="shared" ca="1" si="60"/>
        <v>0</v>
      </c>
      <c r="Q41" s="888">
        <f t="shared" ca="1" si="60"/>
        <v>0</v>
      </c>
      <c r="R41" s="888">
        <f t="shared" ca="1" si="60"/>
        <v>555000</v>
      </c>
      <c r="S41" s="888">
        <f t="shared" ca="1" si="60"/>
        <v>0</v>
      </c>
      <c r="T41" s="888">
        <f t="shared" ca="1" si="60"/>
        <v>0</v>
      </c>
      <c r="U41" s="888">
        <f t="shared" ca="1" si="60"/>
        <v>0</v>
      </c>
      <c r="V41" s="888">
        <f t="shared" ca="1" si="60"/>
        <v>0</v>
      </c>
      <c r="W41" s="888">
        <f t="shared" ca="1" si="60"/>
        <v>0</v>
      </c>
      <c r="X41" s="888">
        <f t="shared" ca="1" si="60"/>
        <v>555000</v>
      </c>
      <c r="Y41" s="888">
        <f t="shared" ca="1" si="60"/>
        <v>0</v>
      </c>
      <c r="Z41" s="888">
        <f t="shared" ca="1" si="60"/>
        <v>0</v>
      </c>
      <c r="AA41" s="888">
        <f t="shared" ca="1" si="60"/>
        <v>0</v>
      </c>
      <c r="AB41" s="888">
        <f t="shared" ca="1" si="60"/>
        <v>0</v>
      </c>
      <c r="AC41" s="888">
        <f t="shared" ca="1" si="60"/>
        <v>0</v>
      </c>
      <c r="AD41" s="888">
        <f t="shared" ca="1" si="60"/>
        <v>0</v>
      </c>
      <c r="AE41" s="888">
        <f t="shared" ca="1" si="60"/>
        <v>0</v>
      </c>
      <c r="AF41" s="888">
        <f t="shared" ca="1" si="60"/>
        <v>0</v>
      </c>
      <c r="AG41" s="888">
        <f t="shared" ca="1" si="60"/>
        <v>0</v>
      </c>
      <c r="AH41" s="888">
        <f t="shared" ca="1" si="60"/>
        <v>0</v>
      </c>
      <c r="AI41" s="888">
        <f t="shared" ca="1" si="60"/>
        <v>0</v>
      </c>
      <c r="AJ41" s="888">
        <f t="shared" ca="1" si="60"/>
        <v>0</v>
      </c>
      <c r="AK41" s="888">
        <f t="shared" ca="1" si="60"/>
        <v>0</v>
      </c>
      <c r="AL41" s="888">
        <f t="shared" ca="1" si="60"/>
        <v>0</v>
      </c>
      <c r="AM41" s="888">
        <f t="shared" ca="1" si="60"/>
        <v>0</v>
      </c>
      <c r="AN41" s="888">
        <f t="shared" ca="1" si="60"/>
        <v>0</v>
      </c>
      <c r="AO41" s="888">
        <f t="shared" ca="1" si="60"/>
        <v>0</v>
      </c>
      <c r="AP41" s="888">
        <f t="shared" ca="1" si="60"/>
        <v>0</v>
      </c>
      <c r="AQ41" s="888">
        <f t="shared" ca="1" si="60"/>
        <v>0</v>
      </c>
      <c r="AR41" s="888">
        <f t="shared" ref="AR41:BW41" ca="1" si="61">SUM(AR37:AR39)</f>
        <v>0</v>
      </c>
      <c r="AS41" s="888">
        <f t="shared" ca="1" si="61"/>
        <v>0</v>
      </c>
      <c r="AT41" s="888">
        <f t="shared" ca="1" si="61"/>
        <v>0</v>
      </c>
      <c r="AU41" s="888">
        <f t="shared" ca="1" si="61"/>
        <v>0</v>
      </c>
      <c r="AV41" s="888">
        <f t="shared" ca="1" si="61"/>
        <v>0</v>
      </c>
      <c r="AW41" s="888">
        <f t="shared" ca="1" si="61"/>
        <v>0</v>
      </c>
      <c r="AX41" s="888">
        <f t="shared" ca="1" si="61"/>
        <v>0</v>
      </c>
      <c r="AY41" s="888">
        <f t="shared" ca="1" si="61"/>
        <v>0</v>
      </c>
      <c r="AZ41" s="888">
        <f t="shared" ca="1" si="61"/>
        <v>0</v>
      </c>
      <c r="BA41" s="888">
        <f t="shared" ca="1" si="61"/>
        <v>0</v>
      </c>
      <c r="BB41" s="888">
        <f t="shared" ca="1" si="61"/>
        <v>0</v>
      </c>
      <c r="BC41" s="888">
        <f t="shared" ca="1" si="61"/>
        <v>0</v>
      </c>
      <c r="BD41" s="888">
        <f t="shared" ca="1" si="61"/>
        <v>0</v>
      </c>
      <c r="BE41" s="888">
        <f t="shared" ca="1" si="61"/>
        <v>0</v>
      </c>
      <c r="BF41" s="888">
        <f t="shared" ca="1" si="61"/>
        <v>0</v>
      </c>
      <c r="BG41" s="888">
        <f t="shared" ca="1" si="61"/>
        <v>0</v>
      </c>
      <c r="BH41" s="888">
        <f t="shared" ca="1" si="61"/>
        <v>0</v>
      </c>
      <c r="BI41" s="888">
        <f t="shared" ca="1" si="61"/>
        <v>0</v>
      </c>
      <c r="BJ41" s="888">
        <f t="shared" ca="1" si="61"/>
        <v>0</v>
      </c>
      <c r="BK41" s="888">
        <f t="shared" ca="1" si="61"/>
        <v>0</v>
      </c>
      <c r="BL41" s="888">
        <f t="shared" ca="1" si="61"/>
        <v>0</v>
      </c>
      <c r="BM41" s="888">
        <f t="shared" ca="1" si="61"/>
        <v>0</v>
      </c>
      <c r="BN41" s="888">
        <f t="shared" ca="1" si="61"/>
        <v>0</v>
      </c>
      <c r="BO41" s="888">
        <f t="shared" ca="1" si="61"/>
        <v>0</v>
      </c>
      <c r="BP41" s="888">
        <f t="shared" ca="1" si="61"/>
        <v>0</v>
      </c>
      <c r="BQ41" s="888">
        <f t="shared" ca="1" si="61"/>
        <v>0</v>
      </c>
      <c r="BR41" s="888">
        <f t="shared" ca="1" si="61"/>
        <v>0</v>
      </c>
      <c r="BS41" s="888">
        <f t="shared" ca="1" si="61"/>
        <v>0</v>
      </c>
      <c r="BT41" s="888">
        <f t="shared" ca="1" si="61"/>
        <v>0</v>
      </c>
      <c r="BU41" s="888">
        <f t="shared" ca="1" si="61"/>
        <v>0</v>
      </c>
      <c r="BV41" s="888">
        <f t="shared" ca="1" si="61"/>
        <v>0</v>
      </c>
      <c r="BW41" s="888">
        <f t="shared" ca="1" si="61"/>
        <v>0</v>
      </c>
      <c r="BX41" s="888">
        <f t="shared" ref="BX41:DC41" ca="1" si="62">SUM(BX37:BX39)</f>
        <v>0</v>
      </c>
      <c r="BY41" s="888">
        <f t="shared" ca="1" si="62"/>
        <v>0</v>
      </c>
      <c r="BZ41" s="888">
        <f t="shared" ca="1" si="62"/>
        <v>0</v>
      </c>
      <c r="CA41" s="888">
        <f t="shared" ca="1" si="62"/>
        <v>0</v>
      </c>
      <c r="CB41" s="888">
        <f t="shared" ca="1" si="62"/>
        <v>0</v>
      </c>
      <c r="CC41" s="888">
        <f t="shared" ca="1" si="62"/>
        <v>0</v>
      </c>
      <c r="CD41" s="888">
        <f t="shared" ca="1" si="62"/>
        <v>0</v>
      </c>
      <c r="CE41" s="888">
        <f t="shared" ca="1" si="62"/>
        <v>0</v>
      </c>
      <c r="CF41" s="888">
        <f t="shared" ca="1" si="62"/>
        <v>0</v>
      </c>
      <c r="CG41" s="888">
        <f t="shared" ca="1" si="62"/>
        <v>0</v>
      </c>
      <c r="CH41" s="888">
        <f t="shared" ca="1" si="62"/>
        <v>0</v>
      </c>
      <c r="CI41" s="888">
        <f t="shared" ca="1" si="62"/>
        <v>0</v>
      </c>
      <c r="CJ41" s="888">
        <f t="shared" ca="1" si="62"/>
        <v>0</v>
      </c>
      <c r="CK41" s="888">
        <f t="shared" ca="1" si="62"/>
        <v>0</v>
      </c>
      <c r="CL41" s="888">
        <f t="shared" ca="1" si="62"/>
        <v>0</v>
      </c>
      <c r="CM41" s="888">
        <f t="shared" ca="1" si="62"/>
        <v>0</v>
      </c>
      <c r="CN41" s="888">
        <f t="shared" ca="1" si="62"/>
        <v>0</v>
      </c>
      <c r="CO41" s="888">
        <f t="shared" ca="1" si="62"/>
        <v>0</v>
      </c>
      <c r="CP41" s="888">
        <f t="shared" ca="1" si="62"/>
        <v>0</v>
      </c>
      <c r="CQ41" s="888">
        <f t="shared" ca="1" si="62"/>
        <v>0</v>
      </c>
      <c r="CR41" s="888">
        <f t="shared" ca="1" si="62"/>
        <v>0</v>
      </c>
      <c r="CS41" s="888">
        <f t="shared" ca="1" si="62"/>
        <v>0</v>
      </c>
      <c r="CT41" s="888">
        <f t="shared" ca="1" si="62"/>
        <v>0</v>
      </c>
      <c r="CU41" s="888">
        <f t="shared" ca="1" si="62"/>
        <v>0</v>
      </c>
      <c r="CV41" s="888">
        <f t="shared" ca="1" si="62"/>
        <v>0</v>
      </c>
      <c r="CW41" s="888">
        <f t="shared" ca="1" si="62"/>
        <v>0</v>
      </c>
      <c r="CX41" s="888">
        <f t="shared" ca="1" si="62"/>
        <v>0</v>
      </c>
      <c r="CY41" s="888">
        <f t="shared" ca="1" si="62"/>
        <v>0</v>
      </c>
      <c r="CZ41" s="888">
        <f t="shared" ca="1" si="62"/>
        <v>0</v>
      </c>
      <c r="DA41" s="888">
        <f t="shared" ca="1" si="62"/>
        <v>0</v>
      </c>
      <c r="DB41" s="888">
        <f t="shared" ca="1" si="62"/>
        <v>0</v>
      </c>
      <c r="DC41" s="888">
        <f t="shared" ca="1" si="62"/>
        <v>0</v>
      </c>
      <c r="DD41" s="888">
        <f t="shared" ref="DD41:DS41" ca="1" si="63">SUM(DD37:DD39)</f>
        <v>0</v>
      </c>
      <c r="DE41" s="888">
        <f t="shared" ca="1" si="63"/>
        <v>0</v>
      </c>
      <c r="DF41" s="888">
        <f t="shared" ca="1" si="63"/>
        <v>0</v>
      </c>
      <c r="DG41" s="888">
        <f t="shared" ca="1" si="63"/>
        <v>0</v>
      </c>
      <c r="DH41" s="888">
        <f t="shared" ca="1" si="63"/>
        <v>0</v>
      </c>
      <c r="DI41" s="888">
        <f t="shared" ca="1" si="63"/>
        <v>0</v>
      </c>
      <c r="DJ41" s="888">
        <f t="shared" ca="1" si="63"/>
        <v>0</v>
      </c>
      <c r="DK41" s="888">
        <f t="shared" ca="1" si="63"/>
        <v>0</v>
      </c>
      <c r="DL41" s="888">
        <f t="shared" ca="1" si="63"/>
        <v>0</v>
      </c>
      <c r="DM41" s="888">
        <f t="shared" ca="1" si="63"/>
        <v>0</v>
      </c>
      <c r="DN41" s="888">
        <f t="shared" ca="1" si="63"/>
        <v>0</v>
      </c>
      <c r="DO41" s="888">
        <f t="shared" ca="1" si="63"/>
        <v>0</v>
      </c>
      <c r="DP41" s="888">
        <f t="shared" ca="1" si="63"/>
        <v>0</v>
      </c>
      <c r="DQ41" s="888">
        <f t="shared" ca="1" si="63"/>
        <v>0</v>
      </c>
      <c r="DR41" s="888">
        <f t="shared" ca="1" si="63"/>
        <v>0</v>
      </c>
      <c r="DS41" s="888">
        <f t="shared" ca="1" si="63"/>
        <v>0</v>
      </c>
      <c r="DT41" s="888">
        <f t="shared" ref="DT41:EM41" ca="1" si="64">SUM(DT37:DT39)</f>
        <v>0</v>
      </c>
      <c r="DU41" s="888">
        <f t="shared" ca="1" si="64"/>
        <v>0</v>
      </c>
      <c r="DV41" s="888">
        <f t="shared" ca="1" si="64"/>
        <v>0</v>
      </c>
      <c r="DW41" s="888">
        <f t="shared" ca="1" si="64"/>
        <v>0</v>
      </c>
      <c r="DX41" s="888">
        <f t="shared" ca="1" si="64"/>
        <v>0</v>
      </c>
      <c r="DY41" s="888">
        <f t="shared" ca="1" si="64"/>
        <v>0</v>
      </c>
      <c r="DZ41" s="888">
        <f t="shared" ca="1" si="64"/>
        <v>0</v>
      </c>
      <c r="EA41" s="888">
        <f t="shared" ca="1" si="64"/>
        <v>0</v>
      </c>
      <c r="EB41" s="888">
        <f t="shared" ca="1" si="64"/>
        <v>14800000</v>
      </c>
      <c r="EC41" s="888">
        <f t="shared" ca="1" si="64"/>
        <v>0</v>
      </c>
      <c r="ED41" s="888">
        <f t="shared" ca="1" si="64"/>
        <v>0</v>
      </c>
      <c r="EE41" s="888">
        <f t="shared" ca="1" si="64"/>
        <v>0</v>
      </c>
      <c r="EF41" s="888">
        <f t="shared" ca="1" si="64"/>
        <v>0</v>
      </c>
      <c r="EG41" s="888">
        <f t="shared" ca="1" si="64"/>
        <v>0</v>
      </c>
      <c r="EH41" s="888">
        <f t="shared" ca="1" si="64"/>
        <v>0</v>
      </c>
      <c r="EI41" s="888">
        <f t="shared" ca="1" si="64"/>
        <v>0</v>
      </c>
      <c r="EJ41" s="888">
        <f t="shared" ca="1" si="64"/>
        <v>0</v>
      </c>
      <c r="EK41" s="888">
        <f t="shared" ca="1" si="64"/>
        <v>0</v>
      </c>
      <c r="EL41" s="888">
        <f t="shared" ca="1" si="64"/>
        <v>0</v>
      </c>
      <c r="EM41" s="888">
        <f t="shared" ca="1" si="64"/>
        <v>0</v>
      </c>
      <c r="EN41" s="888">
        <f ca="1">SUM(EN37:EN39)</f>
        <v>0</v>
      </c>
      <c r="EO41" s="888">
        <f ca="1">SUM(EO37:EO39)</f>
        <v>0</v>
      </c>
      <c r="EP41" s="888">
        <f ca="1">SUM(EP37:EP39)</f>
        <v>0</v>
      </c>
      <c r="EQ41" s="888">
        <f ca="1">SUM(EQ37:EQ39)</f>
        <v>0</v>
      </c>
    </row>
    <row r="42" spans="2:147" ht="11.25" customHeight="1">
      <c r="B42" s="244"/>
      <c r="C42" s="178"/>
      <c r="D42" s="179" t="s">
        <v>600</v>
      </c>
      <c r="E42" s="180"/>
      <c r="F42" s="180"/>
      <c r="G42" s="1028"/>
      <c r="H42" s="1029">
        <f>'A&amp;R'!O44</f>
        <v>120</v>
      </c>
      <c r="I42" s="1024">
        <f ca="1">(IRR($L42:$EQ42,0.01)+1)^12-1</f>
        <v>0.16438586395039967</v>
      </c>
      <c r="J42" s="184">
        <f t="shared" ca="1" si="59"/>
        <v>49570427.819552772</v>
      </c>
      <c r="K42" s="98"/>
      <c r="L42" s="184">
        <f t="shared" ref="L42:AQ42" ca="1" si="65">SUM(L37:L40)</f>
        <v>-14800000</v>
      </c>
      <c r="M42" s="184">
        <f t="shared" ca="1" si="65"/>
        <v>0</v>
      </c>
      <c r="N42" s="184">
        <f t="shared" ca="1" si="65"/>
        <v>0</v>
      </c>
      <c r="O42" s="184">
        <f t="shared" ca="1" si="65"/>
        <v>0</v>
      </c>
      <c r="P42" s="184">
        <f t="shared" ca="1" si="65"/>
        <v>0</v>
      </c>
      <c r="Q42" s="184">
        <f t="shared" ca="1" si="65"/>
        <v>0</v>
      </c>
      <c r="R42" s="184">
        <f t="shared" ca="1" si="65"/>
        <v>555000</v>
      </c>
      <c r="S42" s="184">
        <f t="shared" ca="1" si="65"/>
        <v>0</v>
      </c>
      <c r="T42" s="184">
        <f t="shared" ca="1" si="65"/>
        <v>0</v>
      </c>
      <c r="U42" s="184">
        <f t="shared" ca="1" si="65"/>
        <v>0</v>
      </c>
      <c r="V42" s="184">
        <f t="shared" ca="1" si="65"/>
        <v>0</v>
      </c>
      <c r="W42" s="184">
        <f t="shared" ca="1" si="65"/>
        <v>0</v>
      </c>
      <c r="X42" s="184">
        <f t="shared" ca="1" si="65"/>
        <v>555000</v>
      </c>
      <c r="Y42" s="184">
        <f t="shared" ca="1" si="65"/>
        <v>0</v>
      </c>
      <c r="Z42" s="184">
        <f t="shared" ca="1" si="65"/>
        <v>0</v>
      </c>
      <c r="AA42" s="184">
        <f t="shared" ca="1" si="65"/>
        <v>0</v>
      </c>
      <c r="AB42" s="184">
        <f t="shared" ca="1" si="65"/>
        <v>0</v>
      </c>
      <c r="AC42" s="184">
        <f t="shared" ca="1" si="65"/>
        <v>0</v>
      </c>
      <c r="AD42" s="184">
        <f t="shared" ca="1" si="65"/>
        <v>0</v>
      </c>
      <c r="AE42" s="184">
        <f t="shared" ca="1" si="65"/>
        <v>0</v>
      </c>
      <c r="AF42" s="184">
        <f t="shared" ca="1" si="65"/>
        <v>0</v>
      </c>
      <c r="AG42" s="184">
        <f t="shared" ca="1" si="65"/>
        <v>0</v>
      </c>
      <c r="AH42" s="184">
        <f t="shared" ca="1" si="65"/>
        <v>0</v>
      </c>
      <c r="AI42" s="184">
        <f t="shared" ca="1" si="65"/>
        <v>0</v>
      </c>
      <c r="AJ42" s="184">
        <f t="shared" ca="1" si="65"/>
        <v>0</v>
      </c>
      <c r="AK42" s="184">
        <f t="shared" ca="1" si="65"/>
        <v>0</v>
      </c>
      <c r="AL42" s="184">
        <f t="shared" ca="1" si="65"/>
        <v>0</v>
      </c>
      <c r="AM42" s="184">
        <f t="shared" ca="1" si="65"/>
        <v>0</v>
      </c>
      <c r="AN42" s="184">
        <f t="shared" ca="1" si="65"/>
        <v>0</v>
      </c>
      <c r="AO42" s="184">
        <f t="shared" ca="1" si="65"/>
        <v>0</v>
      </c>
      <c r="AP42" s="184">
        <f t="shared" ca="1" si="65"/>
        <v>0</v>
      </c>
      <c r="AQ42" s="184">
        <f t="shared" ca="1" si="65"/>
        <v>0</v>
      </c>
      <c r="AR42" s="184">
        <f t="shared" ref="AR42:BW42" ca="1" si="66">SUM(AR37:AR40)</f>
        <v>0</v>
      </c>
      <c r="AS42" s="184">
        <f t="shared" ca="1" si="66"/>
        <v>0</v>
      </c>
      <c r="AT42" s="184">
        <f t="shared" ca="1" si="66"/>
        <v>0</v>
      </c>
      <c r="AU42" s="184">
        <f t="shared" ca="1" si="66"/>
        <v>0</v>
      </c>
      <c r="AV42" s="184">
        <f t="shared" ca="1" si="66"/>
        <v>0</v>
      </c>
      <c r="AW42" s="184">
        <f t="shared" ca="1" si="66"/>
        <v>0</v>
      </c>
      <c r="AX42" s="184">
        <f t="shared" ca="1" si="66"/>
        <v>0</v>
      </c>
      <c r="AY42" s="184">
        <f t="shared" ca="1" si="66"/>
        <v>0</v>
      </c>
      <c r="AZ42" s="184">
        <f t="shared" ca="1" si="66"/>
        <v>0</v>
      </c>
      <c r="BA42" s="184">
        <f t="shared" ca="1" si="66"/>
        <v>0</v>
      </c>
      <c r="BB42" s="184">
        <f t="shared" ca="1" si="66"/>
        <v>0</v>
      </c>
      <c r="BC42" s="184">
        <f t="shared" ca="1" si="66"/>
        <v>0</v>
      </c>
      <c r="BD42" s="184">
        <f t="shared" ca="1" si="66"/>
        <v>0</v>
      </c>
      <c r="BE42" s="184">
        <f t="shared" ca="1" si="66"/>
        <v>0</v>
      </c>
      <c r="BF42" s="184">
        <f t="shared" ca="1" si="66"/>
        <v>0</v>
      </c>
      <c r="BG42" s="184">
        <f t="shared" ca="1" si="66"/>
        <v>0</v>
      </c>
      <c r="BH42" s="184">
        <f t="shared" ca="1" si="66"/>
        <v>0</v>
      </c>
      <c r="BI42" s="184">
        <f t="shared" ca="1" si="66"/>
        <v>0</v>
      </c>
      <c r="BJ42" s="184">
        <f t="shared" ca="1" si="66"/>
        <v>0</v>
      </c>
      <c r="BK42" s="184">
        <f t="shared" ca="1" si="66"/>
        <v>0</v>
      </c>
      <c r="BL42" s="184">
        <f t="shared" ca="1" si="66"/>
        <v>0</v>
      </c>
      <c r="BM42" s="184">
        <f t="shared" ca="1" si="66"/>
        <v>0</v>
      </c>
      <c r="BN42" s="184">
        <f t="shared" ca="1" si="66"/>
        <v>0</v>
      </c>
      <c r="BO42" s="184">
        <f t="shared" ca="1" si="66"/>
        <v>0</v>
      </c>
      <c r="BP42" s="184">
        <f t="shared" ca="1" si="66"/>
        <v>0</v>
      </c>
      <c r="BQ42" s="184">
        <f t="shared" ca="1" si="66"/>
        <v>0</v>
      </c>
      <c r="BR42" s="184">
        <f t="shared" ca="1" si="66"/>
        <v>0</v>
      </c>
      <c r="BS42" s="184">
        <f t="shared" ca="1" si="66"/>
        <v>0</v>
      </c>
      <c r="BT42" s="184">
        <f t="shared" ca="1" si="66"/>
        <v>0</v>
      </c>
      <c r="BU42" s="184">
        <f t="shared" ca="1" si="66"/>
        <v>0</v>
      </c>
      <c r="BV42" s="184">
        <f t="shared" ca="1" si="66"/>
        <v>0</v>
      </c>
      <c r="BW42" s="184">
        <f t="shared" ca="1" si="66"/>
        <v>0</v>
      </c>
      <c r="BX42" s="184">
        <f t="shared" ref="BX42:DC42" ca="1" si="67">SUM(BX37:BX40)</f>
        <v>0</v>
      </c>
      <c r="BY42" s="184">
        <f t="shared" ca="1" si="67"/>
        <v>0</v>
      </c>
      <c r="BZ42" s="184">
        <f t="shared" ca="1" si="67"/>
        <v>0</v>
      </c>
      <c r="CA42" s="184">
        <f t="shared" ca="1" si="67"/>
        <v>0</v>
      </c>
      <c r="CB42" s="184">
        <f t="shared" ca="1" si="67"/>
        <v>0</v>
      </c>
      <c r="CC42" s="184">
        <f t="shared" ca="1" si="67"/>
        <v>0</v>
      </c>
      <c r="CD42" s="184">
        <f t="shared" ca="1" si="67"/>
        <v>0</v>
      </c>
      <c r="CE42" s="184">
        <f t="shared" ca="1" si="67"/>
        <v>0</v>
      </c>
      <c r="CF42" s="184">
        <f t="shared" ca="1" si="67"/>
        <v>0</v>
      </c>
      <c r="CG42" s="184">
        <f t="shared" ca="1" si="67"/>
        <v>0</v>
      </c>
      <c r="CH42" s="184">
        <f t="shared" ca="1" si="67"/>
        <v>0</v>
      </c>
      <c r="CI42" s="184">
        <f t="shared" ca="1" si="67"/>
        <v>0</v>
      </c>
      <c r="CJ42" s="184">
        <f t="shared" ca="1" si="67"/>
        <v>0</v>
      </c>
      <c r="CK42" s="184">
        <f t="shared" ca="1" si="67"/>
        <v>0</v>
      </c>
      <c r="CL42" s="184">
        <f t="shared" ca="1" si="67"/>
        <v>0</v>
      </c>
      <c r="CM42" s="184">
        <f t="shared" ca="1" si="67"/>
        <v>0</v>
      </c>
      <c r="CN42" s="184">
        <f t="shared" ca="1" si="67"/>
        <v>0</v>
      </c>
      <c r="CO42" s="184">
        <f t="shared" ca="1" si="67"/>
        <v>0</v>
      </c>
      <c r="CP42" s="184">
        <f t="shared" ca="1" si="67"/>
        <v>0</v>
      </c>
      <c r="CQ42" s="184">
        <f t="shared" ca="1" si="67"/>
        <v>0</v>
      </c>
      <c r="CR42" s="184">
        <f t="shared" ca="1" si="67"/>
        <v>0</v>
      </c>
      <c r="CS42" s="184">
        <f t="shared" ca="1" si="67"/>
        <v>0</v>
      </c>
      <c r="CT42" s="184">
        <f t="shared" ca="1" si="67"/>
        <v>0</v>
      </c>
      <c r="CU42" s="184">
        <f t="shared" ca="1" si="67"/>
        <v>0</v>
      </c>
      <c r="CV42" s="184">
        <f t="shared" ca="1" si="67"/>
        <v>0</v>
      </c>
      <c r="CW42" s="184">
        <f t="shared" ca="1" si="67"/>
        <v>0</v>
      </c>
      <c r="CX42" s="184">
        <f t="shared" ca="1" si="67"/>
        <v>0</v>
      </c>
      <c r="CY42" s="184">
        <f t="shared" ca="1" si="67"/>
        <v>0</v>
      </c>
      <c r="CZ42" s="184">
        <f t="shared" ca="1" si="67"/>
        <v>0</v>
      </c>
      <c r="DA42" s="184">
        <f t="shared" ca="1" si="67"/>
        <v>0</v>
      </c>
      <c r="DB42" s="184">
        <f t="shared" ca="1" si="67"/>
        <v>0</v>
      </c>
      <c r="DC42" s="184">
        <f t="shared" ca="1" si="67"/>
        <v>0</v>
      </c>
      <c r="DD42" s="184">
        <f t="shared" ref="DD42:DS42" ca="1" si="68">SUM(DD37:DD40)</f>
        <v>0</v>
      </c>
      <c r="DE42" s="184">
        <f t="shared" ca="1" si="68"/>
        <v>0</v>
      </c>
      <c r="DF42" s="184">
        <f t="shared" ca="1" si="68"/>
        <v>0</v>
      </c>
      <c r="DG42" s="184">
        <f t="shared" ca="1" si="68"/>
        <v>0</v>
      </c>
      <c r="DH42" s="184">
        <f t="shared" ca="1" si="68"/>
        <v>0</v>
      </c>
      <c r="DI42" s="184">
        <f t="shared" ca="1" si="68"/>
        <v>0</v>
      </c>
      <c r="DJ42" s="184">
        <f t="shared" ca="1" si="68"/>
        <v>0</v>
      </c>
      <c r="DK42" s="184">
        <f t="shared" ca="1" si="68"/>
        <v>0</v>
      </c>
      <c r="DL42" s="184">
        <f t="shared" ca="1" si="68"/>
        <v>0</v>
      </c>
      <c r="DM42" s="184">
        <f t="shared" ca="1" si="68"/>
        <v>0</v>
      </c>
      <c r="DN42" s="184">
        <f t="shared" ca="1" si="68"/>
        <v>0</v>
      </c>
      <c r="DO42" s="184">
        <f t="shared" ca="1" si="68"/>
        <v>0</v>
      </c>
      <c r="DP42" s="184">
        <f t="shared" ca="1" si="68"/>
        <v>0</v>
      </c>
      <c r="DQ42" s="184">
        <f t="shared" ca="1" si="68"/>
        <v>0</v>
      </c>
      <c r="DR42" s="184">
        <f t="shared" ca="1" si="68"/>
        <v>0</v>
      </c>
      <c r="DS42" s="184">
        <f t="shared" ca="1" si="68"/>
        <v>0</v>
      </c>
      <c r="DT42" s="184">
        <f t="shared" ref="DT42:EM42" ca="1" si="69">SUM(DT37:DT40)</f>
        <v>0</v>
      </c>
      <c r="DU42" s="184">
        <f t="shared" ca="1" si="69"/>
        <v>0</v>
      </c>
      <c r="DV42" s="184">
        <f t="shared" ca="1" si="69"/>
        <v>0</v>
      </c>
      <c r="DW42" s="184">
        <f t="shared" ca="1" si="69"/>
        <v>0</v>
      </c>
      <c r="DX42" s="184">
        <f t="shared" ca="1" si="69"/>
        <v>0</v>
      </c>
      <c r="DY42" s="184">
        <f t="shared" ca="1" si="69"/>
        <v>0</v>
      </c>
      <c r="DZ42" s="184">
        <f t="shared" ca="1" si="69"/>
        <v>0</v>
      </c>
      <c r="EA42" s="184">
        <f t="shared" ca="1" si="69"/>
        <v>0</v>
      </c>
      <c r="EB42" s="184">
        <f t="shared" ca="1" si="69"/>
        <v>63260427.819552772</v>
      </c>
      <c r="EC42" s="184">
        <f t="shared" ca="1" si="69"/>
        <v>0</v>
      </c>
      <c r="ED42" s="184">
        <f t="shared" ca="1" si="69"/>
        <v>0</v>
      </c>
      <c r="EE42" s="184">
        <f t="shared" ca="1" si="69"/>
        <v>0</v>
      </c>
      <c r="EF42" s="184">
        <f t="shared" ca="1" si="69"/>
        <v>0</v>
      </c>
      <c r="EG42" s="184">
        <f t="shared" ca="1" si="69"/>
        <v>0</v>
      </c>
      <c r="EH42" s="184">
        <f t="shared" ca="1" si="69"/>
        <v>0</v>
      </c>
      <c r="EI42" s="184">
        <f t="shared" ca="1" si="69"/>
        <v>0</v>
      </c>
      <c r="EJ42" s="184">
        <f t="shared" ca="1" si="69"/>
        <v>0</v>
      </c>
      <c r="EK42" s="184">
        <f t="shared" ca="1" si="69"/>
        <v>0</v>
      </c>
      <c r="EL42" s="184">
        <f t="shared" ca="1" si="69"/>
        <v>0</v>
      </c>
      <c r="EM42" s="184">
        <f t="shared" ca="1" si="69"/>
        <v>0</v>
      </c>
      <c r="EN42" s="184">
        <f ca="1">SUM(EN37:EN40)</f>
        <v>0</v>
      </c>
      <c r="EO42" s="184">
        <f ca="1">SUM(EO37:EO40)</f>
        <v>0</v>
      </c>
      <c r="EP42" s="184">
        <f ca="1">SUM(EP37:EP40)</f>
        <v>0</v>
      </c>
      <c r="EQ42" s="184">
        <f ca="1">SUM(EQ37:EQ40)</f>
        <v>0</v>
      </c>
    </row>
    <row r="43" spans="2:147" ht="11.25" customHeight="1">
      <c r="B43" s="218"/>
      <c r="C43" s="163"/>
      <c r="D43" s="1037" t="s">
        <v>217</v>
      </c>
      <c r="E43" s="886"/>
      <c r="F43" s="886"/>
      <c r="G43" s="1027"/>
      <c r="H43" s="1033"/>
      <c r="I43" s="1023"/>
      <c r="J43" s="888"/>
      <c r="K43" s="98"/>
      <c r="L43" s="171">
        <f>K46</f>
        <v>0</v>
      </c>
      <c r="M43" s="171">
        <f t="shared" ref="M43:BX43" si="70">L46</f>
        <v>14800000</v>
      </c>
      <c r="N43" s="171">
        <f t="shared" si="70"/>
        <v>14800000</v>
      </c>
      <c r="O43" s="171">
        <f t="shared" si="70"/>
        <v>14800000</v>
      </c>
      <c r="P43" s="171">
        <f t="shared" si="70"/>
        <v>14800000</v>
      </c>
      <c r="Q43" s="171">
        <f t="shared" si="70"/>
        <v>14800000</v>
      </c>
      <c r="R43" s="171">
        <f t="shared" si="70"/>
        <v>14800000</v>
      </c>
      <c r="S43" s="171">
        <f t="shared" si="70"/>
        <v>14800000</v>
      </c>
      <c r="T43" s="171">
        <f t="shared" si="70"/>
        <v>14800000</v>
      </c>
      <c r="U43" s="171">
        <f t="shared" si="70"/>
        <v>14800000</v>
      </c>
      <c r="V43" s="171">
        <f t="shared" si="70"/>
        <v>14800000</v>
      </c>
      <c r="W43" s="171">
        <f t="shared" si="70"/>
        <v>14800000</v>
      </c>
      <c r="X43" s="171">
        <f t="shared" si="70"/>
        <v>14800000</v>
      </c>
      <c r="Y43" s="171">
        <f t="shared" si="70"/>
        <v>14800000</v>
      </c>
      <c r="Z43" s="171">
        <f t="shared" si="70"/>
        <v>14800000</v>
      </c>
      <c r="AA43" s="171">
        <f t="shared" si="70"/>
        <v>14800000</v>
      </c>
      <c r="AB43" s="171">
        <f t="shared" si="70"/>
        <v>14800000</v>
      </c>
      <c r="AC43" s="171">
        <f t="shared" si="70"/>
        <v>14800000</v>
      </c>
      <c r="AD43" s="171">
        <f t="shared" si="70"/>
        <v>14800000</v>
      </c>
      <c r="AE43" s="171">
        <f t="shared" si="70"/>
        <v>14800000</v>
      </c>
      <c r="AF43" s="171">
        <f t="shared" si="70"/>
        <v>14800000</v>
      </c>
      <c r="AG43" s="171">
        <f t="shared" si="70"/>
        <v>14800000</v>
      </c>
      <c r="AH43" s="171">
        <f t="shared" si="70"/>
        <v>14800000</v>
      </c>
      <c r="AI43" s="171">
        <f t="shared" si="70"/>
        <v>14800000</v>
      </c>
      <c r="AJ43" s="171">
        <f t="shared" si="70"/>
        <v>14800000</v>
      </c>
      <c r="AK43" s="171">
        <f t="shared" si="70"/>
        <v>14800000</v>
      </c>
      <c r="AL43" s="171">
        <f t="shared" si="70"/>
        <v>14800000</v>
      </c>
      <c r="AM43" s="171">
        <f t="shared" si="70"/>
        <v>14800000</v>
      </c>
      <c r="AN43" s="171">
        <f t="shared" si="70"/>
        <v>14800000</v>
      </c>
      <c r="AO43" s="171">
        <f t="shared" si="70"/>
        <v>14800000</v>
      </c>
      <c r="AP43" s="171">
        <f t="shared" si="70"/>
        <v>14800000</v>
      </c>
      <c r="AQ43" s="171">
        <f t="shared" si="70"/>
        <v>14800000</v>
      </c>
      <c r="AR43" s="171">
        <f t="shared" si="70"/>
        <v>14800000</v>
      </c>
      <c r="AS43" s="171">
        <f t="shared" si="70"/>
        <v>14800000</v>
      </c>
      <c r="AT43" s="171">
        <f t="shared" si="70"/>
        <v>14800000</v>
      </c>
      <c r="AU43" s="171">
        <f t="shared" si="70"/>
        <v>14800000</v>
      </c>
      <c r="AV43" s="171">
        <f t="shared" si="70"/>
        <v>14800000</v>
      </c>
      <c r="AW43" s="171">
        <f t="shared" si="70"/>
        <v>14800000</v>
      </c>
      <c r="AX43" s="171">
        <f t="shared" si="70"/>
        <v>14800000</v>
      </c>
      <c r="AY43" s="171">
        <f t="shared" si="70"/>
        <v>14800000</v>
      </c>
      <c r="AZ43" s="171">
        <f t="shared" si="70"/>
        <v>14800000</v>
      </c>
      <c r="BA43" s="171">
        <f t="shared" si="70"/>
        <v>14800000</v>
      </c>
      <c r="BB43" s="171">
        <f t="shared" si="70"/>
        <v>14800000</v>
      </c>
      <c r="BC43" s="171">
        <f t="shared" si="70"/>
        <v>14800000</v>
      </c>
      <c r="BD43" s="171">
        <f t="shared" si="70"/>
        <v>14800000</v>
      </c>
      <c r="BE43" s="171">
        <f t="shared" si="70"/>
        <v>14800000</v>
      </c>
      <c r="BF43" s="171">
        <f t="shared" si="70"/>
        <v>14800000</v>
      </c>
      <c r="BG43" s="171">
        <f t="shared" si="70"/>
        <v>14800000</v>
      </c>
      <c r="BH43" s="171">
        <f t="shared" si="70"/>
        <v>14800000</v>
      </c>
      <c r="BI43" s="171">
        <f t="shared" si="70"/>
        <v>14800000</v>
      </c>
      <c r="BJ43" s="171">
        <f t="shared" si="70"/>
        <v>14800000</v>
      </c>
      <c r="BK43" s="171">
        <f t="shared" si="70"/>
        <v>14800000</v>
      </c>
      <c r="BL43" s="171">
        <f t="shared" si="70"/>
        <v>14800000</v>
      </c>
      <c r="BM43" s="171">
        <f t="shared" si="70"/>
        <v>14800000</v>
      </c>
      <c r="BN43" s="171">
        <f t="shared" si="70"/>
        <v>14800000</v>
      </c>
      <c r="BO43" s="171">
        <f t="shared" si="70"/>
        <v>14800000</v>
      </c>
      <c r="BP43" s="171">
        <f t="shared" si="70"/>
        <v>14800000</v>
      </c>
      <c r="BQ43" s="171">
        <f t="shared" si="70"/>
        <v>14800000</v>
      </c>
      <c r="BR43" s="171">
        <f t="shared" si="70"/>
        <v>14800000</v>
      </c>
      <c r="BS43" s="171">
        <f t="shared" si="70"/>
        <v>14800000</v>
      </c>
      <c r="BT43" s="171">
        <f t="shared" si="70"/>
        <v>14800000</v>
      </c>
      <c r="BU43" s="171">
        <f t="shared" si="70"/>
        <v>14800000</v>
      </c>
      <c r="BV43" s="171">
        <f t="shared" si="70"/>
        <v>14800000</v>
      </c>
      <c r="BW43" s="171">
        <f t="shared" si="70"/>
        <v>14800000</v>
      </c>
      <c r="BX43" s="171">
        <f t="shared" si="70"/>
        <v>14800000</v>
      </c>
      <c r="BY43" s="171">
        <f t="shared" ref="BY43:DS43" si="71">BX46</f>
        <v>14800000</v>
      </c>
      <c r="BZ43" s="171">
        <f t="shared" si="71"/>
        <v>14800000</v>
      </c>
      <c r="CA43" s="171">
        <f t="shared" si="71"/>
        <v>14800000</v>
      </c>
      <c r="CB43" s="171">
        <f t="shared" si="71"/>
        <v>14800000</v>
      </c>
      <c r="CC43" s="171">
        <f t="shared" si="71"/>
        <v>14800000</v>
      </c>
      <c r="CD43" s="171">
        <f t="shared" si="71"/>
        <v>14800000</v>
      </c>
      <c r="CE43" s="171">
        <f t="shared" si="71"/>
        <v>14800000</v>
      </c>
      <c r="CF43" s="171">
        <f t="shared" si="71"/>
        <v>14800000</v>
      </c>
      <c r="CG43" s="171">
        <f t="shared" si="71"/>
        <v>14800000</v>
      </c>
      <c r="CH43" s="171">
        <f t="shared" si="71"/>
        <v>14800000</v>
      </c>
      <c r="CI43" s="171">
        <f t="shared" si="71"/>
        <v>14800000</v>
      </c>
      <c r="CJ43" s="171">
        <f t="shared" si="71"/>
        <v>14800000</v>
      </c>
      <c r="CK43" s="171">
        <f t="shared" si="71"/>
        <v>14800000</v>
      </c>
      <c r="CL43" s="171">
        <f t="shared" si="71"/>
        <v>14800000</v>
      </c>
      <c r="CM43" s="171">
        <f t="shared" si="71"/>
        <v>14800000</v>
      </c>
      <c r="CN43" s="171">
        <f t="shared" si="71"/>
        <v>14800000</v>
      </c>
      <c r="CO43" s="171">
        <f t="shared" si="71"/>
        <v>14800000</v>
      </c>
      <c r="CP43" s="171">
        <f t="shared" si="71"/>
        <v>14800000</v>
      </c>
      <c r="CQ43" s="171">
        <f t="shared" si="71"/>
        <v>14800000</v>
      </c>
      <c r="CR43" s="171">
        <f t="shared" si="71"/>
        <v>14800000</v>
      </c>
      <c r="CS43" s="171">
        <f t="shared" si="71"/>
        <v>14800000</v>
      </c>
      <c r="CT43" s="171">
        <f t="shared" si="71"/>
        <v>14800000</v>
      </c>
      <c r="CU43" s="171">
        <f t="shared" si="71"/>
        <v>14800000</v>
      </c>
      <c r="CV43" s="171">
        <f t="shared" si="71"/>
        <v>14800000</v>
      </c>
      <c r="CW43" s="171">
        <f t="shared" si="71"/>
        <v>14800000</v>
      </c>
      <c r="CX43" s="171">
        <f t="shared" si="71"/>
        <v>14800000</v>
      </c>
      <c r="CY43" s="171">
        <f t="shared" si="71"/>
        <v>14800000</v>
      </c>
      <c r="CZ43" s="171">
        <f t="shared" si="71"/>
        <v>14800000</v>
      </c>
      <c r="DA43" s="171">
        <f t="shared" si="71"/>
        <v>14800000</v>
      </c>
      <c r="DB43" s="171">
        <f t="shared" si="71"/>
        <v>14800000</v>
      </c>
      <c r="DC43" s="171">
        <f t="shared" si="71"/>
        <v>14800000</v>
      </c>
      <c r="DD43" s="171">
        <f t="shared" si="71"/>
        <v>14800000</v>
      </c>
      <c r="DE43" s="171">
        <f t="shared" si="71"/>
        <v>14800000</v>
      </c>
      <c r="DF43" s="171">
        <f t="shared" si="71"/>
        <v>14800000</v>
      </c>
      <c r="DG43" s="171">
        <f t="shared" si="71"/>
        <v>14800000</v>
      </c>
      <c r="DH43" s="171">
        <f t="shared" si="71"/>
        <v>14800000</v>
      </c>
      <c r="DI43" s="171">
        <f t="shared" si="71"/>
        <v>14800000</v>
      </c>
      <c r="DJ43" s="171">
        <f t="shared" si="71"/>
        <v>14800000</v>
      </c>
      <c r="DK43" s="171">
        <f t="shared" si="71"/>
        <v>14800000</v>
      </c>
      <c r="DL43" s="171">
        <f t="shared" si="71"/>
        <v>14800000</v>
      </c>
      <c r="DM43" s="171">
        <f t="shared" si="71"/>
        <v>14800000</v>
      </c>
      <c r="DN43" s="171">
        <f t="shared" si="71"/>
        <v>14800000</v>
      </c>
      <c r="DO43" s="171">
        <f t="shared" si="71"/>
        <v>14800000</v>
      </c>
      <c r="DP43" s="171">
        <f t="shared" si="71"/>
        <v>14800000</v>
      </c>
      <c r="DQ43" s="171">
        <f t="shared" si="71"/>
        <v>14800000</v>
      </c>
      <c r="DR43" s="171">
        <f t="shared" si="71"/>
        <v>14800000</v>
      </c>
      <c r="DS43" s="171">
        <f t="shared" si="71"/>
        <v>14800000</v>
      </c>
      <c r="DT43" s="171">
        <f t="shared" ref="DT43:EQ43" si="72">DS46</f>
        <v>14800000</v>
      </c>
      <c r="DU43" s="171">
        <f t="shared" si="72"/>
        <v>14800000</v>
      </c>
      <c r="DV43" s="171">
        <f t="shared" si="72"/>
        <v>14800000</v>
      </c>
      <c r="DW43" s="171">
        <f t="shared" si="72"/>
        <v>14800000</v>
      </c>
      <c r="DX43" s="171">
        <f t="shared" si="72"/>
        <v>14800000</v>
      </c>
      <c r="DY43" s="171">
        <f t="shared" si="72"/>
        <v>14800000</v>
      </c>
      <c r="DZ43" s="171">
        <f t="shared" si="72"/>
        <v>14800000</v>
      </c>
      <c r="EA43" s="171">
        <f t="shared" si="72"/>
        <v>14800000</v>
      </c>
      <c r="EB43" s="171">
        <f t="shared" si="72"/>
        <v>14800000</v>
      </c>
      <c r="EC43" s="171">
        <f t="shared" si="72"/>
        <v>0</v>
      </c>
      <c r="ED43" s="171">
        <f t="shared" si="72"/>
        <v>0</v>
      </c>
      <c r="EE43" s="171">
        <f t="shared" si="72"/>
        <v>0</v>
      </c>
      <c r="EF43" s="171">
        <f t="shared" si="72"/>
        <v>0</v>
      </c>
      <c r="EG43" s="171">
        <f t="shared" si="72"/>
        <v>0</v>
      </c>
      <c r="EH43" s="171">
        <f t="shared" si="72"/>
        <v>0</v>
      </c>
      <c r="EI43" s="171">
        <f t="shared" si="72"/>
        <v>0</v>
      </c>
      <c r="EJ43" s="171">
        <f t="shared" si="72"/>
        <v>0</v>
      </c>
      <c r="EK43" s="171">
        <f t="shared" si="72"/>
        <v>0</v>
      </c>
      <c r="EL43" s="171">
        <f t="shared" si="72"/>
        <v>0</v>
      </c>
      <c r="EM43" s="171">
        <f t="shared" si="72"/>
        <v>0</v>
      </c>
      <c r="EN43" s="171">
        <f t="shared" si="72"/>
        <v>0</v>
      </c>
      <c r="EO43" s="171">
        <f t="shared" si="72"/>
        <v>0</v>
      </c>
      <c r="EP43" s="171">
        <f t="shared" si="72"/>
        <v>0</v>
      </c>
      <c r="EQ43" s="171">
        <f t="shared" si="72"/>
        <v>0</v>
      </c>
    </row>
    <row r="44" spans="2:147" ht="11.25" customHeight="1">
      <c r="B44" s="218"/>
      <c r="C44" s="163"/>
      <c r="D44" s="66" t="s">
        <v>218</v>
      </c>
      <c r="G44" s="1032"/>
      <c r="H44" s="1030"/>
      <c r="I44" s="1022"/>
      <c r="J44" s="171">
        <f>SUM(L44:EQ44)</f>
        <v>14800000</v>
      </c>
      <c r="K44" s="98"/>
      <c r="L44" s="171">
        <f t="shared" ref="L44:AQ44" si="73">-L37</f>
        <v>14800000</v>
      </c>
      <c r="M44" s="171">
        <f t="shared" si="73"/>
        <v>0</v>
      </c>
      <c r="N44" s="171">
        <f t="shared" si="73"/>
        <v>0</v>
      </c>
      <c r="O44" s="171">
        <f t="shared" si="73"/>
        <v>0</v>
      </c>
      <c r="P44" s="171">
        <f t="shared" si="73"/>
        <v>0</v>
      </c>
      <c r="Q44" s="171">
        <f t="shared" si="73"/>
        <v>0</v>
      </c>
      <c r="R44" s="171">
        <f t="shared" si="73"/>
        <v>0</v>
      </c>
      <c r="S44" s="171">
        <f t="shared" si="73"/>
        <v>0</v>
      </c>
      <c r="T44" s="171">
        <f t="shared" si="73"/>
        <v>0</v>
      </c>
      <c r="U44" s="171">
        <f t="shared" si="73"/>
        <v>0</v>
      </c>
      <c r="V44" s="171">
        <f t="shared" si="73"/>
        <v>0</v>
      </c>
      <c r="W44" s="171">
        <f t="shared" si="73"/>
        <v>0</v>
      </c>
      <c r="X44" s="171">
        <f t="shared" si="73"/>
        <v>0</v>
      </c>
      <c r="Y44" s="171">
        <f t="shared" si="73"/>
        <v>0</v>
      </c>
      <c r="Z44" s="171">
        <f t="shared" si="73"/>
        <v>0</v>
      </c>
      <c r="AA44" s="171">
        <f t="shared" si="73"/>
        <v>0</v>
      </c>
      <c r="AB44" s="171">
        <f t="shared" si="73"/>
        <v>0</v>
      </c>
      <c r="AC44" s="171">
        <f t="shared" si="73"/>
        <v>0</v>
      </c>
      <c r="AD44" s="171">
        <f t="shared" si="73"/>
        <v>0</v>
      </c>
      <c r="AE44" s="171">
        <f t="shared" si="73"/>
        <v>0</v>
      </c>
      <c r="AF44" s="171">
        <f t="shared" si="73"/>
        <v>0</v>
      </c>
      <c r="AG44" s="171">
        <f t="shared" si="73"/>
        <v>0</v>
      </c>
      <c r="AH44" s="171">
        <f t="shared" si="73"/>
        <v>0</v>
      </c>
      <c r="AI44" s="171">
        <f t="shared" si="73"/>
        <v>0</v>
      </c>
      <c r="AJ44" s="171">
        <f t="shared" si="73"/>
        <v>0</v>
      </c>
      <c r="AK44" s="171">
        <f t="shared" si="73"/>
        <v>0</v>
      </c>
      <c r="AL44" s="171">
        <f t="shared" si="73"/>
        <v>0</v>
      </c>
      <c r="AM44" s="171">
        <f t="shared" si="73"/>
        <v>0</v>
      </c>
      <c r="AN44" s="171">
        <f t="shared" si="73"/>
        <v>0</v>
      </c>
      <c r="AO44" s="171">
        <f t="shared" si="73"/>
        <v>0</v>
      </c>
      <c r="AP44" s="171">
        <f t="shared" si="73"/>
        <v>0</v>
      </c>
      <c r="AQ44" s="171">
        <f t="shared" si="73"/>
        <v>0</v>
      </c>
      <c r="AR44" s="171">
        <f t="shared" ref="AR44:BW44" si="74">-AR37</f>
        <v>0</v>
      </c>
      <c r="AS44" s="171">
        <f t="shared" si="74"/>
        <v>0</v>
      </c>
      <c r="AT44" s="171">
        <f t="shared" si="74"/>
        <v>0</v>
      </c>
      <c r="AU44" s="171">
        <f t="shared" si="74"/>
        <v>0</v>
      </c>
      <c r="AV44" s="171">
        <f t="shared" si="74"/>
        <v>0</v>
      </c>
      <c r="AW44" s="171">
        <f t="shared" si="74"/>
        <v>0</v>
      </c>
      <c r="AX44" s="171">
        <f t="shared" si="74"/>
        <v>0</v>
      </c>
      <c r="AY44" s="171">
        <f t="shared" si="74"/>
        <v>0</v>
      </c>
      <c r="AZ44" s="171">
        <f t="shared" si="74"/>
        <v>0</v>
      </c>
      <c r="BA44" s="171">
        <f t="shared" si="74"/>
        <v>0</v>
      </c>
      <c r="BB44" s="171">
        <f t="shared" si="74"/>
        <v>0</v>
      </c>
      <c r="BC44" s="171">
        <f t="shared" si="74"/>
        <v>0</v>
      </c>
      <c r="BD44" s="171">
        <f t="shared" si="74"/>
        <v>0</v>
      </c>
      <c r="BE44" s="171">
        <f t="shared" si="74"/>
        <v>0</v>
      </c>
      <c r="BF44" s="171">
        <f t="shared" si="74"/>
        <v>0</v>
      </c>
      <c r="BG44" s="171">
        <f t="shared" si="74"/>
        <v>0</v>
      </c>
      <c r="BH44" s="171">
        <f t="shared" si="74"/>
        <v>0</v>
      </c>
      <c r="BI44" s="171">
        <f t="shared" si="74"/>
        <v>0</v>
      </c>
      <c r="BJ44" s="171">
        <f t="shared" si="74"/>
        <v>0</v>
      </c>
      <c r="BK44" s="171">
        <f t="shared" si="74"/>
        <v>0</v>
      </c>
      <c r="BL44" s="171">
        <f t="shared" si="74"/>
        <v>0</v>
      </c>
      <c r="BM44" s="171">
        <f t="shared" si="74"/>
        <v>0</v>
      </c>
      <c r="BN44" s="171">
        <f t="shared" si="74"/>
        <v>0</v>
      </c>
      <c r="BO44" s="171">
        <f t="shared" si="74"/>
        <v>0</v>
      </c>
      <c r="BP44" s="171">
        <f t="shared" si="74"/>
        <v>0</v>
      </c>
      <c r="BQ44" s="171">
        <f t="shared" si="74"/>
        <v>0</v>
      </c>
      <c r="BR44" s="171">
        <f t="shared" si="74"/>
        <v>0</v>
      </c>
      <c r="BS44" s="171">
        <f t="shared" si="74"/>
        <v>0</v>
      </c>
      <c r="BT44" s="171">
        <f t="shared" si="74"/>
        <v>0</v>
      </c>
      <c r="BU44" s="171">
        <f t="shared" si="74"/>
        <v>0</v>
      </c>
      <c r="BV44" s="171">
        <f t="shared" si="74"/>
        <v>0</v>
      </c>
      <c r="BW44" s="171">
        <f t="shared" si="74"/>
        <v>0</v>
      </c>
      <c r="BX44" s="171">
        <f t="shared" ref="BX44:DC44" si="75">-BX37</f>
        <v>0</v>
      </c>
      <c r="BY44" s="171">
        <f t="shared" si="75"/>
        <v>0</v>
      </c>
      <c r="BZ44" s="171">
        <f t="shared" si="75"/>
        <v>0</v>
      </c>
      <c r="CA44" s="171">
        <f t="shared" si="75"/>
        <v>0</v>
      </c>
      <c r="CB44" s="171">
        <f t="shared" si="75"/>
        <v>0</v>
      </c>
      <c r="CC44" s="171">
        <f t="shared" si="75"/>
        <v>0</v>
      </c>
      <c r="CD44" s="171">
        <f t="shared" si="75"/>
        <v>0</v>
      </c>
      <c r="CE44" s="171">
        <f t="shared" si="75"/>
        <v>0</v>
      </c>
      <c r="CF44" s="171">
        <f t="shared" si="75"/>
        <v>0</v>
      </c>
      <c r="CG44" s="171">
        <f t="shared" si="75"/>
        <v>0</v>
      </c>
      <c r="CH44" s="171">
        <f t="shared" si="75"/>
        <v>0</v>
      </c>
      <c r="CI44" s="171">
        <f t="shared" si="75"/>
        <v>0</v>
      </c>
      <c r="CJ44" s="171">
        <f t="shared" si="75"/>
        <v>0</v>
      </c>
      <c r="CK44" s="171">
        <f t="shared" si="75"/>
        <v>0</v>
      </c>
      <c r="CL44" s="171">
        <f t="shared" si="75"/>
        <v>0</v>
      </c>
      <c r="CM44" s="171">
        <f t="shared" si="75"/>
        <v>0</v>
      </c>
      <c r="CN44" s="171">
        <f t="shared" si="75"/>
        <v>0</v>
      </c>
      <c r="CO44" s="171">
        <f t="shared" si="75"/>
        <v>0</v>
      </c>
      <c r="CP44" s="171">
        <f t="shared" si="75"/>
        <v>0</v>
      </c>
      <c r="CQ44" s="171">
        <f t="shared" si="75"/>
        <v>0</v>
      </c>
      <c r="CR44" s="171">
        <f t="shared" si="75"/>
        <v>0</v>
      </c>
      <c r="CS44" s="171">
        <f t="shared" si="75"/>
        <v>0</v>
      </c>
      <c r="CT44" s="171">
        <f t="shared" si="75"/>
        <v>0</v>
      </c>
      <c r="CU44" s="171">
        <f t="shared" si="75"/>
        <v>0</v>
      </c>
      <c r="CV44" s="171">
        <f t="shared" si="75"/>
        <v>0</v>
      </c>
      <c r="CW44" s="171">
        <f t="shared" si="75"/>
        <v>0</v>
      </c>
      <c r="CX44" s="171">
        <f t="shared" si="75"/>
        <v>0</v>
      </c>
      <c r="CY44" s="171">
        <f t="shared" si="75"/>
        <v>0</v>
      </c>
      <c r="CZ44" s="171">
        <f t="shared" si="75"/>
        <v>0</v>
      </c>
      <c r="DA44" s="171">
        <f t="shared" si="75"/>
        <v>0</v>
      </c>
      <c r="DB44" s="171">
        <f t="shared" si="75"/>
        <v>0</v>
      </c>
      <c r="DC44" s="171">
        <f t="shared" si="75"/>
        <v>0</v>
      </c>
      <c r="DD44" s="171">
        <f t="shared" ref="DD44:DS44" si="76">-DD37</f>
        <v>0</v>
      </c>
      <c r="DE44" s="171">
        <f t="shared" si="76"/>
        <v>0</v>
      </c>
      <c r="DF44" s="171">
        <f t="shared" si="76"/>
        <v>0</v>
      </c>
      <c r="DG44" s="171">
        <f t="shared" si="76"/>
        <v>0</v>
      </c>
      <c r="DH44" s="171">
        <f t="shared" si="76"/>
        <v>0</v>
      </c>
      <c r="DI44" s="171">
        <f t="shared" si="76"/>
        <v>0</v>
      </c>
      <c r="DJ44" s="171">
        <f t="shared" si="76"/>
        <v>0</v>
      </c>
      <c r="DK44" s="171">
        <f t="shared" si="76"/>
        <v>0</v>
      </c>
      <c r="DL44" s="171">
        <f t="shared" si="76"/>
        <v>0</v>
      </c>
      <c r="DM44" s="171">
        <f t="shared" si="76"/>
        <v>0</v>
      </c>
      <c r="DN44" s="171">
        <f t="shared" si="76"/>
        <v>0</v>
      </c>
      <c r="DO44" s="171">
        <f t="shared" si="76"/>
        <v>0</v>
      </c>
      <c r="DP44" s="171">
        <f t="shared" si="76"/>
        <v>0</v>
      </c>
      <c r="DQ44" s="171">
        <f t="shared" si="76"/>
        <v>0</v>
      </c>
      <c r="DR44" s="171">
        <f t="shared" si="76"/>
        <v>0</v>
      </c>
      <c r="DS44" s="171">
        <f t="shared" si="76"/>
        <v>0</v>
      </c>
      <c r="DT44" s="171">
        <f t="shared" ref="DT44:EM44" si="77">-DT37</f>
        <v>0</v>
      </c>
      <c r="DU44" s="171">
        <f t="shared" si="77"/>
        <v>0</v>
      </c>
      <c r="DV44" s="171">
        <f t="shared" si="77"/>
        <v>0</v>
      </c>
      <c r="DW44" s="171">
        <f t="shared" si="77"/>
        <v>0</v>
      </c>
      <c r="DX44" s="171">
        <f t="shared" si="77"/>
        <v>0</v>
      </c>
      <c r="DY44" s="171">
        <f t="shared" si="77"/>
        <v>0</v>
      </c>
      <c r="DZ44" s="171">
        <f t="shared" si="77"/>
        <v>0</v>
      </c>
      <c r="EA44" s="171">
        <f t="shared" si="77"/>
        <v>0</v>
      </c>
      <c r="EB44" s="171">
        <f t="shared" si="77"/>
        <v>0</v>
      </c>
      <c r="EC44" s="171">
        <f t="shared" si="77"/>
        <v>0</v>
      </c>
      <c r="ED44" s="171">
        <f t="shared" si="77"/>
        <v>0</v>
      </c>
      <c r="EE44" s="171">
        <f t="shared" si="77"/>
        <v>0</v>
      </c>
      <c r="EF44" s="171">
        <f t="shared" si="77"/>
        <v>0</v>
      </c>
      <c r="EG44" s="171">
        <f t="shared" si="77"/>
        <v>0</v>
      </c>
      <c r="EH44" s="171">
        <f t="shared" si="77"/>
        <v>0</v>
      </c>
      <c r="EI44" s="171">
        <f t="shared" si="77"/>
        <v>0</v>
      </c>
      <c r="EJ44" s="171">
        <f t="shared" si="77"/>
        <v>0</v>
      </c>
      <c r="EK44" s="171">
        <f t="shared" si="77"/>
        <v>0</v>
      </c>
      <c r="EL44" s="171">
        <f t="shared" si="77"/>
        <v>0</v>
      </c>
      <c r="EM44" s="171">
        <f t="shared" si="77"/>
        <v>0</v>
      </c>
      <c r="EN44" s="171">
        <f>-EN37</f>
        <v>0</v>
      </c>
      <c r="EO44" s="171">
        <f>-EO37</f>
        <v>0</v>
      </c>
      <c r="EP44" s="171">
        <f>-EP37</f>
        <v>0</v>
      </c>
      <c r="EQ44" s="171">
        <f>-EQ37</f>
        <v>0</v>
      </c>
    </row>
    <row r="45" spans="2:147" ht="11.25" customHeight="1">
      <c r="B45" s="218"/>
      <c r="C45" s="163"/>
      <c r="D45" s="66" t="s">
        <v>219</v>
      </c>
      <c r="G45" s="1032"/>
      <c r="H45" s="1039">
        <f>H23</f>
        <v>49979</v>
      </c>
      <c r="I45" s="1022"/>
      <c r="J45" s="171">
        <f>SUM(L45:EQ45)</f>
        <v>14800000</v>
      </c>
      <c r="K45" s="98"/>
      <c r="L45" s="171">
        <f>SUM(L43:L44)*(L$5=$H45)</f>
        <v>0</v>
      </c>
      <c r="M45" s="171">
        <f t="shared" ref="M45:BX45" si="78">SUM(M43:M44)*(M$5=$H45)</f>
        <v>0</v>
      </c>
      <c r="N45" s="171">
        <f t="shared" si="78"/>
        <v>0</v>
      </c>
      <c r="O45" s="171">
        <f t="shared" si="78"/>
        <v>0</v>
      </c>
      <c r="P45" s="171">
        <f t="shared" si="78"/>
        <v>0</v>
      </c>
      <c r="Q45" s="171">
        <f t="shared" si="78"/>
        <v>0</v>
      </c>
      <c r="R45" s="171">
        <f t="shared" si="78"/>
        <v>0</v>
      </c>
      <c r="S45" s="171">
        <f t="shared" si="78"/>
        <v>0</v>
      </c>
      <c r="T45" s="171">
        <f t="shared" si="78"/>
        <v>0</v>
      </c>
      <c r="U45" s="171">
        <f t="shared" si="78"/>
        <v>0</v>
      </c>
      <c r="V45" s="171">
        <f t="shared" si="78"/>
        <v>0</v>
      </c>
      <c r="W45" s="171">
        <f t="shared" si="78"/>
        <v>0</v>
      </c>
      <c r="X45" s="171">
        <f t="shared" si="78"/>
        <v>0</v>
      </c>
      <c r="Y45" s="171">
        <f t="shared" si="78"/>
        <v>0</v>
      </c>
      <c r="Z45" s="171">
        <f t="shared" si="78"/>
        <v>0</v>
      </c>
      <c r="AA45" s="171">
        <f t="shared" si="78"/>
        <v>0</v>
      </c>
      <c r="AB45" s="171">
        <f t="shared" si="78"/>
        <v>0</v>
      </c>
      <c r="AC45" s="171">
        <f t="shared" si="78"/>
        <v>0</v>
      </c>
      <c r="AD45" s="171">
        <f t="shared" si="78"/>
        <v>0</v>
      </c>
      <c r="AE45" s="171">
        <f t="shared" si="78"/>
        <v>0</v>
      </c>
      <c r="AF45" s="171">
        <f t="shared" si="78"/>
        <v>0</v>
      </c>
      <c r="AG45" s="171">
        <f t="shared" si="78"/>
        <v>0</v>
      </c>
      <c r="AH45" s="171">
        <f t="shared" si="78"/>
        <v>0</v>
      </c>
      <c r="AI45" s="171">
        <f t="shared" si="78"/>
        <v>0</v>
      </c>
      <c r="AJ45" s="171">
        <f t="shared" si="78"/>
        <v>0</v>
      </c>
      <c r="AK45" s="171">
        <f t="shared" si="78"/>
        <v>0</v>
      </c>
      <c r="AL45" s="171">
        <f t="shared" si="78"/>
        <v>0</v>
      </c>
      <c r="AM45" s="171">
        <f t="shared" si="78"/>
        <v>0</v>
      </c>
      <c r="AN45" s="171">
        <f t="shared" si="78"/>
        <v>0</v>
      </c>
      <c r="AO45" s="171">
        <f t="shared" si="78"/>
        <v>0</v>
      </c>
      <c r="AP45" s="171">
        <f t="shared" si="78"/>
        <v>0</v>
      </c>
      <c r="AQ45" s="171">
        <f t="shared" si="78"/>
        <v>0</v>
      </c>
      <c r="AR45" s="171">
        <f t="shared" si="78"/>
        <v>0</v>
      </c>
      <c r="AS45" s="171">
        <f t="shared" si="78"/>
        <v>0</v>
      </c>
      <c r="AT45" s="171">
        <f t="shared" si="78"/>
        <v>0</v>
      </c>
      <c r="AU45" s="171">
        <f t="shared" si="78"/>
        <v>0</v>
      </c>
      <c r="AV45" s="171">
        <f t="shared" si="78"/>
        <v>0</v>
      </c>
      <c r="AW45" s="171">
        <f t="shared" si="78"/>
        <v>0</v>
      </c>
      <c r="AX45" s="171">
        <f t="shared" si="78"/>
        <v>0</v>
      </c>
      <c r="AY45" s="171">
        <f t="shared" si="78"/>
        <v>0</v>
      </c>
      <c r="AZ45" s="171">
        <f t="shared" si="78"/>
        <v>0</v>
      </c>
      <c r="BA45" s="171">
        <f t="shared" si="78"/>
        <v>0</v>
      </c>
      <c r="BB45" s="171">
        <f t="shared" si="78"/>
        <v>0</v>
      </c>
      <c r="BC45" s="171">
        <f t="shared" si="78"/>
        <v>0</v>
      </c>
      <c r="BD45" s="171">
        <f t="shared" si="78"/>
        <v>0</v>
      </c>
      <c r="BE45" s="171">
        <f t="shared" si="78"/>
        <v>0</v>
      </c>
      <c r="BF45" s="171">
        <f t="shared" si="78"/>
        <v>0</v>
      </c>
      <c r="BG45" s="171">
        <f t="shared" si="78"/>
        <v>0</v>
      </c>
      <c r="BH45" s="171">
        <f t="shared" si="78"/>
        <v>0</v>
      </c>
      <c r="BI45" s="171">
        <f t="shared" si="78"/>
        <v>0</v>
      </c>
      <c r="BJ45" s="171">
        <f t="shared" si="78"/>
        <v>0</v>
      </c>
      <c r="BK45" s="171">
        <f t="shared" si="78"/>
        <v>0</v>
      </c>
      <c r="BL45" s="171">
        <f t="shared" si="78"/>
        <v>0</v>
      </c>
      <c r="BM45" s="171">
        <f t="shared" si="78"/>
        <v>0</v>
      </c>
      <c r="BN45" s="171">
        <f t="shared" si="78"/>
        <v>0</v>
      </c>
      <c r="BO45" s="171">
        <f t="shared" si="78"/>
        <v>0</v>
      </c>
      <c r="BP45" s="171">
        <f t="shared" si="78"/>
        <v>0</v>
      </c>
      <c r="BQ45" s="171">
        <f t="shared" si="78"/>
        <v>0</v>
      </c>
      <c r="BR45" s="171">
        <f t="shared" si="78"/>
        <v>0</v>
      </c>
      <c r="BS45" s="171">
        <f t="shared" si="78"/>
        <v>0</v>
      </c>
      <c r="BT45" s="171">
        <f t="shared" si="78"/>
        <v>0</v>
      </c>
      <c r="BU45" s="171">
        <f t="shared" si="78"/>
        <v>0</v>
      </c>
      <c r="BV45" s="171">
        <f t="shared" si="78"/>
        <v>0</v>
      </c>
      <c r="BW45" s="171">
        <f t="shared" si="78"/>
        <v>0</v>
      </c>
      <c r="BX45" s="171">
        <f t="shared" si="78"/>
        <v>0</v>
      </c>
      <c r="BY45" s="171">
        <f t="shared" ref="BY45:DS45" si="79">SUM(BY43:BY44)*(BY$5=$H45)</f>
        <v>0</v>
      </c>
      <c r="BZ45" s="171">
        <f t="shared" si="79"/>
        <v>0</v>
      </c>
      <c r="CA45" s="171">
        <f t="shared" si="79"/>
        <v>0</v>
      </c>
      <c r="CB45" s="171">
        <f t="shared" si="79"/>
        <v>0</v>
      </c>
      <c r="CC45" s="171">
        <f t="shared" si="79"/>
        <v>0</v>
      </c>
      <c r="CD45" s="171">
        <f t="shared" si="79"/>
        <v>0</v>
      </c>
      <c r="CE45" s="171">
        <f t="shared" si="79"/>
        <v>0</v>
      </c>
      <c r="CF45" s="171">
        <f t="shared" si="79"/>
        <v>0</v>
      </c>
      <c r="CG45" s="171">
        <f t="shared" si="79"/>
        <v>0</v>
      </c>
      <c r="CH45" s="171">
        <f t="shared" si="79"/>
        <v>0</v>
      </c>
      <c r="CI45" s="171">
        <f t="shared" si="79"/>
        <v>0</v>
      </c>
      <c r="CJ45" s="171">
        <f t="shared" si="79"/>
        <v>0</v>
      </c>
      <c r="CK45" s="171">
        <f t="shared" si="79"/>
        <v>0</v>
      </c>
      <c r="CL45" s="171">
        <f t="shared" si="79"/>
        <v>0</v>
      </c>
      <c r="CM45" s="171">
        <f t="shared" si="79"/>
        <v>0</v>
      </c>
      <c r="CN45" s="171">
        <f t="shared" si="79"/>
        <v>0</v>
      </c>
      <c r="CO45" s="171">
        <f t="shared" si="79"/>
        <v>0</v>
      </c>
      <c r="CP45" s="171">
        <f t="shared" si="79"/>
        <v>0</v>
      </c>
      <c r="CQ45" s="171">
        <f t="shared" si="79"/>
        <v>0</v>
      </c>
      <c r="CR45" s="171">
        <f t="shared" si="79"/>
        <v>0</v>
      </c>
      <c r="CS45" s="171">
        <f t="shared" si="79"/>
        <v>0</v>
      </c>
      <c r="CT45" s="171">
        <f t="shared" si="79"/>
        <v>0</v>
      </c>
      <c r="CU45" s="171">
        <f t="shared" si="79"/>
        <v>0</v>
      </c>
      <c r="CV45" s="171">
        <f t="shared" si="79"/>
        <v>0</v>
      </c>
      <c r="CW45" s="171">
        <f t="shared" si="79"/>
        <v>0</v>
      </c>
      <c r="CX45" s="171">
        <f t="shared" si="79"/>
        <v>0</v>
      </c>
      <c r="CY45" s="171">
        <f t="shared" si="79"/>
        <v>0</v>
      </c>
      <c r="CZ45" s="171">
        <f t="shared" si="79"/>
        <v>0</v>
      </c>
      <c r="DA45" s="171">
        <f t="shared" si="79"/>
        <v>0</v>
      </c>
      <c r="DB45" s="171">
        <f t="shared" si="79"/>
        <v>0</v>
      </c>
      <c r="DC45" s="171">
        <f t="shared" si="79"/>
        <v>0</v>
      </c>
      <c r="DD45" s="171">
        <f t="shared" si="79"/>
        <v>0</v>
      </c>
      <c r="DE45" s="171">
        <f t="shared" si="79"/>
        <v>0</v>
      </c>
      <c r="DF45" s="171">
        <f t="shared" si="79"/>
        <v>0</v>
      </c>
      <c r="DG45" s="171">
        <f t="shared" si="79"/>
        <v>0</v>
      </c>
      <c r="DH45" s="171">
        <f t="shared" si="79"/>
        <v>0</v>
      </c>
      <c r="DI45" s="171">
        <f t="shared" si="79"/>
        <v>0</v>
      </c>
      <c r="DJ45" s="171">
        <f t="shared" si="79"/>
        <v>0</v>
      </c>
      <c r="DK45" s="171">
        <f t="shared" si="79"/>
        <v>0</v>
      </c>
      <c r="DL45" s="171">
        <f t="shared" si="79"/>
        <v>0</v>
      </c>
      <c r="DM45" s="171">
        <f t="shared" si="79"/>
        <v>0</v>
      </c>
      <c r="DN45" s="171">
        <f t="shared" si="79"/>
        <v>0</v>
      </c>
      <c r="DO45" s="171">
        <f t="shared" si="79"/>
        <v>0</v>
      </c>
      <c r="DP45" s="171">
        <f t="shared" si="79"/>
        <v>0</v>
      </c>
      <c r="DQ45" s="171">
        <f t="shared" si="79"/>
        <v>0</v>
      </c>
      <c r="DR45" s="171">
        <f t="shared" si="79"/>
        <v>0</v>
      </c>
      <c r="DS45" s="171">
        <f t="shared" si="79"/>
        <v>0</v>
      </c>
      <c r="DT45" s="171">
        <f t="shared" ref="DT45:EM45" si="80">SUM(DT43:DT44)*(DT$5=$H45)</f>
        <v>0</v>
      </c>
      <c r="DU45" s="171">
        <f t="shared" si="80"/>
        <v>0</v>
      </c>
      <c r="DV45" s="171">
        <f t="shared" si="80"/>
        <v>0</v>
      </c>
      <c r="DW45" s="171">
        <f t="shared" si="80"/>
        <v>0</v>
      </c>
      <c r="DX45" s="171">
        <f t="shared" si="80"/>
        <v>0</v>
      </c>
      <c r="DY45" s="171">
        <f t="shared" si="80"/>
        <v>0</v>
      </c>
      <c r="DZ45" s="171">
        <f t="shared" si="80"/>
        <v>0</v>
      </c>
      <c r="EA45" s="171">
        <f t="shared" si="80"/>
        <v>0</v>
      </c>
      <c r="EB45" s="171">
        <f t="shared" si="80"/>
        <v>14800000</v>
      </c>
      <c r="EC45" s="171">
        <f t="shared" si="80"/>
        <v>0</v>
      </c>
      <c r="ED45" s="171">
        <f t="shared" si="80"/>
        <v>0</v>
      </c>
      <c r="EE45" s="171">
        <f t="shared" si="80"/>
        <v>0</v>
      </c>
      <c r="EF45" s="171">
        <f t="shared" si="80"/>
        <v>0</v>
      </c>
      <c r="EG45" s="171">
        <f t="shared" si="80"/>
        <v>0</v>
      </c>
      <c r="EH45" s="171">
        <f t="shared" si="80"/>
        <v>0</v>
      </c>
      <c r="EI45" s="171">
        <f t="shared" si="80"/>
        <v>0</v>
      </c>
      <c r="EJ45" s="171">
        <f t="shared" si="80"/>
        <v>0</v>
      </c>
      <c r="EK45" s="171">
        <f t="shared" si="80"/>
        <v>0</v>
      </c>
      <c r="EL45" s="171">
        <f t="shared" si="80"/>
        <v>0</v>
      </c>
      <c r="EM45" s="171">
        <f t="shared" si="80"/>
        <v>0</v>
      </c>
      <c r="EN45" s="171">
        <f>SUM(EN43:EN44)*(EN$5=$H45)</f>
        <v>0</v>
      </c>
      <c r="EO45" s="171">
        <f>SUM(EO43:EO44)*(EO$5=$H45)</f>
        <v>0</v>
      </c>
      <c r="EP45" s="171">
        <f>SUM(EP43:EP44)*(EP$5=$H45)</f>
        <v>0</v>
      </c>
      <c r="EQ45" s="171">
        <f>SUM(EQ43:EQ44)*(EQ$5=$H45)</f>
        <v>0</v>
      </c>
    </row>
    <row r="46" spans="2:147" ht="11.25" customHeight="1">
      <c r="B46" s="218"/>
      <c r="C46" s="163"/>
      <c r="D46" s="1038" t="s">
        <v>220</v>
      </c>
      <c r="E46" s="175"/>
      <c r="F46" s="175"/>
      <c r="G46" s="1034"/>
      <c r="H46" s="1035"/>
      <c r="I46" s="1036"/>
      <c r="J46" s="177"/>
      <c r="K46" s="98"/>
      <c r="L46" s="184">
        <f t="shared" ref="L46:AQ46" si="81">L43+L44-L45</f>
        <v>14800000</v>
      </c>
      <c r="M46" s="184">
        <f t="shared" si="81"/>
        <v>14800000</v>
      </c>
      <c r="N46" s="184">
        <f t="shared" si="81"/>
        <v>14800000</v>
      </c>
      <c r="O46" s="184">
        <f t="shared" si="81"/>
        <v>14800000</v>
      </c>
      <c r="P46" s="184">
        <f t="shared" si="81"/>
        <v>14800000</v>
      </c>
      <c r="Q46" s="184">
        <f t="shared" si="81"/>
        <v>14800000</v>
      </c>
      <c r="R46" s="184">
        <f t="shared" si="81"/>
        <v>14800000</v>
      </c>
      <c r="S46" s="184">
        <f t="shared" si="81"/>
        <v>14800000</v>
      </c>
      <c r="T46" s="184">
        <f t="shared" si="81"/>
        <v>14800000</v>
      </c>
      <c r="U46" s="184">
        <f t="shared" si="81"/>
        <v>14800000</v>
      </c>
      <c r="V46" s="184">
        <f t="shared" si="81"/>
        <v>14800000</v>
      </c>
      <c r="W46" s="184">
        <f t="shared" si="81"/>
        <v>14800000</v>
      </c>
      <c r="X46" s="184">
        <f t="shared" si="81"/>
        <v>14800000</v>
      </c>
      <c r="Y46" s="184">
        <f t="shared" si="81"/>
        <v>14800000</v>
      </c>
      <c r="Z46" s="184">
        <f t="shared" si="81"/>
        <v>14800000</v>
      </c>
      <c r="AA46" s="184">
        <f t="shared" si="81"/>
        <v>14800000</v>
      </c>
      <c r="AB46" s="184">
        <f t="shared" si="81"/>
        <v>14800000</v>
      </c>
      <c r="AC46" s="184">
        <f t="shared" si="81"/>
        <v>14800000</v>
      </c>
      <c r="AD46" s="184">
        <f t="shared" si="81"/>
        <v>14800000</v>
      </c>
      <c r="AE46" s="184">
        <f t="shared" si="81"/>
        <v>14800000</v>
      </c>
      <c r="AF46" s="184">
        <f t="shared" si="81"/>
        <v>14800000</v>
      </c>
      <c r="AG46" s="184">
        <f t="shared" si="81"/>
        <v>14800000</v>
      </c>
      <c r="AH46" s="184">
        <f t="shared" si="81"/>
        <v>14800000</v>
      </c>
      <c r="AI46" s="184">
        <f t="shared" si="81"/>
        <v>14800000</v>
      </c>
      <c r="AJ46" s="184">
        <f t="shared" si="81"/>
        <v>14800000</v>
      </c>
      <c r="AK46" s="184">
        <f t="shared" si="81"/>
        <v>14800000</v>
      </c>
      <c r="AL46" s="184">
        <f t="shared" si="81"/>
        <v>14800000</v>
      </c>
      <c r="AM46" s="184">
        <f t="shared" si="81"/>
        <v>14800000</v>
      </c>
      <c r="AN46" s="184">
        <f t="shared" si="81"/>
        <v>14800000</v>
      </c>
      <c r="AO46" s="184">
        <f t="shared" si="81"/>
        <v>14800000</v>
      </c>
      <c r="AP46" s="184">
        <f t="shared" si="81"/>
        <v>14800000</v>
      </c>
      <c r="AQ46" s="184">
        <f t="shared" si="81"/>
        <v>14800000</v>
      </c>
      <c r="AR46" s="184">
        <f t="shared" ref="AR46:BW46" si="82">AR43+AR44-AR45</f>
        <v>14800000</v>
      </c>
      <c r="AS46" s="184">
        <f t="shared" si="82"/>
        <v>14800000</v>
      </c>
      <c r="AT46" s="184">
        <f t="shared" si="82"/>
        <v>14800000</v>
      </c>
      <c r="AU46" s="184">
        <f t="shared" si="82"/>
        <v>14800000</v>
      </c>
      <c r="AV46" s="184">
        <f t="shared" si="82"/>
        <v>14800000</v>
      </c>
      <c r="AW46" s="184">
        <f t="shared" si="82"/>
        <v>14800000</v>
      </c>
      <c r="AX46" s="184">
        <f t="shared" si="82"/>
        <v>14800000</v>
      </c>
      <c r="AY46" s="184">
        <f t="shared" si="82"/>
        <v>14800000</v>
      </c>
      <c r="AZ46" s="184">
        <f t="shared" si="82"/>
        <v>14800000</v>
      </c>
      <c r="BA46" s="184">
        <f t="shared" si="82"/>
        <v>14800000</v>
      </c>
      <c r="BB46" s="184">
        <f t="shared" si="82"/>
        <v>14800000</v>
      </c>
      <c r="BC46" s="184">
        <f t="shared" si="82"/>
        <v>14800000</v>
      </c>
      <c r="BD46" s="184">
        <f t="shared" si="82"/>
        <v>14800000</v>
      </c>
      <c r="BE46" s="184">
        <f t="shared" si="82"/>
        <v>14800000</v>
      </c>
      <c r="BF46" s="184">
        <f t="shared" si="82"/>
        <v>14800000</v>
      </c>
      <c r="BG46" s="184">
        <f t="shared" si="82"/>
        <v>14800000</v>
      </c>
      <c r="BH46" s="184">
        <f t="shared" si="82"/>
        <v>14800000</v>
      </c>
      <c r="BI46" s="184">
        <f t="shared" si="82"/>
        <v>14800000</v>
      </c>
      <c r="BJ46" s="184">
        <f t="shared" si="82"/>
        <v>14800000</v>
      </c>
      <c r="BK46" s="184">
        <f t="shared" si="82"/>
        <v>14800000</v>
      </c>
      <c r="BL46" s="184">
        <f t="shared" si="82"/>
        <v>14800000</v>
      </c>
      <c r="BM46" s="184">
        <f t="shared" si="82"/>
        <v>14800000</v>
      </c>
      <c r="BN46" s="184">
        <f t="shared" si="82"/>
        <v>14800000</v>
      </c>
      <c r="BO46" s="184">
        <f t="shared" si="82"/>
        <v>14800000</v>
      </c>
      <c r="BP46" s="184">
        <f t="shared" si="82"/>
        <v>14800000</v>
      </c>
      <c r="BQ46" s="184">
        <f t="shared" si="82"/>
        <v>14800000</v>
      </c>
      <c r="BR46" s="184">
        <f t="shared" si="82"/>
        <v>14800000</v>
      </c>
      <c r="BS46" s="184">
        <f t="shared" si="82"/>
        <v>14800000</v>
      </c>
      <c r="BT46" s="184">
        <f t="shared" si="82"/>
        <v>14800000</v>
      </c>
      <c r="BU46" s="184">
        <f t="shared" si="82"/>
        <v>14800000</v>
      </c>
      <c r="BV46" s="184">
        <f t="shared" si="82"/>
        <v>14800000</v>
      </c>
      <c r="BW46" s="184">
        <f t="shared" si="82"/>
        <v>14800000</v>
      </c>
      <c r="BX46" s="184">
        <f t="shared" ref="BX46:DC46" si="83">BX43+BX44-BX45</f>
        <v>14800000</v>
      </c>
      <c r="BY46" s="184">
        <f t="shared" si="83"/>
        <v>14800000</v>
      </c>
      <c r="BZ46" s="184">
        <f t="shared" si="83"/>
        <v>14800000</v>
      </c>
      <c r="CA46" s="184">
        <f t="shared" si="83"/>
        <v>14800000</v>
      </c>
      <c r="CB46" s="184">
        <f t="shared" si="83"/>
        <v>14800000</v>
      </c>
      <c r="CC46" s="184">
        <f t="shared" si="83"/>
        <v>14800000</v>
      </c>
      <c r="CD46" s="184">
        <f t="shared" si="83"/>
        <v>14800000</v>
      </c>
      <c r="CE46" s="184">
        <f t="shared" si="83"/>
        <v>14800000</v>
      </c>
      <c r="CF46" s="184">
        <f t="shared" si="83"/>
        <v>14800000</v>
      </c>
      <c r="CG46" s="184">
        <f t="shared" si="83"/>
        <v>14800000</v>
      </c>
      <c r="CH46" s="184">
        <f t="shared" si="83"/>
        <v>14800000</v>
      </c>
      <c r="CI46" s="184">
        <f t="shared" si="83"/>
        <v>14800000</v>
      </c>
      <c r="CJ46" s="184">
        <f t="shared" si="83"/>
        <v>14800000</v>
      </c>
      <c r="CK46" s="184">
        <f t="shared" si="83"/>
        <v>14800000</v>
      </c>
      <c r="CL46" s="184">
        <f t="shared" si="83"/>
        <v>14800000</v>
      </c>
      <c r="CM46" s="184">
        <f t="shared" si="83"/>
        <v>14800000</v>
      </c>
      <c r="CN46" s="184">
        <f t="shared" si="83"/>
        <v>14800000</v>
      </c>
      <c r="CO46" s="184">
        <f t="shared" si="83"/>
        <v>14800000</v>
      </c>
      <c r="CP46" s="184">
        <f t="shared" si="83"/>
        <v>14800000</v>
      </c>
      <c r="CQ46" s="184">
        <f t="shared" si="83"/>
        <v>14800000</v>
      </c>
      <c r="CR46" s="184">
        <f t="shared" si="83"/>
        <v>14800000</v>
      </c>
      <c r="CS46" s="184">
        <f t="shared" si="83"/>
        <v>14800000</v>
      </c>
      <c r="CT46" s="184">
        <f t="shared" si="83"/>
        <v>14800000</v>
      </c>
      <c r="CU46" s="184">
        <f t="shared" si="83"/>
        <v>14800000</v>
      </c>
      <c r="CV46" s="184">
        <f t="shared" si="83"/>
        <v>14800000</v>
      </c>
      <c r="CW46" s="184">
        <f t="shared" si="83"/>
        <v>14800000</v>
      </c>
      <c r="CX46" s="184">
        <f t="shared" si="83"/>
        <v>14800000</v>
      </c>
      <c r="CY46" s="184">
        <f t="shared" si="83"/>
        <v>14800000</v>
      </c>
      <c r="CZ46" s="184">
        <f t="shared" si="83"/>
        <v>14800000</v>
      </c>
      <c r="DA46" s="184">
        <f t="shared" si="83"/>
        <v>14800000</v>
      </c>
      <c r="DB46" s="184">
        <f t="shared" si="83"/>
        <v>14800000</v>
      </c>
      <c r="DC46" s="184">
        <f t="shared" si="83"/>
        <v>14800000</v>
      </c>
      <c r="DD46" s="184">
        <f t="shared" ref="DD46:DS46" si="84">DD43+DD44-DD45</f>
        <v>14800000</v>
      </c>
      <c r="DE46" s="184">
        <f t="shared" si="84"/>
        <v>14800000</v>
      </c>
      <c r="DF46" s="184">
        <f t="shared" si="84"/>
        <v>14800000</v>
      </c>
      <c r="DG46" s="184">
        <f t="shared" si="84"/>
        <v>14800000</v>
      </c>
      <c r="DH46" s="184">
        <f t="shared" si="84"/>
        <v>14800000</v>
      </c>
      <c r="DI46" s="184">
        <f t="shared" si="84"/>
        <v>14800000</v>
      </c>
      <c r="DJ46" s="184">
        <f t="shared" si="84"/>
        <v>14800000</v>
      </c>
      <c r="DK46" s="184">
        <f t="shared" si="84"/>
        <v>14800000</v>
      </c>
      <c r="DL46" s="184">
        <f t="shared" si="84"/>
        <v>14800000</v>
      </c>
      <c r="DM46" s="184">
        <f t="shared" si="84"/>
        <v>14800000</v>
      </c>
      <c r="DN46" s="184">
        <f t="shared" si="84"/>
        <v>14800000</v>
      </c>
      <c r="DO46" s="184">
        <f t="shared" si="84"/>
        <v>14800000</v>
      </c>
      <c r="DP46" s="184">
        <f t="shared" si="84"/>
        <v>14800000</v>
      </c>
      <c r="DQ46" s="184">
        <f t="shared" si="84"/>
        <v>14800000</v>
      </c>
      <c r="DR46" s="184">
        <f t="shared" si="84"/>
        <v>14800000</v>
      </c>
      <c r="DS46" s="184">
        <f t="shared" si="84"/>
        <v>14800000</v>
      </c>
      <c r="DT46" s="184">
        <f t="shared" ref="DT46:EM46" si="85">DT43+DT44-DT45</f>
        <v>14800000</v>
      </c>
      <c r="DU46" s="184">
        <f t="shared" si="85"/>
        <v>14800000</v>
      </c>
      <c r="DV46" s="184">
        <f t="shared" si="85"/>
        <v>14800000</v>
      </c>
      <c r="DW46" s="184">
        <f t="shared" si="85"/>
        <v>14800000</v>
      </c>
      <c r="DX46" s="184">
        <f t="shared" si="85"/>
        <v>14800000</v>
      </c>
      <c r="DY46" s="184">
        <f t="shared" si="85"/>
        <v>14800000</v>
      </c>
      <c r="DZ46" s="184">
        <f t="shared" si="85"/>
        <v>14800000</v>
      </c>
      <c r="EA46" s="184">
        <f t="shared" si="85"/>
        <v>14800000</v>
      </c>
      <c r="EB46" s="184">
        <f t="shared" si="85"/>
        <v>0</v>
      </c>
      <c r="EC46" s="184">
        <f t="shared" si="85"/>
        <v>0</v>
      </c>
      <c r="ED46" s="184">
        <f t="shared" si="85"/>
        <v>0</v>
      </c>
      <c r="EE46" s="184">
        <f t="shared" si="85"/>
        <v>0</v>
      </c>
      <c r="EF46" s="184">
        <f t="shared" si="85"/>
        <v>0</v>
      </c>
      <c r="EG46" s="184">
        <f t="shared" si="85"/>
        <v>0</v>
      </c>
      <c r="EH46" s="184">
        <f t="shared" si="85"/>
        <v>0</v>
      </c>
      <c r="EI46" s="184">
        <f t="shared" si="85"/>
        <v>0</v>
      </c>
      <c r="EJ46" s="184">
        <f t="shared" si="85"/>
        <v>0</v>
      </c>
      <c r="EK46" s="184">
        <f t="shared" si="85"/>
        <v>0</v>
      </c>
      <c r="EL46" s="184">
        <f t="shared" si="85"/>
        <v>0</v>
      </c>
      <c r="EM46" s="184">
        <f t="shared" si="85"/>
        <v>0</v>
      </c>
      <c r="EN46" s="184">
        <f>EN43+EN44-EN45</f>
        <v>0</v>
      </c>
      <c r="EO46" s="184">
        <f>EO43+EO44-EO45</f>
        <v>0</v>
      </c>
      <c r="EP46" s="184">
        <f>EP43+EP44-EP45</f>
        <v>0</v>
      </c>
      <c r="EQ46" s="184">
        <f>EQ43+EQ44-EQ45</f>
        <v>0</v>
      </c>
    </row>
    <row r="47" spans="2:147" ht="11.25" customHeight="1">
      <c r="B47" s="218"/>
      <c r="C47" s="158" t="s">
        <v>652</v>
      </c>
      <c r="D47" s="159"/>
      <c r="E47" s="159"/>
      <c r="F47" s="159"/>
      <c r="G47" s="159"/>
      <c r="H47" s="160"/>
      <c r="I47" s="219"/>
      <c r="J47" s="220"/>
      <c r="K47" s="98"/>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row>
    <row r="48" spans="2:147" ht="11.25" customHeight="1">
      <c r="B48" s="218"/>
      <c r="C48" s="163"/>
      <c r="D48" s="164" t="s">
        <v>653</v>
      </c>
      <c r="E48" s="165"/>
      <c r="F48" s="165"/>
      <c r="G48" s="165"/>
      <c r="H48" s="166"/>
      <c r="I48" s="1154">
        <f ca="1">(IRR($L48:$EQ48,0.01)+1)^12-1</f>
        <v>6.0955130829373649E-2</v>
      </c>
      <c r="J48" s="168">
        <f ca="1">SUM(L48:EQ48)</f>
        <v>47630159.677073047</v>
      </c>
      <c r="K48" s="98"/>
      <c r="L48" s="168">
        <f ca="1">SUM(L15:L17)+SUM(L37:L39)+SUM(L26:L28)</f>
        <v>-14800000</v>
      </c>
      <c r="M48" s="168">
        <f t="shared" ref="M48:BX48" ca="1" si="86">SUM(M15:M17)+SUM(M37:M39)+SUM(M26:M28)</f>
        <v>0</v>
      </c>
      <c r="N48" s="168">
        <f t="shared" ca="1" si="86"/>
        <v>0</v>
      </c>
      <c r="O48" s="168">
        <f t="shared" ca="1" si="86"/>
        <v>0</v>
      </c>
      <c r="P48" s="168">
        <f t="shared" ca="1" si="86"/>
        <v>0</v>
      </c>
      <c r="Q48" s="168">
        <f t="shared" ca="1" si="86"/>
        <v>0</v>
      </c>
      <c r="R48" s="168">
        <f t="shared" ca="1" si="86"/>
        <v>555000</v>
      </c>
      <c r="S48" s="168">
        <f t="shared" ca="1" si="86"/>
        <v>0</v>
      </c>
      <c r="T48" s="168">
        <f t="shared" ca="1" si="86"/>
        <v>0</v>
      </c>
      <c r="U48" s="168">
        <f t="shared" ca="1" si="86"/>
        <v>0</v>
      </c>
      <c r="V48" s="168">
        <f t="shared" ca="1" si="86"/>
        <v>0</v>
      </c>
      <c r="W48" s="168">
        <f t="shared" ca="1" si="86"/>
        <v>0</v>
      </c>
      <c r="X48" s="168">
        <f t="shared" ca="1" si="86"/>
        <v>-49899607.721046075</v>
      </c>
      <c r="Y48" s="168">
        <f t="shared" ca="1" si="86"/>
        <v>0</v>
      </c>
      <c r="Z48" s="168">
        <f t="shared" ca="1" si="86"/>
        <v>0</v>
      </c>
      <c r="AA48" s="168">
        <f t="shared" ca="1" si="86"/>
        <v>0</v>
      </c>
      <c r="AB48" s="168">
        <f t="shared" ca="1" si="86"/>
        <v>0</v>
      </c>
      <c r="AC48" s="168">
        <f t="shared" ca="1" si="86"/>
        <v>0</v>
      </c>
      <c r="AD48" s="168">
        <f t="shared" ca="1" si="86"/>
        <v>1875000</v>
      </c>
      <c r="AE48" s="168">
        <f t="shared" ca="1" si="86"/>
        <v>0</v>
      </c>
      <c r="AF48" s="168">
        <f t="shared" ca="1" si="86"/>
        <v>0</v>
      </c>
      <c r="AG48" s="168">
        <f t="shared" ca="1" si="86"/>
        <v>0</v>
      </c>
      <c r="AH48" s="168">
        <f t="shared" ca="1" si="86"/>
        <v>0</v>
      </c>
      <c r="AI48" s="168">
        <f t="shared" ca="1" si="86"/>
        <v>0</v>
      </c>
      <c r="AJ48" s="168">
        <f t="shared" ca="1" si="86"/>
        <v>-22340232.601880878</v>
      </c>
      <c r="AK48" s="168">
        <f t="shared" ca="1" si="86"/>
        <v>0</v>
      </c>
      <c r="AL48" s="168">
        <f t="shared" ca="1" si="86"/>
        <v>0</v>
      </c>
      <c r="AM48" s="168">
        <f t="shared" ca="1" si="86"/>
        <v>0</v>
      </c>
      <c r="AN48" s="168">
        <f t="shared" ca="1" si="86"/>
        <v>0</v>
      </c>
      <c r="AO48" s="168">
        <f t="shared" ca="1" si="86"/>
        <v>0</v>
      </c>
      <c r="AP48" s="168">
        <f t="shared" ca="1" si="86"/>
        <v>2715000</v>
      </c>
      <c r="AQ48" s="168">
        <f t="shared" ca="1" si="86"/>
        <v>0</v>
      </c>
      <c r="AR48" s="168">
        <f t="shared" ca="1" si="86"/>
        <v>0</v>
      </c>
      <c r="AS48" s="168">
        <f t="shared" ca="1" si="86"/>
        <v>0</v>
      </c>
      <c r="AT48" s="168">
        <f t="shared" ca="1" si="86"/>
        <v>0</v>
      </c>
      <c r="AU48" s="168">
        <f t="shared" ca="1" si="86"/>
        <v>0</v>
      </c>
      <c r="AV48" s="168">
        <f t="shared" ca="1" si="86"/>
        <v>2715000</v>
      </c>
      <c r="AW48" s="168">
        <f t="shared" ca="1" si="86"/>
        <v>0</v>
      </c>
      <c r="AX48" s="168">
        <f t="shared" ca="1" si="86"/>
        <v>0</v>
      </c>
      <c r="AY48" s="168">
        <f t="shared" ca="1" si="86"/>
        <v>0</v>
      </c>
      <c r="AZ48" s="168">
        <f t="shared" ca="1" si="86"/>
        <v>0</v>
      </c>
      <c r="BA48" s="168">
        <f t="shared" ca="1" si="86"/>
        <v>0</v>
      </c>
      <c r="BB48" s="168">
        <f t="shared" ca="1" si="86"/>
        <v>2715000</v>
      </c>
      <c r="BC48" s="168">
        <f t="shared" ca="1" si="86"/>
        <v>0</v>
      </c>
      <c r="BD48" s="168">
        <f t="shared" ca="1" si="86"/>
        <v>0</v>
      </c>
      <c r="BE48" s="168">
        <f t="shared" ca="1" si="86"/>
        <v>0</v>
      </c>
      <c r="BF48" s="168">
        <f t="shared" ca="1" si="86"/>
        <v>0</v>
      </c>
      <c r="BG48" s="168">
        <f t="shared" ca="1" si="86"/>
        <v>0</v>
      </c>
      <c r="BH48" s="168">
        <f t="shared" ca="1" si="86"/>
        <v>2715000</v>
      </c>
      <c r="BI48" s="168">
        <f t="shared" ca="1" si="86"/>
        <v>0</v>
      </c>
      <c r="BJ48" s="168">
        <f t="shared" ca="1" si="86"/>
        <v>0</v>
      </c>
      <c r="BK48" s="168">
        <f t="shared" ca="1" si="86"/>
        <v>0</v>
      </c>
      <c r="BL48" s="168">
        <f t="shared" ca="1" si="86"/>
        <v>0</v>
      </c>
      <c r="BM48" s="168">
        <f t="shared" ca="1" si="86"/>
        <v>0</v>
      </c>
      <c r="BN48" s="168">
        <f t="shared" ca="1" si="86"/>
        <v>2696056.3038810929</v>
      </c>
      <c r="BO48" s="168">
        <f t="shared" ca="1" si="86"/>
        <v>0</v>
      </c>
      <c r="BP48" s="168">
        <f t="shared" ca="1" si="86"/>
        <v>0</v>
      </c>
      <c r="BQ48" s="168">
        <f t="shared" ca="1" si="86"/>
        <v>0</v>
      </c>
      <c r="BR48" s="168">
        <f t="shared" ca="1" si="86"/>
        <v>0</v>
      </c>
      <c r="BS48" s="168">
        <f t="shared" ca="1" si="86"/>
        <v>0</v>
      </c>
      <c r="BT48" s="168">
        <f t="shared" ca="1" si="86"/>
        <v>2601729.2937996686</v>
      </c>
      <c r="BU48" s="168">
        <f t="shared" ca="1" si="86"/>
        <v>0</v>
      </c>
      <c r="BV48" s="168">
        <f t="shared" ca="1" si="86"/>
        <v>0</v>
      </c>
      <c r="BW48" s="168">
        <f t="shared" ca="1" si="86"/>
        <v>0</v>
      </c>
      <c r="BX48" s="168">
        <f t="shared" ca="1" si="86"/>
        <v>0</v>
      </c>
      <c r="BY48" s="168">
        <f t="shared" ref="BY48:EJ48" ca="1" si="87">SUM(BY15:BY17)+SUM(BY37:BY39)+SUM(BY26:BY28)</f>
        <v>0</v>
      </c>
      <c r="BZ48" s="168">
        <f t="shared" ca="1" si="87"/>
        <v>2678082.375135636</v>
      </c>
      <c r="CA48" s="168">
        <f t="shared" ca="1" si="87"/>
        <v>0</v>
      </c>
      <c r="CB48" s="168">
        <f t="shared" ca="1" si="87"/>
        <v>0</v>
      </c>
      <c r="CC48" s="168">
        <f t="shared" ca="1" si="87"/>
        <v>0</v>
      </c>
      <c r="CD48" s="168">
        <f t="shared" ca="1" si="87"/>
        <v>0</v>
      </c>
      <c r="CE48" s="168">
        <f t="shared" ca="1" si="87"/>
        <v>0</v>
      </c>
      <c r="CF48" s="168">
        <f t="shared" ca="1" si="87"/>
        <v>2884132.0271836026</v>
      </c>
      <c r="CG48" s="168">
        <f t="shared" ca="1" si="87"/>
        <v>0</v>
      </c>
      <c r="CH48" s="168">
        <f t="shared" ca="1" si="87"/>
        <v>0</v>
      </c>
      <c r="CI48" s="168">
        <f t="shared" ca="1" si="87"/>
        <v>0</v>
      </c>
      <c r="CJ48" s="168">
        <f t="shared" ca="1" si="87"/>
        <v>0</v>
      </c>
      <c r="CK48" s="168">
        <f t="shared" ca="1" si="87"/>
        <v>0</v>
      </c>
      <c r="CL48" s="168">
        <f t="shared" ca="1" si="87"/>
        <v>2715000</v>
      </c>
      <c r="CM48" s="168">
        <f t="shared" ca="1" si="87"/>
        <v>0</v>
      </c>
      <c r="CN48" s="168">
        <f t="shared" ca="1" si="87"/>
        <v>0</v>
      </c>
      <c r="CO48" s="168">
        <f t="shared" ca="1" si="87"/>
        <v>0</v>
      </c>
      <c r="CP48" s="168">
        <f t="shared" ca="1" si="87"/>
        <v>0</v>
      </c>
      <c r="CQ48" s="168">
        <f t="shared" ca="1" si="87"/>
        <v>0</v>
      </c>
      <c r="CR48" s="168">
        <f t="shared" ca="1" si="87"/>
        <v>2715000</v>
      </c>
      <c r="CS48" s="168">
        <f t="shared" ca="1" si="87"/>
        <v>0</v>
      </c>
      <c r="CT48" s="168">
        <f t="shared" ca="1" si="87"/>
        <v>0</v>
      </c>
      <c r="CU48" s="168">
        <f t="shared" ca="1" si="87"/>
        <v>0</v>
      </c>
      <c r="CV48" s="168">
        <f t="shared" ca="1" si="87"/>
        <v>0</v>
      </c>
      <c r="CW48" s="168">
        <f t="shared" ca="1" si="87"/>
        <v>0</v>
      </c>
      <c r="CX48" s="168">
        <f t="shared" ca="1" si="87"/>
        <v>2715000</v>
      </c>
      <c r="CY48" s="168">
        <f t="shared" ca="1" si="87"/>
        <v>0</v>
      </c>
      <c r="CZ48" s="168">
        <f t="shared" ca="1" si="87"/>
        <v>0</v>
      </c>
      <c r="DA48" s="168">
        <f t="shared" ca="1" si="87"/>
        <v>0</v>
      </c>
      <c r="DB48" s="168">
        <f t="shared" ca="1" si="87"/>
        <v>0</v>
      </c>
      <c r="DC48" s="168">
        <f t="shared" ca="1" si="87"/>
        <v>0</v>
      </c>
      <c r="DD48" s="168">
        <f t="shared" ca="1" si="87"/>
        <v>2715000</v>
      </c>
      <c r="DE48" s="168">
        <f t="shared" ca="1" si="87"/>
        <v>0</v>
      </c>
      <c r="DF48" s="168">
        <f t="shared" ca="1" si="87"/>
        <v>0</v>
      </c>
      <c r="DG48" s="168">
        <f t="shared" ca="1" si="87"/>
        <v>0</v>
      </c>
      <c r="DH48" s="168">
        <f t="shared" ca="1" si="87"/>
        <v>0</v>
      </c>
      <c r="DI48" s="168">
        <f t="shared" ca="1" si="87"/>
        <v>0</v>
      </c>
      <c r="DJ48" s="168">
        <f t="shared" ca="1" si="87"/>
        <v>2715000</v>
      </c>
      <c r="DK48" s="168">
        <f t="shared" ca="1" si="87"/>
        <v>0</v>
      </c>
      <c r="DL48" s="168">
        <f t="shared" ca="1" si="87"/>
        <v>0</v>
      </c>
      <c r="DM48" s="168">
        <f t="shared" ca="1" si="87"/>
        <v>0</v>
      </c>
      <c r="DN48" s="168">
        <f t="shared" ca="1" si="87"/>
        <v>0</v>
      </c>
      <c r="DO48" s="168">
        <f t="shared" ca="1" si="87"/>
        <v>0</v>
      </c>
      <c r="DP48" s="168">
        <f t="shared" ca="1" si="87"/>
        <v>2715000</v>
      </c>
      <c r="DQ48" s="168">
        <f t="shared" ca="1" si="87"/>
        <v>0</v>
      </c>
      <c r="DR48" s="168">
        <f t="shared" ca="1" si="87"/>
        <v>0</v>
      </c>
      <c r="DS48" s="168">
        <f t="shared" ca="1" si="87"/>
        <v>0</v>
      </c>
      <c r="DT48" s="168">
        <f t="shared" ca="1" si="87"/>
        <v>0</v>
      </c>
      <c r="DU48" s="168">
        <f t="shared" ca="1" si="87"/>
        <v>0</v>
      </c>
      <c r="DV48" s="168">
        <f t="shared" ca="1" si="87"/>
        <v>2715000</v>
      </c>
      <c r="DW48" s="168">
        <f t="shared" ca="1" si="87"/>
        <v>0</v>
      </c>
      <c r="DX48" s="168">
        <f t="shared" ca="1" si="87"/>
        <v>0</v>
      </c>
      <c r="DY48" s="168">
        <f t="shared" ca="1" si="87"/>
        <v>0</v>
      </c>
      <c r="DZ48" s="168">
        <f t="shared" ca="1" si="87"/>
        <v>0</v>
      </c>
      <c r="EA48" s="168">
        <f t="shared" ca="1" si="87"/>
        <v>0</v>
      </c>
      <c r="EB48" s="168">
        <f t="shared" ca="1" si="87"/>
        <v>91515000</v>
      </c>
      <c r="EC48" s="168">
        <f t="shared" ca="1" si="87"/>
        <v>0</v>
      </c>
      <c r="ED48" s="168">
        <f t="shared" ca="1" si="87"/>
        <v>0</v>
      </c>
      <c r="EE48" s="168">
        <f t="shared" ca="1" si="87"/>
        <v>0</v>
      </c>
      <c r="EF48" s="168">
        <f t="shared" ca="1" si="87"/>
        <v>0</v>
      </c>
      <c r="EG48" s="168">
        <f t="shared" ca="1" si="87"/>
        <v>0</v>
      </c>
      <c r="EH48" s="168">
        <f t="shared" ca="1" si="87"/>
        <v>0</v>
      </c>
      <c r="EI48" s="168">
        <f t="shared" ca="1" si="87"/>
        <v>0</v>
      </c>
      <c r="EJ48" s="168">
        <f t="shared" ca="1" si="87"/>
        <v>0</v>
      </c>
      <c r="EK48" s="168">
        <f t="shared" ref="EK48:EQ48" ca="1" si="88">SUM(EK15:EK17)+SUM(EK37:EK39)+SUM(EK26:EK28)</f>
        <v>0</v>
      </c>
      <c r="EL48" s="168">
        <f t="shared" ca="1" si="88"/>
        <v>0</v>
      </c>
      <c r="EM48" s="168">
        <f t="shared" ca="1" si="88"/>
        <v>0</v>
      </c>
      <c r="EN48" s="168">
        <f t="shared" ca="1" si="88"/>
        <v>0</v>
      </c>
      <c r="EO48" s="168">
        <f t="shared" ca="1" si="88"/>
        <v>0</v>
      </c>
      <c r="EP48" s="168">
        <f t="shared" ca="1" si="88"/>
        <v>0</v>
      </c>
      <c r="EQ48" s="168">
        <f t="shared" ca="1" si="88"/>
        <v>0</v>
      </c>
    </row>
    <row r="49" spans="2:147" ht="11.25" customHeight="1">
      <c r="B49" s="218"/>
      <c r="C49" s="163"/>
      <c r="D49" s="169" t="s">
        <v>654</v>
      </c>
      <c r="H49" s="146"/>
      <c r="I49" s="1022">
        <f ca="1">(IRR($L49:$EQ49,0.01)+1)^12-1</f>
        <v>0.10979473504796933</v>
      </c>
      <c r="J49" s="171">
        <f ca="1">SUM(L49:EQ49)</f>
        <v>107535854.12858705</v>
      </c>
      <c r="K49" s="98"/>
      <c r="L49" s="171">
        <f ca="1">SUM(L15:L18)+SUM(L37:L40)+SUM(L26:L29)</f>
        <v>-14800000</v>
      </c>
      <c r="M49" s="171">
        <f t="shared" ref="M49:BX49" ca="1" si="89">SUM(M15:M18)+SUM(M37:M40)+SUM(M26:M29)</f>
        <v>0</v>
      </c>
      <c r="N49" s="171">
        <f t="shared" ca="1" si="89"/>
        <v>0</v>
      </c>
      <c r="O49" s="171">
        <f t="shared" ca="1" si="89"/>
        <v>0</v>
      </c>
      <c r="P49" s="171">
        <f t="shared" ca="1" si="89"/>
        <v>0</v>
      </c>
      <c r="Q49" s="171">
        <f t="shared" ca="1" si="89"/>
        <v>0</v>
      </c>
      <c r="R49" s="171">
        <f t="shared" ca="1" si="89"/>
        <v>555000</v>
      </c>
      <c r="S49" s="171">
        <f t="shared" ca="1" si="89"/>
        <v>0</v>
      </c>
      <c r="T49" s="171">
        <f t="shared" ca="1" si="89"/>
        <v>0</v>
      </c>
      <c r="U49" s="171">
        <f t="shared" ca="1" si="89"/>
        <v>0</v>
      </c>
      <c r="V49" s="171">
        <f t="shared" ca="1" si="89"/>
        <v>0</v>
      </c>
      <c r="W49" s="171">
        <f t="shared" ca="1" si="89"/>
        <v>0</v>
      </c>
      <c r="X49" s="171">
        <f t="shared" ca="1" si="89"/>
        <v>-49899607.721046075</v>
      </c>
      <c r="Y49" s="171">
        <f t="shared" ca="1" si="89"/>
        <v>0</v>
      </c>
      <c r="Z49" s="171">
        <f t="shared" ca="1" si="89"/>
        <v>0</v>
      </c>
      <c r="AA49" s="171">
        <f t="shared" ca="1" si="89"/>
        <v>0</v>
      </c>
      <c r="AB49" s="171">
        <f t="shared" ca="1" si="89"/>
        <v>0</v>
      </c>
      <c r="AC49" s="171">
        <f t="shared" ca="1" si="89"/>
        <v>0</v>
      </c>
      <c r="AD49" s="171">
        <f t="shared" ca="1" si="89"/>
        <v>1875000</v>
      </c>
      <c r="AE49" s="171">
        <f t="shared" ca="1" si="89"/>
        <v>0</v>
      </c>
      <c r="AF49" s="171">
        <f t="shared" ca="1" si="89"/>
        <v>0</v>
      </c>
      <c r="AG49" s="171">
        <f t="shared" ca="1" si="89"/>
        <v>0</v>
      </c>
      <c r="AH49" s="171">
        <f t="shared" ca="1" si="89"/>
        <v>0</v>
      </c>
      <c r="AI49" s="171">
        <f t="shared" ca="1" si="89"/>
        <v>0</v>
      </c>
      <c r="AJ49" s="171">
        <f t="shared" ca="1" si="89"/>
        <v>-22340232.601880878</v>
      </c>
      <c r="AK49" s="171">
        <f t="shared" ca="1" si="89"/>
        <v>0</v>
      </c>
      <c r="AL49" s="171">
        <f t="shared" ca="1" si="89"/>
        <v>0</v>
      </c>
      <c r="AM49" s="171">
        <f t="shared" ca="1" si="89"/>
        <v>0</v>
      </c>
      <c r="AN49" s="171">
        <f t="shared" ca="1" si="89"/>
        <v>0</v>
      </c>
      <c r="AO49" s="171">
        <f t="shared" ca="1" si="89"/>
        <v>0</v>
      </c>
      <c r="AP49" s="171">
        <f t="shared" ca="1" si="89"/>
        <v>2715000</v>
      </c>
      <c r="AQ49" s="171">
        <f t="shared" ca="1" si="89"/>
        <v>0</v>
      </c>
      <c r="AR49" s="171">
        <f t="shared" ca="1" si="89"/>
        <v>0</v>
      </c>
      <c r="AS49" s="171">
        <f t="shared" ca="1" si="89"/>
        <v>0</v>
      </c>
      <c r="AT49" s="171">
        <f t="shared" ca="1" si="89"/>
        <v>0</v>
      </c>
      <c r="AU49" s="171">
        <f t="shared" ca="1" si="89"/>
        <v>0</v>
      </c>
      <c r="AV49" s="171">
        <f t="shared" ca="1" si="89"/>
        <v>2715000</v>
      </c>
      <c r="AW49" s="171">
        <f t="shared" ca="1" si="89"/>
        <v>0</v>
      </c>
      <c r="AX49" s="171">
        <f t="shared" ca="1" si="89"/>
        <v>0</v>
      </c>
      <c r="AY49" s="171">
        <f t="shared" ca="1" si="89"/>
        <v>0</v>
      </c>
      <c r="AZ49" s="171">
        <f t="shared" ca="1" si="89"/>
        <v>0</v>
      </c>
      <c r="BA49" s="171">
        <f t="shared" ca="1" si="89"/>
        <v>0</v>
      </c>
      <c r="BB49" s="171">
        <f t="shared" ca="1" si="89"/>
        <v>2715000</v>
      </c>
      <c r="BC49" s="171">
        <f t="shared" ca="1" si="89"/>
        <v>0</v>
      </c>
      <c r="BD49" s="171">
        <f t="shared" ca="1" si="89"/>
        <v>0</v>
      </c>
      <c r="BE49" s="171">
        <f t="shared" ca="1" si="89"/>
        <v>0</v>
      </c>
      <c r="BF49" s="171">
        <f t="shared" ca="1" si="89"/>
        <v>0</v>
      </c>
      <c r="BG49" s="171">
        <f t="shared" ca="1" si="89"/>
        <v>0</v>
      </c>
      <c r="BH49" s="171">
        <f t="shared" ca="1" si="89"/>
        <v>2715000</v>
      </c>
      <c r="BI49" s="171">
        <f t="shared" ca="1" si="89"/>
        <v>0</v>
      </c>
      <c r="BJ49" s="171">
        <f t="shared" ca="1" si="89"/>
        <v>0</v>
      </c>
      <c r="BK49" s="171">
        <f t="shared" ca="1" si="89"/>
        <v>0</v>
      </c>
      <c r="BL49" s="171">
        <f t="shared" ca="1" si="89"/>
        <v>0</v>
      </c>
      <c r="BM49" s="171">
        <f t="shared" ca="1" si="89"/>
        <v>0</v>
      </c>
      <c r="BN49" s="171">
        <f t="shared" ca="1" si="89"/>
        <v>2696056.3038810929</v>
      </c>
      <c r="BO49" s="171">
        <f t="shared" ca="1" si="89"/>
        <v>0</v>
      </c>
      <c r="BP49" s="171">
        <f t="shared" ca="1" si="89"/>
        <v>0</v>
      </c>
      <c r="BQ49" s="171">
        <f t="shared" ca="1" si="89"/>
        <v>0</v>
      </c>
      <c r="BR49" s="171">
        <f t="shared" ca="1" si="89"/>
        <v>0</v>
      </c>
      <c r="BS49" s="171">
        <f t="shared" ca="1" si="89"/>
        <v>0</v>
      </c>
      <c r="BT49" s="171">
        <f t="shared" ca="1" si="89"/>
        <v>2601729.2937996686</v>
      </c>
      <c r="BU49" s="171">
        <f t="shared" ca="1" si="89"/>
        <v>0</v>
      </c>
      <c r="BV49" s="171">
        <f t="shared" ca="1" si="89"/>
        <v>0</v>
      </c>
      <c r="BW49" s="171">
        <f t="shared" ca="1" si="89"/>
        <v>0</v>
      </c>
      <c r="BX49" s="171">
        <f t="shared" ca="1" si="89"/>
        <v>0</v>
      </c>
      <c r="BY49" s="171">
        <f t="shared" ref="BY49:EJ49" ca="1" si="90">SUM(BY15:BY18)+SUM(BY37:BY40)+SUM(BY26:BY29)</f>
        <v>0</v>
      </c>
      <c r="BZ49" s="171">
        <f t="shared" ca="1" si="90"/>
        <v>2678082.375135636</v>
      </c>
      <c r="CA49" s="171">
        <f t="shared" ca="1" si="90"/>
        <v>0</v>
      </c>
      <c r="CB49" s="171">
        <f t="shared" ca="1" si="90"/>
        <v>0</v>
      </c>
      <c r="CC49" s="171">
        <f t="shared" ca="1" si="90"/>
        <v>0</v>
      </c>
      <c r="CD49" s="171">
        <f t="shared" ca="1" si="90"/>
        <v>0</v>
      </c>
      <c r="CE49" s="171">
        <f t="shared" ca="1" si="90"/>
        <v>0</v>
      </c>
      <c r="CF49" s="171">
        <f t="shared" ca="1" si="90"/>
        <v>2884132.0271836026</v>
      </c>
      <c r="CG49" s="171">
        <f t="shared" ca="1" si="90"/>
        <v>0</v>
      </c>
      <c r="CH49" s="171">
        <f t="shared" ca="1" si="90"/>
        <v>0</v>
      </c>
      <c r="CI49" s="171">
        <f t="shared" ca="1" si="90"/>
        <v>0</v>
      </c>
      <c r="CJ49" s="171">
        <f t="shared" ca="1" si="90"/>
        <v>0</v>
      </c>
      <c r="CK49" s="171">
        <f t="shared" ca="1" si="90"/>
        <v>0</v>
      </c>
      <c r="CL49" s="171">
        <f t="shared" ca="1" si="90"/>
        <v>2715000</v>
      </c>
      <c r="CM49" s="171">
        <f t="shared" ca="1" si="90"/>
        <v>0</v>
      </c>
      <c r="CN49" s="171">
        <f t="shared" ca="1" si="90"/>
        <v>0</v>
      </c>
      <c r="CO49" s="171">
        <f t="shared" ca="1" si="90"/>
        <v>0</v>
      </c>
      <c r="CP49" s="171">
        <f t="shared" ca="1" si="90"/>
        <v>0</v>
      </c>
      <c r="CQ49" s="171">
        <f t="shared" ca="1" si="90"/>
        <v>0</v>
      </c>
      <c r="CR49" s="171">
        <f t="shared" ca="1" si="90"/>
        <v>2715000</v>
      </c>
      <c r="CS49" s="171">
        <f t="shared" ca="1" si="90"/>
        <v>0</v>
      </c>
      <c r="CT49" s="171">
        <f t="shared" ca="1" si="90"/>
        <v>0</v>
      </c>
      <c r="CU49" s="171">
        <f t="shared" ca="1" si="90"/>
        <v>0</v>
      </c>
      <c r="CV49" s="171">
        <f t="shared" ca="1" si="90"/>
        <v>0</v>
      </c>
      <c r="CW49" s="171">
        <f t="shared" ca="1" si="90"/>
        <v>0</v>
      </c>
      <c r="CX49" s="171">
        <f t="shared" ca="1" si="90"/>
        <v>2715000</v>
      </c>
      <c r="CY49" s="171">
        <f t="shared" ca="1" si="90"/>
        <v>0</v>
      </c>
      <c r="CZ49" s="171">
        <f t="shared" ca="1" si="90"/>
        <v>0</v>
      </c>
      <c r="DA49" s="171">
        <f t="shared" ca="1" si="90"/>
        <v>0</v>
      </c>
      <c r="DB49" s="171">
        <f t="shared" ca="1" si="90"/>
        <v>0</v>
      </c>
      <c r="DC49" s="171">
        <f t="shared" ca="1" si="90"/>
        <v>0</v>
      </c>
      <c r="DD49" s="171">
        <f t="shared" ca="1" si="90"/>
        <v>2715000</v>
      </c>
      <c r="DE49" s="171">
        <f t="shared" ca="1" si="90"/>
        <v>0</v>
      </c>
      <c r="DF49" s="171">
        <f t="shared" ca="1" si="90"/>
        <v>0</v>
      </c>
      <c r="DG49" s="171">
        <f t="shared" ca="1" si="90"/>
        <v>0</v>
      </c>
      <c r="DH49" s="171">
        <f t="shared" ca="1" si="90"/>
        <v>0</v>
      </c>
      <c r="DI49" s="171">
        <f t="shared" ca="1" si="90"/>
        <v>0</v>
      </c>
      <c r="DJ49" s="171">
        <f t="shared" ca="1" si="90"/>
        <v>2715000</v>
      </c>
      <c r="DK49" s="171">
        <f t="shared" ca="1" si="90"/>
        <v>0</v>
      </c>
      <c r="DL49" s="171">
        <f t="shared" ca="1" si="90"/>
        <v>0</v>
      </c>
      <c r="DM49" s="171">
        <f t="shared" ca="1" si="90"/>
        <v>0</v>
      </c>
      <c r="DN49" s="171">
        <f t="shared" ca="1" si="90"/>
        <v>0</v>
      </c>
      <c r="DO49" s="171">
        <f t="shared" ca="1" si="90"/>
        <v>0</v>
      </c>
      <c r="DP49" s="171">
        <f t="shared" ca="1" si="90"/>
        <v>2715000</v>
      </c>
      <c r="DQ49" s="171">
        <f t="shared" ca="1" si="90"/>
        <v>0</v>
      </c>
      <c r="DR49" s="171">
        <f t="shared" ca="1" si="90"/>
        <v>0</v>
      </c>
      <c r="DS49" s="171">
        <f t="shared" ca="1" si="90"/>
        <v>0</v>
      </c>
      <c r="DT49" s="171">
        <f t="shared" ca="1" si="90"/>
        <v>0</v>
      </c>
      <c r="DU49" s="171">
        <f t="shared" ca="1" si="90"/>
        <v>0</v>
      </c>
      <c r="DV49" s="171">
        <f t="shared" ca="1" si="90"/>
        <v>2715000</v>
      </c>
      <c r="DW49" s="171">
        <f t="shared" ca="1" si="90"/>
        <v>0</v>
      </c>
      <c r="DX49" s="171">
        <f t="shared" ca="1" si="90"/>
        <v>0</v>
      </c>
      <c r="DY49" s="171">
        <f t="shared" ca="1" si="90"/>
        <v>0</v>
      </c>
      <c r="DZ49" s="171">
        <f t="shared" ca="1" si="90"/>
        <v>0</v>
      </c>
      <c r="EA49" s="171">
        <f t="shared" ca="1" si="90"/>
        <v>0</v>
      </c>
      <c r="EB49" s="171">
        <f t="shared" ca="1" si="90"/>
        <v>151420694.45151401</v>
      </c>
      <c r="EC49" s="171">
        <f t="shared" ca="1" si="90"/>
        <v>0</v>
      </c>
      <c r="ED49" s="171">
        <f t="shared" ca="1" si="90"/>
        <v>0</v>
      </c>
      <c r="EE49" s="171">
        <f t="shared" ca="1" si="90"/>
        <v>0</v>
      </c>
      <c r="EF49" s="171">
        <f t="shared" ca="1" si="90"/>
        <v>0</v>
      </c>
      <c r="EG49" s="171">
        <f t="shared" ca="1" si="90"/>
        <v>0</v>
      </c>
      <c r="EH49" s="171">
        <f t="shared" ca="1" si="90"/>
        <v>0</v>
      </c>
      <c r="EI49" s="171">
        <f t="shared" ca="1" si="90"/>
        <v>0</v>
      </c>
      <c r="EJ49" s="171">
        <f t="shared" ca="1" si="90"/>
        <v>0</v>
      </c>
      <c r="EK49" s="171">
        <f t="shared" ref="EK49:EQ49" ca="1" si="91">SUM(EK15:EK18)+SUM(EK37:EK40)+SUM(EK26:EK29)</f>
        <v>0</v>
      </c>
      <c r="EL49" s="171">
        <f t="shared" ca="1" si="91"/>
        <v>0</v>
      </c>
      <c r="EM49" s="171">
        <f t="shared" ca="1" si="91"/>
        <v>0</v>
      </c>
      <c r="EN49" s="171">
        <f t="shared" ca="1" si="91"/>
        <v>0</v>
      </c>
      <c r="EO49" s="171">
        <f t="shared" ca="1" si="91"/>
        <v>0</v>
      </c>
      <c r="EP49" s="171">
        <f t="shared" ca="1" si="91"/>
        <v>0</v>
      </c>
      <c r="EQ49" s="171">
        <f t="shared" ca="1" si="91"/>
        <v>0</v>
      </c>
    </row>
    <row r="50" spans="2:147" ht="11.25" customHeight="1">
      <c r="B50" s="218"/>
      <c r="C50" s="158" t="s">
        <v>606</v>
      </c>
      <c r="D50" s="159"/>
      <c r="E50" s="159"/>
      <c r="F50" s="159"/>
      <c r="G50" s="159"/>
      <c r="H50" s="160"/>
      <c r="I50" s="219"/>
      <c r="J50" s="220"/>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62"/>
      <c r="EE50" s="162"/>
      <c r="EF50" s="162"/>
      <c r="EG50" s="162"/>
      <c r="EH50" s="162"/>
      <c r="EI50" s="162"/>
      <c r="EJ50" s="162"/>
      <c r="EK50" s="162"/>
      <c r="EL50" s="162"/>
      <c r="EM50" s="162"/>
      <c r="EN50" s="162"/>
      <c r="EO50" s="162"/>
      <c r="EP50" s="162"/>
      <c r="EQ50" s="162"/>
    </row>
    <row r="51" spans="2:147" ht="11.25" customHeight="1">
      <c r="B51" s="218"/>
      <c r="C51" s="163"/>
      <c r="D51" s="164" t="s">
        <v>597</v>
      </c>
      <c r="E51" s="165"/>
      <c r="F51" s="165"/>
      <c r="G51" s="165"/>
      <c r="H51" s="166"/>
      <c r="I51" s="228"/>
      <c r="J51" s="168">
        <f t="shared" ref="J51:J57" si="92">SUM(L51:EQ51)</f>
        <v>0</v>
      </c>
      <c r="K51" s="98"/>
      <c r="L51" s="168">
        <f>-SUM('CF(M)'!L90)</f>
        <v>0</v>
      </c>
      <c r="M51" s="168">
        <f>-SUM('CF(M)'!M90)</f>
        <v>0</v>
      </c>
      <c r="N51" s="168">
        <f>-SUM('CF(M)'!N90)</f>
        <v>0</v>
      </c>
      <c r="O51" s="168">
        <f>-SUM('CF(M)'!O90)</f>
        <v>0</v>
      </c>
      <c r="P51" s="168">
        <f>-SUM('CF(M)'!P90)</f>
        <v>0</v>
      </c>
      <c r="Q51" s="168">
        <f>-SUM('CF(M)'!Q90)</f>
        <v>0</v>
      </c>
      <c r="R51" s="168">
        <f>-SUM('CF(M)'!R90)</f>
        <v>0</v>
      </c>
      <c r="S51" s="168">
        <f>-SUM('CF(M)'!S90)</f>
        <v>0</v>
      </c>
      <c r="T51" s="168">
        <f>-SUM('CF(M)'!T90)</f>
        <v>0</v>
      </c>
      <c r="U51" s="168">
        <f>-SUM('CF(M)'!U90)</f>
        <v>0</v>
      </c>
      <c r="V51" s="168">
        <f>-SUM('CF(M)'!V90)</f>
        <v>0</v>
      </c>
      <c r="W51" s="168">
        <f>-SUM('CF(M)'!W90)</f>
        <v>0</v>
      </c>
      <c r="X51" s="168">
        <f>-SUM('CF(M)'!X90)</f>
        <v>0</v>
      </c>
      <c r="Y51" s="168">
        <f>-SUM('CF(M)'!Y90)</f>
        <v>0</v>
      </c>
      <c r="Z51" s="168">
        <f>-SUM('CF(M)'!Z90)</f>
        <v>0</v>
      </c>
      <c r="AA51" s="168">
        <f>-SUM('CF(M)'!AA90)</f>
        <v>0</v>
      </c>
      <c r="AB51" s="168">
        <f>-SUM('CF(M)'!AB90)</f>
        <v>0</v>
      </c>
      <c r="AC51" s="168">
        <f>-SUM('CF(M)'!AC90)</f>
        <v>0</v>
      </c>
      <c r="AD51" s="168">
        <f>-SUM('CF(M)'!AD90)</f>
        <v>0</v>
      </c>
      <c r="AE51" s="168">
        <f>-SUM('CF(M)'!AE90)</f>
        <v>0</v>
      </c>
      <c r="AF51" s="168">
        <f>-SUM('CF(M)'!AF90)</f>
        <v>0</v>
      </c>
      <c r="AG51" s="168">
        <f>-SUM('CF(M)'!AG90)</f>
        <v>0</v>
      </c>
      <c r="AH51" s="168">
        <f>-SUM('CF(M)'!AH90)</f>
        <v>0</v>
      </c>
      <c r="AI51" s="168">
        <f>-SUM('CF(M)'!AI90)</f>
        <v>0</v>
      </c>
      <c r="AJ51" s="168">
        <f>-SUM('CF(M)'!AJ90)</f>
        <v>0</v>
      </c>
      <c r="AK51" s="168">
        <f>-SUM('CF(M)'!AK90)</f>
        <v>0</v>
      </c>
      <c r="AL51" s="168">
        <f>-SUM('CF(M)'!AL90)</f>
        <v>0</v>
      </c>
      <c r="AM51" s="168">
        <f>-SUM('CF(M)'!AM90)</f>
        <v>0</v>
      </c>
      <c r="AN51" s="168">
        <f>-SUM('CF(M)'!AN90)</f>
        <v>0</v>
      </c>
      <c r="AO51" s="168">
        <f>-SUM('CF(M)'!AO90)</f>
        <v>0</v>
      </c>
      <c r="AP51" s="168">
        <f>-SUM('CF(M)'!AP90)</f>
        <v>0</v>
      </c>
      <c r="AQ51" s="168">
        <f>-SUM('CF(M)'!AQ90)</f>
        <v>0</v>
      </c>
      <c r="AR51" s="168">
        <f>-SUM('CF(M)'!AR90)</f>
        <v>0</v>
      </c>
      <c r="AS51" s="168">
        <f>-SUM('CF(M)'!AS90)</f>
        <v>0</v>
      </c>
      <c r="AT51" s="168">
        <f>-SUM('CF(M)'!AT90)</f>
        <v>0</v>
      </c>
      <c r="AU51" s="168">
        <f>-SUM('CF(M)'!AU90)</f>
        <v>0</v>
      </c>
      <c r="AV51" s="168">
        <f>-SUM('CF(M)'!AV90)</f>
        <v>0</v>
      </c>
      <c r="AW51" s="168">
        <f>-SUM('CF(M)'!AW90)</f>
        <v>0</v>
      </c>
      <c r="AX51" s="168">
        <f>-SUM('CF(M)'!AX90)</f>
        <v>0</v>
      </c>
      <c r="AY51" s="168">
        <f>-SUM('CF(M)'!AY90)</f>
        <v>0</v>
      </c>
      <c r="AZ51" s="168">
        <f>-SUM('CF(M)'!AZ90)</f>
        <v>0</v>
      </c>
      <c r="BA51" s="168">
        <f>-SUM('CF(M)'!BA90)</f>
        <v>0</v>
      </c>
      <c r="BB51" s="168">
        <f>-SUM('CF(M)'!BB90)</f>
        <v>0</v>
      </c>
      <c r="BC51" s="168">
        <f>-SUM('CF(M)'!BC90)</f>
        <v>0</v>
      </c>
      <c r="BD51" s="168">
        <f>-SUM('CF(M)'!BD90)</f>
        <v>0</v>
      </c>
      <c r="BE51" s="168">
        <f>-SUM('CF(M)'!BE90)</f>
        <v>0</v>
      </c>
      <c r="BF51" s="168">
        <f>-SUM('CF(M)'!BF90)</f>
        <v>0</v>
      </c>
      <c r="BG51" s="168">
        <f>-SUM('CF(M)'!BG90)</f>
        <v>0</v>
      </c>
      <c r="BH51" s="168">
        <f>-SUM('CF(M)'!BH90)</f>
        <v>0</v>
      </c>
      <c r="BI51" s="168">
        <f>-SUM('CF(M)'!BI90)</f>
        <v>0</v>
      </c>
      <c r="BJ51" s="168">
        <f>-SUM('CF(M)'!BJ90)</f>
        <v>0</v>
      </c>
      <c r="BK51" s="168">
        <f>-SUM('CF(M)'!BK90)</f>
        <v>0</v>
      </c>
      <c r="BL51" s="168">
        <f>-SUM('CF(M)'!BL90)</f>
        <v>0</v>
      </c>
      <c r="BM51" s="168">
        <f>-SUM('CF(M)'!BM90)</f>
        <v>0</v>
      </c>
      <c r="BN51" s="168">
        <f>-SUM('CF(M)'!BN90)</f>
        <v>0</v>
      </c>
      <c r="BO51" s="168">
        <f>-SUM('CF(M)'!BO90)</f>
        <v>0</v>
      </c>
      <c r="BP51" s="168">
        <f>-SUM('CF(M)'!BP90)</f>
        <v>0</v>
      </c>
      <c r="BQ51" s="168">
        <f>-SUM('CF(M)'!BQ90)</f>
        <v>0</v>
      </c>
      <c r="BR51" s="168">
        <f>-SUM('CF(M)'!BR90)</f>
        <v>0</v>
      </c>
      <c r="BS51" s="168">
        <f>-SUM('CF(M)'!BS90)</f>
        <v>0</v>
      </c>
      <c r="BT51" s="168">
        <f>-SUM('CF(M)'!BT90)</f>
        <v>0</v>
      </c>
      <c r="BU51" s="168">
        <f>-SUM('CF(M)'!BU90)</f>
        <v>0</v>
      </c>
      <c r="BV51" s="168">
        <f>-SUM('CF(M)'!BV90)</f>
        <v>0</v>
      </c>
      <c r="BW51" s="168">
        <f>-SUM('CF(M)'!BW90)</f>
        <v>0</v>
      </c>
      <c r="BX51" s="168">
        <f>-SUM('CF(M)'!BX90)</f>
        <v>0</v>
      </c>
      <c r="BY51" s="168">
        <f>-SUM('CF(M)'!BY90)</f>
        <v>0</v>
      </c>
      <c r="BZ51" s="168">
        <f>-SUM('CF(M)'!BZ90)</f>
        <v>0</v>
      </c>
      <c r="CA51" s="168">
        <f>-SUM('CF(M)'!CA90)</f>
        <v>0</v>
      </c>
      <c r="CB51" s="168">
        <f>-SUM('CF(M)'!CB90)</f>
        <v>0</v>
      </c>
      <c r="CC51" s="168">
        <f>-SUM('CF(M)'!CC90)</f>
        <v>0</v>
      </c>
      <c r="CD51" s="168">
        <f>-SUM('CF(M)'!CD90)</f>
        <v>0</v>
      </c>
      <c r="CE51" s="168">
        <f>-SUM('CF(M)'!CE90)</f>
        <v>0</v>
      </c>
      <c r="CF51" s="168">
        <f>-SUM('CF(M)'!CF90)</f>
        <v>0</v>
      </c>
      <c r="CG51" s="168">
        <f>-SUM('CF(M)'!CG90)</f>
        <v>0</v>
      </c>
      <c r="CH51" s="168">
        <f>-SUM('CF(M)'!CH90)</f>
        <v>0</v>
      </c>
      <c r="CI51" s="168">
        <f>-SUM('CF(M)'!CI90)</f>
        <v>0</v>
      </c>
      <c r="CJ51" s="168">
        <f>-SUM('CF(M)'!CJ90)</f>
        <v>0</v>
      </c>
      <c r="CK51" s="168">
        <f>-SUM('CF(M)'!CK90)</f>
        <v>0</v>
      </c>
      <c r="CL51" s="168">
        <f>-SUM('CF(M)'!CL90)</f>
        <v>0</v>
      </c>
      <c r="CM51" s="168">
        <f>-SUM('CF(M)'!CM90)</f>
        <v>0</v>
      </c>
      <c r="CN51" s="168">
        <f>-SUM('CF(M)'!CN90)</f>
        <v>0</v>
      </c>
      <c r="CO51" s="168">
        <f>-SUM('CF(M)'!CO90)</f>
        <v>0</v>
      </c>
      <c r="CP51" s="168">
        <f>-SUM('CF(M)'!CP90)</f>
        <v>0</v>
      </c>
      <c r="CQ51" s="168">
        <f>-SUM('CF(M)'!CQ90)</f>
        <v>0</v>
      </c>
      <c r="CR51" s="168">
        <f>-SUM('CF(M)'!CR90)</f>
        <v>0</v>
      </c>
      <c r="CS51" s="168">
        <f>-SUM('CF(M)'!CS90)</f>
        <v>0</v>
      </c>
      <c r="CT51" s="168">
        <f>-SUM('CF(M)'!CT90)</f>
        <v>0</v>
      </c>
      <c r="CU51" s="168">
        <f>-SUM('CF(M)'!CU90)</f>
        <v>0</v>
      </c>
      <c r="CV51" s="168">
        <f>-SUM('CF(M)'!CV90)</f>
        <v>0</v>
      </c>
      <c r="CW51" s="168">
        <f>-SUM('CF(M)'!CW90)</f>
        <v>0</v>
      </c>
      <c r="CX51" s="168">
        <f>-SUM('CF(M)'!CX90)</f>
        <v>0</v>
      </c>
      <c r="CY51" s="168">
        <f>-SUM('CF(M)'!CY90)</f>
        <v>0</v>
      </c>
      <c r="CZ51" s="168">
        <f>-SUM('CF(M)'!CZ90)</f>
        <v>0</v>
      </c>
      <c r="DA51" s="168">
        <f>-SUM('CF(M)'!DA90)</f>
        <v>0</v>
      </c>
      <c r="DB51" s="168">
        <f>-SUM('CF(M)'!DB90)</f>
        <v>0</v>
      </c>
      <c r="DC51" s="168">
        <f>-SUM('CF(M)'!DC90)</f>
        <v>0</v>
      </c>
      <c r="DD51" s="168">
        <f>-SUM('CF(M)'!DD90)</f>
        <v>0</v>
      </c>
      <c r="DE51" s="168">
        <f>-SUM('CF(M)'!DE90)</f>
        <v>0</v>
      </c>
      <c r="DF51" s="168">
        <f>-SUM('CF(M)'!DF90)</f>
        <v>0</v>
      </c>
      <c r="DG51" s="168">
        <f>-SUM('CF(M)'!DG90)</f>
        <v>0</v>
      </c>
      <c r="DH51" s="168">
        <f>-SUM('CF(M)'!DH90)</f>
        <v>0</v>
      </c>
      <c r="DI51" s="168">
        <f>-SUM('CF(M)'!DI90)</f>
        <v>0</v>
      </c>
      <c r="DJ51" s="168">
        <f>-SUM('CF(M)'!DJ90)</f>
        <v>0</v>
      </c>
      <c r="DK51" s="168">
        <f>-SUM('CF(M)'!DK90)</f>
        <v>0</v>
      </c>
      <c r="DL51" s="168">
        <f>-SUM('CF(M)'!DL90)</f>
        <v>0</v>
      </c>
      <c r="DM51" s="168">
        <f>-SUM('CF(M)'!DM90)</f>
        <v>0</v>
      </c>
      <c r="DN51" s="168">
        <f>-SUM('CF(M)'!DN90)</f>
        <v>0</v>
      </c>
      <c r="DO51" s="168">
        <f>-SUM('CF(M)'!DO90)</f>
        <v>0</v>
      </c>
      <c r="DP51" s="168">
        <f>-SUM('CF(M)'!DP90)</f>
        <v>0</v>
      </c>
      <c r="DQ51" s="168">
        <f>-SUM('CF(M)'!DQ90)</f>
        <v>0</v>
      </c>
      <c r="DR51" s="168">
        <f>-SUM('CF(M)'!DR90)</f>
        <v>0</v>
      </c>
      <c r="DS51" s="168">
        <f>-SUM('CF(M)'!DS90)</f>
        <v>0</v>
      </c>
      <c r="DT51" s="168">
        <f>-SUM('CF(M)'!DT90)</f>
        <v>0</v>
      </c>
      <c r="DU51" s="168">
        <f>-SUM('CF(M)'!DU90)</f>
        <v>0</v>
      </c>
      <c r="DV51" s="168">
        <f>-SUM('CF(M)'!DV90)</f>
        <v>0</v>
      </c>
      <c r="DW51" s="168">
        <f>-SUM('CF(M)'!DW90)</f>
        <v>0</v>
      </c>
      <c r="DX51" s="168">
        <f>-SUM('CF(M)'!DX90)</f>
        <v>0</v>
      </c>
      <c r="DY51" s="168">
        <f>-SUM('CF(M)'!DY90)</f>
        <v>0</v>
      </c>
      <c r="DZ51" s="168">
        <f>-SUM('CF(M)'!DZ90)</f>
        <v>0</v>
      </c>
      <c r="EA51" s="168">
        <f>-SUM('CF(M)'!EA90)</f>
        <v>0</v>
      </c>
      <c r="EB51" s="168">
        <f>-SUM('CF(M)'!EB90)</f>
        <v>0</v>
      </c>
      <c r="EC51" s="168">
        <f>-SUM('CF(M)'!EC90)</f>
        <v>0</v>
      </c>
      <c r="ED51" s="168">
        <f>-SUM('CF(M)'!ED90)</f>
        <v>0</v>
      </c>
      <c r="EE51" s="168">
        <f>-SUM('CF(M)'!EE90)</f>
        <v>0</v>
      </c>
      <c r="EF51" s="168">
        <f>-SUM('CF(M)'!EF90)</f>
        <v>0</v>
      </c>
      <c r="EG51" s="168">
        <f>-SUM('CF(M)'!EG90)</f>
        <v>0</v>
      </c>
      <c r="EH51" s="168">
        <f>-SUM('CF(M)'!EH90)</f>
        <v>0</v>
      </c>
      <c r="EI51" s="168">
        <f>-SUM('CF(M)'!EI90)</f>
        <v>0</v>
      </c>
      <c r="EJ51" s="168">
        <f>-SUM('CF(M)'!EJ90)</f>
        <v>0</v>
      </c>
      <c r="EK51" s="168">
        <f>-SUM('CF(M)'!EK90)</f>
        <v>0</v>
      </c>
      <c r="EL51" s="168">
        <f>-SUM('CF(M)'!EL90)</f>
        <v>0</v>
      </c>
      <c r="EM51" s="168">
        <f>-SUM('CF(M)'!EM90)</f>
        <v>0</v>
      </c>
      <c r="EN51" s="168">
        <f>-SUM('CF(M)'!EN90)</f>
        <v>0</v>
      </c>
      <c r="EO51" s="168">
        <f>-SUM('CF(M)'!EO90)</f>
        <v>0</v>
      </c>
      <c r="EP51" s="168">
        <f>-SUM('CF(M)'!EP90)</f>
        <v>0</v>
      </c>
      <c r="EQ51" s="168">
        <f>-SUM('CF(M)'!EQ90)</f>
        <v>0</v>
      </c>
    </row>
    <row r="52" spans="2:147" ht="11.25" customHeight="1">
      <c r="B52" s="218"/>
      <c r="C52" s="163"/>
      <c r="D52" s="169" t="s">
        <v>598</v>
      </c>
      <c r="H52" s="146"/>
      <c r="I52" s="229"/>
      <c r="J52" s="171">
        <f t="shared" si="92"/>
        <v>0</v>
      </c>
      <c r="K52" s="98"/>
      <c r="L52" s="171">
        <f>'CF(M)'!L91+'FS_Detail(M)'!L85</f>
        <v>0</v>
      </c>
      <c r="M52" s="171">
        <f>'CF(M)'!M91+'FS_Detail(M)'!M85</f>
        <v>0</v>
      </c>
      <c r="N52" s="171">
        <f>'CF(M)'!N91+'FS_Detail(M)'!N85</f>
        <v>0</v>
      </c>
      <c r="O52" s="171">
        <f>'CF(M)'!O91+'FS_Detail(M)'!O85</f>
        <v>0</v>
      </c>
      <c r="P52" s="171">
        <f>'CF(M)'!P91+'FS_Detail(M)'!P85</f>
        <v>0</v>
      </c>
      <c r="Q52" s="171">
        <f>'CF(M)'!Q91+'FS_Detail(M)'!Q85</f>
        <v>0</v>
      </c>
      <c r="R52" s="171">
        <f>'CF(M)'!R91+'FS_Detail(M)'!R85</f>
        <v>0</v>
      </c>
      <c r="S52" s="171">
        <f>'CF(M)'!S91+'FS_Detail(M)'!S85</f>
        <v>0</v>
      </c>
      <c r="T52" s="171">
        <f>'CF(M)'!T91+'FS_Detail(M)'!T85</f>
        <v>0</v>
      </c>
      <c r="U52" s="171">
        <f>'CF(M)'!U91+'FS_Detail(M)'!U85</f>
        <v>0</v>
      </c>
      <c r="V52" s="171">
        <f>'CF(M)'!V91+'FS_Detail(M)'!V85</f>
        <v>0</v>
      </c>
      <c r="W52" s="171">
        <f>'CF(M)'!W91+'FS_Detail(M)'!W85</f>
        <v>0</v>
      </c>
      <c r="X52" s="171">
        <f>'CF(M)'!X91+'FS_Detail(M)'!X85</f>
        <v>0</v>
      </c>
      <c r="Y52" s="171">
        <f>'CF(M)'!Y91+'FS_Detail(M)'!Y85</f>
        <v>0</v>
      </c>
      <c r="Z52" s="171">
        <f>'CF(M)'!Z91+'FS_Detail(M)'!Z85</f>
        <v>0</v>
      </c>
      <c r="AA52" s="171">
        <f>'CF(M)'!AA91+'FS_Detail(M)'!AA85</f>
        <v>0</v>
      </c>
      <c r="AB52" s="171">
        <f>'CF(M)'!AB91+'FS_Detail(M)'!AB85</f>
        <v>0</v>
      </c>
      <c r="AC52" s="171">
        <f>'CF(M)'!AC91+'FS_Detail(M)'!AC85</f>
        <v>0</v>
      </c>
      <c r="AD52" s="171">
        <f>'CF(M)'!AD91+'FS_Detail(M)'!AD85</f>
        <v>0</v>
      </c>
      <c r="AE52" s="171">
        <f>'CF(M)'!AE91+'FS_Detail(M)'!AE85</f>
        <v>0</v>
      </c>
      <c r="AF52" s="171">
        <f>'CF(M)'!AF91+'FS_Detail(M)'!AF85</f>
        <v>0</v>
      </c>
      <c r="AG52" s="171">
        <f>'CF(M)'!AG91+'FS_Detail(M)'!AG85</f>
        <v>0</v>
      </c>
      <c r="AH52" s="171">
        <f>'CF(M)'!AH91+'FS_Detail(M)'!AH85</f>
        <v>0</v>
      </c>
      <c r="AI52" s="171">
        <f>'CF(M)'!AI91+'FS_Detail(M)'!AI85</f>
        <v>0</v>
      </c>
      <c r="AJ52" s="171">
        <f>'CF(M)'!AJ91+'FS_Detail(M)'!AJ85</f>
        <v>0</v>
      </c>
      <c r="AK52" s="171">
        <f>'CF(M)'!AK91+'FS_Detail(M)'!AK85</f>
        <v>0</v>
      </c>
      <c r="AL52" s="171">
        <f>'CF(M)'!AL91+'FS_Detail(M)'!AL85</f>
        <v>0</v>
      </c>
      <c r="AM52" s="171">
        <f>'CF(M)'!AM91+'FS_Detail(M)'!AM85</f>
        <v>0</v>
      </c>
      <c r="AN52" s="171">
        <f>'CF(M)'!AN91+'FS_Detail(M)'!AN85</f>
        <v>0</v>
      </c>
      <c r="AO52" s="171">
        <f>'CF(M)'!AO91+'FS_Detail(M)'!AO85</f>
        <v>0</v>
      </c>
      <c r="AP52" s="171">
        <f>'CF(M)'!AP91+'FS_Detail(M)'!AP85</f>
        <v>0</v>
      </c>
      <c r="AQ52" s="171">
        <f>'CF(M)'!AQ91+'FS_Detail(M)'!AQ85</f>
        <v>0</v>
      </c>
      <c r="AR52" s="171">
        <f>'CF(M)'!AR91+'FS_Detail(M)'!AR85</f>
        <v>0</v>
      </c>
      <c r="AS52" s="171">
        <f>'CF(M)'!AS91+'FS_Detail(M)'!AS85</f>
        <v>0</v>
      </c>
      <c r="AT52" s="171">
        <f>'CF(M)'!AT91+'FS_Detail(M)'!AT85</f>
        <v>0</v>
      </c>
      <c r="AU52" s="171">
        <f>'CF(M)'!AU91+'FS_Detail(M)'!AU85</f>
        <v>0</v>
      </c>
      <c r="AV52" s="171">
        <f>'CF(M)'!AV91+'FS_Detail(M)'!AV85</f>
        <v>0</v>
      </c>
      <c r="AW52" s="171">
        <f>'CF(M)'!AW91+'FS_Detail(M)'!AW85</f>
        <v>0</v>
      </c>
      <c r="AX52" s="171">
        <f>'CF(M)'!AX91+'FS_Detail(M)'!AX85</f>
        <v>0</v>
      </c>
      <c r="AY52" s="171">
        <f>'CF(M)'!AY91+'FS_Detail(M)'!AY85</f>
        <v>0</v>
      </c>
      <c r="AZ52" s="171">
        <f>'CF(M)'!AZ91+'FS_Detail(M)'!AZ85</f>
        <v>0</v>
      </c>
      <c r="BA52" s="171">
        <f>'CF(M)'!BA91+'FS_Detail(M)'!BA85</f>
        <v>0</v>
      </c>
      <c r="BB52" s="171">
        <f>'CF(M)'!BB91+'FS_Detail(M)'!BB85</f>
        <v>0</v>
      </c>
      <c r="BC52" s="171">
        <f>'CF(M)'!BC91+'FS_Detail(M)'!BC85</f>
        <v>0</v>
      </c>
      <c r="BD52" s="171">
        <f>'CF(M)'!BD91+'FS_Detail(M)'!BD85</f>
        <v>0</v>
      </c>
      <c r="BE52" s="171">
        <f>'CF(M)'!BE91+'FS_Detail(M)'!BE85</f>
        <v>0</v>
      </c>
      <c r="BF52" s="171">
        <f>'CF(M)'!BF91+'FS_Detail(M)'!BF85</f>
        <v>0</v>
      </c>
      <c r="BG52" s="171">
        <f>'CF(M)'!BG91+'FS_Detail(M)'!BG85</f>
        <v>0</v>
      </c>
      <c r="BH52" s="171">
        <f>'CF(M)'!BH91+'FS_Detail(M)'!BH85</f>
        <v>0</v>
      </c>
      <c r="BI52" s="171">
        <f>'CF(M)'!BI91+'FS_Detail(M)'!BI85</f>
        <v>0</v>
      </c>
      <c r="BJ52" s="171">
        <f>'CF(M)'!BJ91+'FS_Detail(M)'!BJ85</f>
        <v>0</v>
      </c>
      <c r="BK52" s="171">
        <f>'CF(M)'!BK91+'FS_Detail(M)'!BK85</f>
        <v>0</v>
      </c>
      <c r="BL52" s="171">
        <f>'CF(M)'!BL91+'FS_Detail(M)'!BL85</f>
        <v>0</v>
      </c>
      <c r="BM52" s="171">
        <f>'CF(M)'!BM91+'FS_Detail(M)'!BM85</f>
        <v>0</v>
      </c>
      <c r="BN52" s="171">
        <f>'CF(M)'!BN91+'FS_Detail(M)'!BN85</f>
        <v>0</v>
      </c>
      <c r="BO52" s="171">
        <f>'CF(M)'!BO91+'FS_Detail(M)'!BO85</f>
        <v>0</v>
      </c>
      <c r="BP52" s="171">
        <f>'CF(M)'!BP91+'FS_Detail(M)'!BP85</f>
        <v>0</v>
      </c>
      <c r="BQ52" s="171">
        <f>'CF(M)'!BQ91+'FS_Detail(M)'!BQ85</f>
        <v>0</v>
      </c>
      <c r="BR52" s="171">
        <f>'CF(M)'!BR91+'FS_Detail(M)'!BR85</f>
        <v>0</v>
      </c>
      <c r="BS52" s="171">
        <f>'CF(M)'!BS91+'FS_Detail(M)'!BS85</f>
        <v>0</v>
      </c>
      <c r="BT52" s="171">
        <f>'CF(M)'!BT91+'FS_Detail(M)'!BT85</f>
        <v>0</v>
      </c>
      <c r="BU52" s="171">
        <f>'CF(M)'!BU91+'FS_Detail(M)'!BU85</f>
        <v>0</v>
      </c>
      <c r="BV52" s="171">
        <f>'CF(M)'!BV91+'FS_Detail(M)'!BV85</f>
        <v>0</v>
      </c>
      <c r="BW52" s="171">
        <f>'CF(M)'!BW91+'FS_Detail(M)'!BW85</f>
        <v>0</v>
      </c>
      <c r="BX52" s="171">
        <f>'CF(M)'!BX91+'FS_Detail(M)'!BX85</f>
        <v>0</v>
      </c>
      <c r="BY52" s="171">
        <f>'CF(M)'!BY91+'FS_Detail(M)'!BY85</f>
        <v>0</v>
      </c>
      <c r="BZ52" s="171">
        <f>'CF(M)'!BZ91+'FS_Detail(M)'!BZ85</f>
        <v>0</v>
      </c>
      <c r="CA52" s="171">
        <f>'CF(M)'!CA91+'FS_Detail(M)'!CA85</f>
        <v>0</v>
      </c>
      <c r="CB52" s="171">
        <f>'CF(M)'!CB91+'FS_Detail(M)'!CB85</f>
        <v>0</v>
      </c>
      <c r="CC52" s="171">
        <f>'CF(M)'!CC91+'FS_Detail(M)'!CC85</f>
        <v>0</v>
      </c>
      <c r="CD52" s="171">
        <f>'CF(M)'!CD91+'FS_Detail(M)'!CD85</f>
        <v>0</v>
      </c>
      <c r="CE52" s="171">
        <f>'CF(M)'!CE91+'FS_Detail(M)'!CE85</f>
        <v>0</v>
      </c>
      <c r="CF52" s="171">
        <f>'CF(M)'!CF91+'FS_Detail(M)'!CF85</f>
        <v>0</v>
      </c>
      <c r="CG52" s="171">
        <f>'CF(M)'!CG91+'FS_Detail(M)'!CG85</f>
        <v>0</v>
      </c>
      <c r="CH52" s="171">
        <f>'CF(M)'!CH91+'FS_Detail(M)'!CH85</f>
        <v>0</v>
      </c>
      <c r="CI52" s="171">
        <f>'CF(M)'!CI91+'FS_Detail(M)'!CI85</f>
        <v>0</v>
      </c>
      <c r="CJ52" s="171">
        <f>'CF(M)'!CJ91+'FS_Detail(M)'!CJ85</f>
        <v>0</v>
      </c>
      <c r="CK52" s="171">
        <f>'CF(M)'!CK91+'FS_Detail(M)'!CK85</f>
        <v>0</v>
      </c>
      <c r="CL52" s="171">
        <f>'CF(M)'!CL91+'FS_Detail(M)'!CL85</f>
        <v>0</v>
      </c>
      <c r="CM52" s="171">
        <f>'CF(M)'!CM91+'FS_Detail(M)'!CM85</f>
        <v>0</v>
      </c>
      <c r="CN52" s="171">
        <f>'CF(M)'!CN91+'FS_Detail(M)'!CN85</f>
        <v>0</v>
      </c>
      <c r="CO52" s="171">
        <f>'CF(M)'!CO91+'FS_Detail(M)'!CO85</f>
        <v>0</v>
      </c>
      <c r="CP52" s="171">
        <f>'CF(M)'!CP91+'FS_Detail(M)'!CP85</f>
        <v>0</v>
      </c>
      <c r="CQ52" s="171">
        <f>'CF(M)'!CQ91+'FS_Detail(M)'!CQ85</f>
        <v>0</v>
      </c>
      <c r="CR52" s="171">
        <f>'CF(M)'!CR91+'FS_Detail(M)'!CR85</f>
        <v>0</v>
      </c>
      <c r="CS52" s="171">
        <f>'CF(M)'!CS91+'FS_Detail(M)'!CS85</f>
        <v>0</v>
      </c>
      <c r="CT52" s="171">
        <f>'CF(M)'!CT91+'FS_Detail(M)'!CT85</f>
        <v>0</v>
      </c>
      <c r="CU52" s="171">
        <f>'CF(M)'!CU91+'FS_Detail(M)'!CU85</f>
        <v>0</v>
      </c>
      <c r="CV52" s="171">
        <f>'CF(M)'!CV91+'FS_Detail(M)'!CV85</f>
        <v>0</v>
      </c>
      <c r="CW52" s="171">
        <f>'CF(M)'!CW91+'FS_Detail(M)'!CW85</f>
        <v>0</v>
      </c>
      <c r="CX52" s="171">
        <f>'CF(M)'!CX91+'FS_Detail(M)'!CX85</f>
        <v>0</v>
      </c>
      <c r="CY52" s="171">
        <f>'CF(M)'!CY91+'FS_Detail(M)'!CY85</f>
        <v>0</v>
      </c>
      <c r="CZ52" s="171">
        <f>'CF(M)'!CZ91+'FS_Detail(M)'!CZ85</f>
        <v>0</v>
      </c>
      <c r="DA52" s="171">
        <f>'CF(M)'!DA91+'FS_Detail(M)'!DA85</f>
        <v>0</v>
      </c>
      <c r="DB52" s="171">
        <f>'CF(M)'!DB91+'FS_Detail(M)'!DB85</f>
        <v>0</v>
      </c>
      <c r="DC52" s="171">
        <f>'CF(M)'!DC91+'FS_Detail(M)'!DC85</f>
        <v>0</v>
      </c>
      <c r="DD52" s="171">
        <f>'CF(M)'!DD91+'FS_Detail(M)'!DD85</f>
        <v>0</v>
      </c>
      <c r="DE52" s="171">
        <f>'CF(M)'!DE91+'FS_Detail(M)'!DE85</f>
        <v>0</v>
      </c>
      <c r="DF52" s="171">
        <f>'CF(M)'!DF91+'FS_Detail(M)'!DF85</f>
        <v>0</v>
      </c>
      <c r="DG52" s="171">
        <f>'CF(M)'!DG91+'FS_Detail(M)'!DG85</f>
        <v>0</v>
      </c>
      <c r="DH52" s="171">
        <f>'CF(M)'!DH91+'FS_Detail(M)'!DH85</f>
        <v>0</v>
      </c>
      <c r="DI52" s="171">
        <f>'CF(M)'!DI91+'FS_Detail(M)'!DI85</f>
        <v>0</v>
      </c>
      <c r="DJ52" s="171">
        <f>'CF(M)'!DJ91+'FS_Detail(M)'!DJ85</f>
        <v>0</v>
      </c>
      <c r="DK52" s="171">
        <f>'CF(M)'!DK91+'FS_Detail(M)'!DK85</f>
        <v>0</v>
      </c>
      <c r="DL52" s="171">
        <f>'CF(M)'!DL91+'FS_Detail(M)'!DL85</f>
        <v>0</v>
      </c>
      <c r="DM52" s="171">
        <f>'CF(M)'!DM91+'FS_Detail(M)'!DM85</f>
        <v>0</v>
      </c>
      <c r="DN52" s="171">
        <f>'CF(M)'!DN91+'FS_Detail(M)'!DN85</f>
        <v>0</v>
      </c>
      <c r="DO52" s="171">
        <f>'CF(M)'!DO91+'FS_Detail(M)'!DO85</f>
        <v>0</v>
      </c>
      <c r="DP52" s="171">
        <f>'CF(M)'!DP91+'FS_Detail(M)'!DP85</f>
        <v>0</v>
      </c>
      <c r="DQ52" s="171">
        <f>'CF(M)'!DQ91+'FS_Detail(M)'!DQ85</f>
        <v>0</v>
      </c>
      <c r="DR52" s="171">
        <f>'CF(M)'!DR91+'FS_Detail(M)'!DR85</f>
        <v>0</v>
      </c>
      <c r="DS52" s="171">
        <f>'CF(M)'!DS91+'FS_Detail(M)'!DS85</f>
        <v>0</v>
      </c>
      <c r="DT52" s="171">
        <f>'CF(M)'!DT91+'FS_Detail(M)'!DT85</f>
        <v>0</v>
      </c>
      <c r="DU52" s="171">
        <f>'CF(M)'!DU91+'FS_Detail(M)'!DU85</f>
        <v>0</v>
      </c>
      <c r="DV52" s="171">
        <f>'CF(M)'!DV91+'FS_Detail(M)'!DV85</f>
        <v>0</v>
      </c>
      <c r="DW52" s="171">
        <f>'CF(M)'!DW91+'FS_Detail(M)'!DW85</f>
        <v>0</v>
      </c>
      <c r="DX52" s="171">
        <f>'CF(M)'!DX91+'FS_Detail(M)'!DX85</f>
        <v>0</v>
      </c>
      <c r="DY52" s="171">
        <f>'CF(M)'!DY91+'FS_Detail(M)'!DY85</f>
        <v>0</v>
      </c>
      <c r="DZ52" s="171">
        <f>'CF(M)'!DZ91+'FS_Detail(M)'!DZ85</f>
        <v>0</v>
      </c>
      <c r="EA52" s="171">
        <f>'CF(M)'!EA91+'FS_Detail(M)'!EA85</f>
        <v>0</v>
      </c>
      <c r="EB52" s="171">
        <f>'CF(M)'!EB91+'FS_Detail(M)'!EB85</f>
        <v>0</v>
      </c>
      <c r="EC52" s="171">
        <f>'CF(M)'!EC91+'FS_Detail(M)'!EC85</f>
        <v>0</v>
      </c>
      <c r="ED52" s="171">
        <f>'CF(M)'!ED91+'FS_Detail(M)'!ED85</f>
        <v>0</v>
      </c>
      <c r="EE52" s="171">
        <f>'CF(M)'!EE91+'FS_Detail(M)'!EE85</f>
        <v>0</v>
      </c>
      <c r="EF52" s="171">
        <f>'CF(M)'!EF91+'FS_Detail(M)'!EF85</f>
        <v>0</v>
      </c>
      <c r="EG52" s="171">
        <f>'CF(M)'!EG91+'FS_Detail(M)'!EG85</f>
        <v>0</v>
      </c>
      <c r="EH52" s="171">
        <f>'CF(M)'!EH91+'FS_Detail(M)'!EH85</f>
        <v>0</v>
      </c>
      <c r="EI52" s="171">
        <f>'CF(M)'!EI91+'FS_Detail(M)'!EI85</f>
        <v>0</v>
      </c>
      <c r="EJ52" s="171">
        <f>'CF(M)'!EJ91+'FS_Detail(M)'!EJ85</f>
        <v>0</v>
      </c>
      <c r="EK52" s="171">
        <f>'CF(M)'!EK91+'FS_Detail(M)'!EK85</f>
        <v>0</v>
      </c>
      <c r="EL52" s="171">
        <f>'CF(M)'!EL91+'FS_Detail(M)'!EL85</f>
        <v>0</v>
      </c>
      <c r="EM52" s="171">
        <f>'CF(M)'!EM91+'FS_Detail(M)'!EM85</f>
        <v>0</v>
      </c>
      <c r="EN52" s="171">
        <f>'CF(M)'!EN91+'FS_Detail(M)'!EN85</f>
        <v>0</v>
      </c>
      <c r="EO52" s="171">
        <f>'CF(M)'!EO91+'FS_Detail(M)'!EO85</f>
        <v>0</v>
      </c>
      <c r="EP52" s="171">
        <f>'CF(M)'!EP91+'FS_Detail(M)'!EP85</f>
        <v>0</v>
      </c>
      <c r="EQ52" s="171">
        <f>'CF(M)'!EQ91+'FS_Detail(M)'!EQ85</f>
        <v>0</v>
      </c>
    </row>
    <row r="53" spans="2:147" ht="11.25" customHeight="1">
      <c r="B53" s="218"/>
      <c r="C53" s="163"/>
      <c r="D53" s="169" t="s">
        <v>239</v>
      </c>
      <c r="H53" s="146"/>
      <c r="I53" s="229"/>
      <c r="J53" s="171">
        <f t="shared" si="92"/>
        <v>0</v>
      </c>
      <c r="K53" s="98"/>
      <c r="L53" s="171">
        <f>SUM('FS_Detail(M)'!L136,'FS_Detail(M)'!L141)</f>
        <v>0</v>
      </c>
      <c r="M53" s="171">
        <f>SUM('FS_Detail(M)'!M136,'FS_Detail(M)'!M141)</f>
        <v>0</v>
      </c>
      <c r="N53" s="171">
        <f>SUM('FS_Detail(M)'!N136,'FS_Detail(M)'!N141)</f>
        <v>0</v>
      </c>
      <c r="O53" s="171">
        <f>SUM('FS_Detail(M)'!O136,'FS_Detail(M)'!O141)</f>
        <v>0</v>
      </c>
      <c r="P53" s="171">
        <f>SUM('FS_Detail(M)'!P136,'FS_Detail(M)'!P141)</f>
        <v>0</v>
      </c>
      <c r="Q53" s="171">
        <f>SUM('FS_Detail(M)'!Q136,'FS_Detail(M)'!Q141)</f>
        <v>0</v>
      </c>
      <c r="R53" s="171">
        <f>SUM('FS_Detail(M)'!R136,'FS_Detail(M)'!R141)</f>
        <v>0</v>
      </c>
      <c r="S53" s="171">
        <f>SUM('FS_Detail(M)'!S136,'FS_Detail(M)'!S141)</f>
        <v>0</v>
      </c>
      <c r="T53" s="171">
        <f>SUM('FS_Detail(M)'!T136,'FS_Detail(M)'!T141)</f>
        <v>0</v>
      </c>
      <c r="U53" s="171">
        <f>SUM('FS_Detail(M)'!U136,'FS_Detail(M)'!U141)</f>
        <v>0</v>
      </c>
      <c r="V53" s="171">
        <f>SUM('FS_Detail(M)'!V136,'FS_Detail(M)'!V141)</f>
        <v>0</v>
      </c>
      <c r="W53" s="171">
        <f>SUM('FS_Detail(M)'!W136,'FS_Detail(M)'!W141)</f>
        <v>0</v>
      </c>
      <c r="X53" s="171">
        <f>SUM('FS_Detail(M)'!X136,'FS_Detail(M)'!X141)</f>
        <v>0</v>
      </c>
      <c r="Y53" s="171">
        <f>SUM('FS_Detail(M)'!Y136,'FS_Detail(M)'!Y141)</f>
        <v>0</v>
      </c>
      <c r="Z53" s="171">
        <f>SUM('FS_Detail(M)'!Z136,'FS_Detail(M)'!Z141)</f>
        <v>0</v>
      </c>
      <c r="AA53" s="171">
        <f>SUM('FS_Detail(M)'!AA136,'FS_Detail(M)'!AA141)</f>
        <v>0</v>
      </c>
      <c r="AB53" s="171">
        <f>SUM('FS_Detail(M)'!AB136,'FS_Detail(M)'!AB141)</f>
        <v>0</v>
      </c>
      <c r="AC53" s="171">
        <f>SUM('FS_Detail(M)'!AC136,'FS_Detail(M)'!AC141)</f>
        <v>0</v>
      </c>
      <c r="AD53" s="171">
        <f>SUM('FS_Detail(M)'!AD136,'FS_Detail(M)'!AD141)</f>
        <v>0</v>
      </c>
      <c r="AE53" s="171">
        <f>SUM('FS_Detail(M)'!AE136,'FS_Detail(M)'!AE141)</f>
        <v>0</v>
      </c>
      <c r="AF53" s="171">
        <f>SUM('FS_Detail(M)'!AF136,'FS_Detail(M)'!AF141)</f>
        <v>0</v>
      </c>
      <c r="AG53" s="171">
        <f>SUM('FS_Detail(M)'!AG136,'FS_Detail(M)'!AG141)</f>
        <v>0</v>
      </c>
      <c r="AH53" s="171">
        <f>SUM('FS_Detail(M)'!AH136,'FS_Detail(M)'!AH141)</f>
        <v>0</v>
      </c>
      <c r="AI53" s="171">
        <f>SUM('FS_Detail(M)'!AI136,'FS_Detail(M)'!AI141)</f>
        <v>0</v>
      </c>
      <c r="AJ53" s="171">
        <f>SUM('FS_Detail(M)'!AJ136,'FS_Detail(M)'!AJ141)</f>
        <v>0</v>
      </c>
      <c r="AK53" s="171">
        <f>SUM('FS_Detail(M)'!AK136,'FS_Detail(M)'!AK141)</f>
        <v>0</v>
      </c>
      <c r="AL53" s="171">
        <f>SUM('FS_Detail(M)'!AL136,'FS_Detail(M)'!AL141)</f>
        <v>0</v>
      </c>
      <c r="AM53" s="171">
        <f>SUM('FS_Detail(M)'!AM136,'FS_Detail(M)'!AM141)</f>
        <v>0</v>
      </c>
      <c r="AN53" s="171">
        <f>SUM('FS_Detail(M)'!AN136,'FS_Detail(M)'!AN141)</f>
        <v>0</v>
      </c>
      <c r="AO53" s="171">
        <f>SUM('FS_Detail(M)'!AO136,'FS_Detail(M)'!AO141)</f>
        <v>0</v>
      </c>
      <c r="AP53" s="171">
        <f>SUM('FS_Detail(M)'!AP136,'FS_Detail(M)'!AP141)</f>
        <v>0</v>
      </c>
      <c r="AQ53" s="171">
        <f>SUM('FS_Detail(M)'!AQ136,'FS_Detail(M)'!AQ141)</f>
        <v>0</v>
      </c>
      <c r="AR53" s="171">
        <f>SUM('FS_Detail(M)'!AR136,'FS_Detail(M)'!AR141)</f>
        <v>0</v>
      </c>
      <c r="AS53" s="171">
        <f>SUM('FS_Detail(M)'!AS136,'FS_Detail(M)'!AS141)</f>
        <v>0</v>
      </c>
      <c r="AT53" s="171">
        <f>SUM('FS_Detail(M)'!AT136,'FS_Detail(M)'!AT141)</f>
        <v>0</v>
      </c>
      <c r="AU53" s="171">
        <f>SUM('FS_Detail(M)'!AU136,'FS_Detail(M)'!AU141)</f>
        <v>0</v>
      </c>
      <c r="AV53" s="171">
        <f>SUM('FS_Detail(M)'!AV136,'FS_Detail(M)'!AV141)</f>
        <v>0</v>
      </c>
      <c r="AW53" s="171">
        <f>SUM('FS_Detail(M)'!AW136,'FS_Detail(M)'!AW141)</f>
        <v>0</v>
      </c>
      <c r="AX53" s="171">
        <f>SUM('FS_Detail(M)'!AX136,'FS_Detail(M)'!AX141)</f>
        <v>0</v>
      </c>
      <c r="AY53" s="171">
        <f>SUM('FS_Detail(M)'!AY136,'FS_Detail(M)'!AY141)</f>
        <v>0</v>
      </c>
      <c r="AZ53" s="171">
        <f>SUM('FS_Detail(M)'!AZ136,'FS_Detail(M)'!AZ141)</f>
        <v>0</v>
      </c>
      <c r="BA53" s="171">
        <f>SUM('FS_Detail(M)'!BA136,'FS_Detail(M)'!BA141)</f>
        <v>0</v>
      </c>
      <c r="BB53" s="171">
        <f>SUM('FS_Detail(M)'!BB136,'FS_Detail(M)'!BB141)</f>
        <v>0</v>
      </c>
      <c r="BC53" s="171">
        <f>SUM('FS_Detail(M)'!BC136,'FS_Detail(M)'!BC141)</f>
        <v>0</v>
      </c>
      <c r="BD53" s="171">
        <f>SUM('FS_Detail(M)'!BD136,'FS_Detail(M)'!BD141)</f>
        <v>0</v>
      </c>
      <c r="BE53" s="171">
        <f>SUM('FS_Detail(M)'!BE136,'FS_Detail(M)'!BE141)</f>
        <v>0</v>
      </c>
      <c r="BF53" s="171">
        <f>SUM('FS_Detail(M)'!BF136,'FS_Detail(M)'!BF141)</f>
        <v>0</v>
      </c>
      <c r="BG53" s="171">
        <f>SUM('FS_Detail(M)'!BG136,'FS_Detail(M)'!BG141)</f>
        <v>0</v>
      </c>
      <c r="BH53" s="171">
        <f>SUM('FS_Detail(M)'!BH136,'FS_Detail(M)'!BH141)</f>
        <v>0</v>
      </c>
      <c r="BI53" s="171">
        <f>SUM('FS_Detail(M)'!BI136,'FS_Detail(M)'!BI141)</f>
        <v>0</v>
      </c>
      <c r="BJ53" s="171">
        <f>SUM('FS_Detail(M)'!BJ136,'FS_Detail(M)'!BJ141)</f>
        <v>0</v>
      </c>
      <c r="BK53" s="171">
        <f>SUM('FS_Detail(M)'!BK136,'FS_Detail(M)'!BK141)</f>
        <v>0</v>
      </c>
      <c r="BL53" s="171">
        <f>SUM('FS_Detail(M)'!BL136,'FS_Detail(M)'!BL141)</f>
        <v>0</v>
      </c>
      <c r="BM53" s="171">
        <f>SUM('FS_Detail(M)'!BM136,'FS_Detail(M)'!BM141)</f>
        <v>0</v>
      </c>
      <c r="BN53" s="171">
        <f>SUM('FS_Detail(M)'!BN136,'FS_Detail(M)'!BN141)</f>
        <v>0</v>
      </c>
      <c r="BO53" s="171">
        <f>SUM('FS_Detail(M)'!BO136,'FS_Detail(M)'!BO141)</f>
        <v>0</v>
      </c>
      <c r="BP53" s="171">
        <f>SUM('FS_Detail(M)'!BP136,'FS_Detail(M)'!BP141)</f>
        <v>0</v>
      </c>
      <c r="BQ53" s="171">
        <f>SUM('FS_Detail(M)'!BQ136,'FS_Detail(M)'!BQ141)</f>
        <v>0</v>
      </c>
      <c r="BR53" s="171">
        <f>SUM('FS_Detail(M)'!BR136,'FS_Detail(M)'!BR141)</f>
        <v>0</v>
      </c>
      <c r="BS53" s="171">
        <f>SUM('FS_Detail(M)'!BS136,'FS_Detail(M)'!BS141)</f>
        <v>0</v>
      </c>
      <c r="BT53" s="171">
        <f>SUM('FS_Detail(M)'!BT136,'FS_Detail(M)'!BT141)</f>
        <v>0</v>
      </c>
      <c r="BU53" s="171">
        <f>SUM('FS_Detail(M)'!BU136,'FS_Detail(M)'!BU141)</f>
        <v>0</v>
      </c>
      <c r="BV53" s="171">
        <f>SUM('FS_Detail(M)'!BV136,'FS_Detail(M)'!BV141)</f>
        <v>0</v>
      </c>
      <c r="BW53" s="171">
        <f>SUM('FS_Detail(M)'!BW136,'FS_Detail(M)'!BW141)</f>
        <v>0</v>
      </c>
      <c r="BX53" s="171">
        <f>SUM('FS_Detail(M)'!BX136,'FS_Detail(M)'!BX141)</f>
        <v>0</v>
      </c>
      <c r="BY53" s="171">
        <f>SUM('FS_Detail(M)'!BY136,'FS_Detail(M)'!BY141)</f>
        <v>0</v>
      </c>
      <c r="BZ53" s="171">
        <f>SUM('FS_Detail(M)'!BZ136,'FS_Detail(M)'!BZ141)</f>
        <v>0</v>
      </c>
      <c r="CA53" s="171">
        <f>SUM('FS_Detail(M)'!CA136,'FS_Detail(M)'!CA141)</f>
        <v>0</v>
      </c>
      <c r="CB53" s="171">
        <f>SUM('FS_Detail(M)'!CB136,'FS_Detail(M)'!CB141)</f>
        <v>0</v>
      </c>
      <c r="CC53" s="171">
        <f>SUM('FS_Detail(M)'!CC136,'FS_Detail(M)'!CC141)</f>
        <v>0</v>
      </c>
      <c r="CD53" s="171">
        <f>SUM('FS_Detail(M)'!CD136,'FS_Detail(M)'!CD141)</f>
        <v>0</v>
      </c>
      <c r="CE53" s="171">
        <f>SUM('FS_Detail(M)'!CE136,'FS_Detail(M)'!CE141)</f>
        <v>0</v>
      </c>
      <c r="CF53" s="171">
        <f>SUM('FS_Detail(M)'!CF136,'FS_Detail(M)'!CF141)</f>
        <v>0</v>
      </c>
      <c r="CG53" s="171">
        <f>SUM('FS_Detail(M)'!CG136,'FS_Detail(M)'!CG141)</f>
        <v>0</v>
      </c>
      <c r="CH53" s="171">
        <f>SUM('FS_Detail(M)'!CH136,'FS_Detail(M)'!CH141)</f>
        <v>0</v>
      </c>
      <c r="CI53" s="171">
        <f>SUM('FS_Detail(M)'!CI136,'FS_Detail(M)'!CI141)</f>
        <v>0</v>
      </c>
      <c r="CJ53" s="171">
        <f>SUM('FS_Detail(M)'!CJ136,'FS_Detail(M)'!CJ141)</f>
        <v>0</v>
      </c>
      <c r="CK53" s="171">
        <f>SUM('FS_Detail(M)'!CK136,'FS_Detail(M)'!CK141)</f>
        <v>0</v>
      </c>
      <c r="CL53" s="171">
        <f>SUM('FS_Detail(M)'!CL136,'FS_Detail(M)'!CL141)</f>
        <v>0</v>
      </c>
      <c r="CM53" s="171">
        <f>SUM('FS_Detail(M)'!CM136,'FS_Detail(M)'!CM141)</f>
        <v>0</v>
      </c>
      <c r="CN53" s="171">
        <f>SUM('FS_Detail(M)'!CN136,'FS_Detail(M)'!CN141)</f>
        <v>0</v>
      </c>
      <c r="CO53" s="171">
        <f>SUM('FS_Detail(M)'!CO136,'FS_Detail(M)'!CO141)</f>
        <v>0</v>
      </c>
      <c r="CP53" s="171">
        <f>SUM('FS_Detail(M)'!CP136,'FS_Detail(M)'!CP141)</f>
        <v>0</v>
      </c>
      <c r="CQ53" s="171">
        <f>SUM('FS_Detail(M)'!CQ136,'FS_Detail(M)'!CQ141)</f>
        <v>0</v>
      </c>
      <c r="CR53" s="171">
        <f>SUM('FS_Detail(M)'!CR136,'FS_Detail(M)'!CR141)</f>
        <v>0</v>
      </c>
      <c r="CS53" s="171">
        <f>SUM('FS_Detail(M)'!CS136,'FS_Detail(M)'!CS141)</f>
        <v>0</v>
      </c>
      <c r="CT53" s="171">
        <f>SUM('FS_Detail(M)'!CT136,'FS_Detail(M)'!CT141)</f>
        <v>0</v>
      </c>
      <c r="CU53" s="171">
        <f>SUM('FS_Detail(M)'!CU136,'FS_Detail(M)'!CU141)</f>
        <v>0</v>
      </c>
      <c r="CV53" s="171">
        <f>SUM('FS_Detail(M)'!CV136,'FS_Detail(M)'!CV141)</f>
        <v>0</v>
      </c>
      <c r="CW53" s="171">
        <f>SUM('FS_Detail(M)'!CW136,'FS_Detail(M)'!CW141)</f>
        <v>0</v>
      </c>
      <c r="CX53" s="171">
        <f>SUM('FS_Detail(M)'!CX136,'FS_Detail(M)'!CX141)</f>
        <v>0</v>
      </c>
      <c r="CY53" s="171">
        <f>SUM('FS_Detail(M)'!CY136,'FS_Detail(M)'!CY141)</f>
        <v>0</v>
      </c>
      <c r="CZ53" s="171">
        <f>SUM('FS_Detail(M)'!CZ136,'FS_Detail(M)'!CZ141)</f>
        <v>0</v>
      </c>
      <c r="DA53" s="171">
        <f>SUM('FS_Detail(M)'!DA136,'FS_Detail(M)'!DA141)</f>
        <v>0</v>
      </c>
      <c r="DB53" s="171">
        <f>SUM('FS_Detail(M)'!DB136,'FS_Detail(M)'!DB141)</f>
        <v>0</v>
      </c>
      <c r="DC53" s="171">
        <f>SUM('FS_Detail(M)'!DC136,'FS_Detail(M)'!DC141)</f>
        <v>0</v>
      </c>
      <c r="DD53" s="171">
        <f>SUM('FS_Detail(M)'!DD136,'FS_Detail(M)'!DD141)</f>
        <v>0</v>
      </c>
      <c r="DE53" s="171">
        <f>SUM('FS_Detail(M)'!DE136,'FS_Detail(M)'!DE141)</f>
        <v>0</v>
      </c>
      <c r="DF53" s="171">
        <f>SUM('FS_Detail(M)'!DF136,'FS_Detail(M)'!DF141)</f>
        <v>0</v>
      </c>
      <c r="DG53" s="171">
        <f>SUM('FS_Detail(M)'!DG136,'FS_Detail(M)'!DG141)</f>
        <v>0</v>
      </c>
      <c r="DH53" s="171">
        <f>SUM('FS_Detail(M)'!DH136,'FS_Detail(M)'!DH141)</f>
        <v>0</v>
      </c>
      <c r="DI53" s="171">
        <f>SUM('FS_Detail(M)'!DI136,'FS_Detail(M)'!DI141)</f>
        <v>0</v>
      </c>
      <c r="DJ53" s="171">
        <f>SUM('FS_Detail(M)'!DJ136,'FS_Detail(M)'!DJ141)</f>
        <v>0</v>
      </c>
      <c r="DK53" s="171">
        <f>SUM('FS_Detail(M)'!DK136,'FS_Detail(M)'!DK141)</f>
        <v>0</v>
      </c>
      <c r="DL53" s="171">
        <f>SUM('FS_Detail(M)'!DL136,'FS_Detail(M)'!DL141)</f>
        <v>0</v>
      </c>
      <c r="DM53" s="171">
        <f>SUM('FS_Detail(M)'!DM136,'FS_Detail(M)'!DM141)</f>
        <v>0</v>
      </c>
      <c r="DN53" s="171">
        <f>SUM('FS_Detail(M)'!DN136,'FS_Detail(M)'!DN141)</f>
        <v>0</v>
      </c>
      <c r="DO53" s="171">
        <f>SUM('FS_Detail(M)'!DO136,'FS_Detail(M)'!DO141)</f>
        <v>0</v>
      </c>
      <c r="DP53" s="171">
        <f>SUM('FS_Detail(M)'!DP136,'FS_Detail(M)'!DP141)</f>
        <v>0</v>
      </c>
      <c r="DQ53" s="171">
        <f>SUM('FS_Detail(M)'!DQ136,'FS_Detail(M)'!DQ141)</f>
        <v>0</v>
      </c>
      <c r="DR53" s="171">
        <f>SUM('FS_Detail(M)'!DR136,'FS_Detail(M)'!DR141)</f>
        <v>0</v>
      </c>
      <c r="DS53" s="171">
        <f>SUM('FS_Detail(M)'!DS136,'FS_Detail(M)'!DS141)</f>
        <v>0</v>
      </c>
      <c r="DT53" s="171">
        <f>SUM('FS_Detail(M)'!DT136,'FS_Detail(M)'!DT141)</f>
        <v>0</v>
      </c>
      <c r="DU53" s="171">
        <f>SUM('FS_Detail(M)'!DU136,'FS_Detail(M)'!DU141)</f>
        <v>0</v>
      </c>
      <c r="DV53" s="171">
        <f>SUM('FS_Detail(M)'!DV136,'FS_Detail(M)'!DV141)</f>
        <v>0</v>
      </c>
      <c r="DW53" s="171">
        <f>SUM('FS_Detail(M)'!DW136,'FS_Detail(M)'!DW141)</f>
        <v>0</v>
      </c>
      <c r="DX53" s="171">
        <f>SUM('FS_Detail(M)'!DX136,'FS_Detail(M)'!DX141)</f>
        <v>0</v>
      </c>
      <c r="DY53" s="171">
        <f>SUM('FS_Detail(M)'!DY136,'FS_Detail(M)'!DY141)</f>
        <v>0</v>
      </c>
      <c r="DZ53" s="171">
        <f>SUM('FS_Detail(M)'!DZ136,'FS_Detail(M)'!DZ141)</f>
        <v>0</v>
      </c>
      <c r="EA53" s="171">
        <f>SUM('FS_Detail(M)'!EA136,'FS_Detail(M)'!EA141)</f>
        <v>0</v>
      </c>
      <c r="EB53" s="171">
        <f>SUM('FS_Detail(M)'!EB136,'FS_Detail(M)'!EB141)</f>
        <v>0</v>
      </c>
      <c r="EC53" s="171">
        <f>SUM('FS_Detail(M)'!EC136,'FS_Detail(M)'!EC141)</f>
        <v>0</v>
      </c>
      <c r="ED53" s="171">
        <f>SUM('FS_Detail(M)'!ED136,'FS_Detail(M)'!ED141)</f>
        <v>0</v>
      </c>
      <c r="EE53" s="171">
        <f>SUM('FS_Detail(M)'!EE136,'FS_Detail(M)'!EE141)</f>
        <v>0</v>
      </c>
      <c r="EF53" s="171">
        <f>SUM('FS_Detail(M)'!EF136,'FS_Detail(M)'!EF141)</f>
        <v>0</v>
      </c>
      <c r="EG53" s="171">
        <f>SUM('FS_Detail(M)'!EG136,'FS_Detail(M)'!EG141)</f>
        <v>0</v>
      </c>
      <c r="EH53" s="171">
        <f>SUM('FS_Detail(M)'!EH136,'FS_Detail(M)'!EH141)</f>
        <v>0</v>
      </c>
      <c r="EI53" s="171">
        <f>SUM('FS_Detail(M)'!EI136,'FS_Detail(M)'!EI141)</f>
        <v>0</v>
      </c>
      <c r="EJ53" s="171">
        <f>SUM('FS_Detail(M)'!EJ136,'FS_Detail(M)'!EJ141)</f>
        <v>0</v>
      </c>
      <c r="EK53" s="171">
        <f>SUM('FS_Detail(M)'!EK136,'FS_Detail(M)'!EK141)</f>
        <v>0</v>
      </c>
      <c r="EL53" s="171">
        <f>SUM('FS_Detail(M)'!EL136,'FS_Detail(M)'!EL141)</f>
        <v>0</v>
      </c>
      <c r="EM53" s="171">
        <f>SUM('FS_Detail(M)'!EM136,'FS_Detail(M)'!EM141)</f>
        <v>0</v>
      </c>
      <c r="EN53" s="171">
        <f>SUM('FS_Detail(M)'!EN136,'FS_Detail(M)'!EN141)</f>
        <v>0</v>
      </c>
      <c r="EO53" s="171">
        <f>SUM('FS_Detail(M)'!EO136,'FS_Detail(M)'!EO141)</f>
        <v>0</v>
      </c>
      <c r="EP53" s="171">
        <f>SUM('FS_Detail(M)'!EP136,'FS_Detail(M)'!EP141)</f>
        <v>0</v>
      </c>
      <c r="EQ53" s="171">
        <f>SUM('FS_Detail(M)'!EQ136,'FS_Detail(M)'!EQ141)</f>
        <v>0</v>
      </c>
    </row>
    <row r="54" spans="2:147" ht="11.25" customHeight="1">
      <c r="B54" s="218"/>
      <c r="C54" s="163"/>
      <c r="D54" s="169" t="s">
        <v>130</v>
      </c>
      <c r="G54" s="65"/>
      <c r="H54" s="146"/>
      <c r="I54" s="229"/>
      <c r="J54" s="171">
        <f t="shared" ca="1" si="92"/>
        <v>0</v>
      </c>
      <c r="K54" s="98"/>
      <c r="L54" s="171">
        <f ca="1">'IS(M)'!M99</f>
        <v>0</v>
      </c>
      <c r="M54" s="171">
        <f ca="1">'IS(M)'!N99</f>
        <v>0</v>
      </c>
      <c r="N54" s="171">
        <f ca="1">'IS(M)'!O99</f>
        <v>0</v>
      </c>
      <c r="O54" s="171">
        <f ca="1">'IS(M)'!P99</f>
        <v>0</v>
      </c>
      <c r="P54" s="171">
        <f ca="1">'IS(M)'!Q99</f>
        <v>0</v>
      </c>
      <c r="Q54" s="171">
        <f ca="1">'IS(M)'!R99</f>
        <v>0</v>
      </c>
      <c r="R54" s="171">
        <f ca="1">'IS(M)'!S99</f>
        <v>0</v>
      </c>
      <c r="S54" s="171">
        <f ca="1">'IS(M)'!T99</f>
        <v>0</v>
      </c>
      <c r="T54" s="171">
        <f ca="1">'IS(M)'!U99</f>
        <v>0</v>
      </c>
      <c r="U54" s="171">
        <f ca="1">'IS(M)'!V99</f>
        <v>0</v>
      </c>
      <c r="V54" s="171">
        <f ca="1">'IS(M)'!W99</f>
        <v>0</v>
      </c>
      <c r="W54" s="171">
        <f ca="1">'IS(M)'!X99</f>
        <v>0</v>
      </c>
      <c r="X54" s="171">
        <f ca="1">'IS(M)'!Y99</f>
        <v>0</v>
      </c>
      <c r="Y54" s="171">
        <f ca="1">'IS(M)'!Z99</f>
        <v>0</v>
      </c>
      <c r="Z54" s="171">
        <f ca="1">'IS(M)'!AA99</f>
        <v>0</v>
      </c>
      <c r="AA54" s="171">
        <f ca="1">'IS(M)'!AB99</f>
        <v>0</v>
      </c>
      <c r="AB54" s="171">
        <f ca="1">'IS(M)'!AC99</f>
        <v>0</v>
      </c>
      <c r="AC54" s="171">
        <f ca="1">'IS(M)'!AD99</f>
        <v>0</v>
      </c>
      <c r="AD54" s="171">
        <f ca="1">'IS(M)'!AE99</f>
        <v>0</v>
      </c>
      <c r="AE54" s="171">
        <f ca="1">'IS(M)'!AF99</f>
        <v>0</v>
      </c>
      <c r="AF54" s="171">
        <f ca="1">'IS(M)'!AG99</f>
        <v>0</v>
      </c>
      <c r="AG54" s="171">
        <f ca="1">'IS(M)'!AH99</f>
        <v>0</v>
      </c>
      <c r="AH54" s="171">
        <f ca="1">'IS(M)'!AI99</f>
        <v>0</v>
      </c>
      <c r="AI54" s="171">
        <f ca="1">'IS(M)'!AJ99</f>
        <v>0</v>
      </c>
      <c r="AJ54" s="171">
        <f ca="1">'IS(M)'!AK99</f>
        <v>0</v>
      </c>
      <c r="AK54" s="171">
        <f ca="1">'IS(M)'!AL99</f>
        <v>0</v>
      </c>
      <c r="AL54" s="171">
        <f ca="1">'IS(M)'!AM99</f>
        <v>0</v>
      </c>
      <c r="AM54" s="171">
        <f ca="1">'IS(M)'!AN99</f>
        <v>0</v>
      </c>
      <c r="AN54" s="171">
        <f ca="1">'IS(M)'!AO99</f>
        <v>0</v>
      </c>
      <c r="AO54" s="171">
        <f ca="1">'IS(M)'!AP99</f>
        <v>0</v>
      </c>
      <c r="AP54" s="171">
        <f ca="1">'IS(M)'!AQ99</f>
        <v>0</v>
      </c>
      <c r="AQ54" s="171">
        <f ca="1">'IS(M)'!AR99</f>
        <v>0</v>
      </c>
      <c r="AR54" s="171">
        <f ca="1">'IS(M)'!AS99</f>
        <v>0</v>
      </c>
      <c r="AS54" s="171">
        <f ca="1">'IS(M)'!AT99</f>
        <v>0</v>
      </c>
      <c r="AT54" s="171">
        <f ca="1">'IS(M)'!AU99</f>
        <v>0</v>
      </c>
      <c r="AU54" s="171">
        <f ca="1">'IS(M)'!AV99</f>
        <v>0</v>
      </c>
      <c r="AV54" s="171">
        <f ca="1">'IS(M)'!AW99</f>
        <v>0</v>
      </c>
      <c r="AW54" s="171">
        <f ca="1">'IS(M)'!AX99</f>
        <v>0</v>
      </c>
      <c r="AX54" s="171">
        <f ca="1">'IS(M)'!AY99</f>
        <v>0</v>
      </c>
      <c r="AY54" s="171">
        <f ca="1">'IS(M)'!AZ99</f>
        <v>0</v>
      </c>
      <c r="AZ54" s="171">
        <f ca="1">'IS(M)'!BA99</f>
        <v>0</v>
      </c>
      <c r="BA54" s="171">
        <f ca="1">'IS(M)'!BB99</f>
        <v>0</v>
      </c>
      <c r="BB54" s="171">
        <f ca="1">'IS(M)'!BC99</f>
        <v>0</v>
      </c>
      <c r="BC54" s="171">
        <f ca="1">'IS(M)'!BD99</f>
        <v>0</v>
      </c>
      <c r="BD54" s="171">
        <f ca="1">'IS(M)'!BE99</f>
        <v>0</v>
      </c>
      <c r="BE54" s="171">
        <f ca="1">'IS(M)'!BF99</f>
        <v>0</v>
      </c>
      <c r="BF54" s="171">
        <f ca="1">'IS(M)'!BG99</f>
        <v>0</v>
      </c>
      <c r="BG54" s="171">
        <f ca="1">'IS(M)'!BH99</f>
        <v>0</v>
      </c>
      <c r="BH54" s="171">
        <f ca="1">'IS(M)'!BI99</f>
        <v>0</v>
      </c>
      <c r="BI54" s="171">
        <f ca="1">'IS(M)'!BJ99</f>
        <v>0</v>
      </c>
      <c r="BJ54" s="171">
        <f ca="1">'IS(M)'!BK99</f>
        <v>0</v>
      </c>
      <c r="BK54" s="171">
        <f ca="1">'IS(M)'!BL99</f>
        <v>0</v>
      </c>
      <c r="BL54" s="171">
        <f ca="1">'IS(M)'!BM99</f>
        <v>0</v>
      </c>
      <c r="BM54" s="171">
        <f ca="1">'IS(M)'!BN99</f>
        <v>0</v>
      </c>
      <c r="BN54" s="171">
        <f ca="1">'IS(M)'!BO99</f>
        <v>0</v>
      </c>
      <c r="BO54" s="171">
        <f ca="1">'IS(M)'!BP99</f>
        <v>0</v>
      </c>
      <c r="BP54" s="171">
        <f ca="1">'IS(M)'!BQ99</f>
        <v>0</v>
      </c>
      <c r="BQ54" s="171">
        <f ca="1">'IS(M)'!BR99</f>
        <v>0</v>
      </c>
      <c r="BR54" s="171">
        <f ca="1">'IS(M)'!BS99</f>
        <v>0</v>
      </c>
      <c r="BS54" s="171">
        <f ca="1">'IS(M)'!BT99</f>
        <v>0</v>
      </c>
      <c r="BT54" s="171">
        <f ca="1">'IS(M)'!BU99</f>
        <v>0</v>
      </c>
      <c r="BU54" s="171">
        <f ca="1">'IS(M)'!BV99</f>
        <v>0</v>
      </c>
      <c r="BV54" s="171">
        <f ca="1">'IS(M)'!BW99</f>
        <v>0</v>
      </c>
      <c r="BW54" s="171">
        <f ca="1">'IS(M)'!BX99</f>
        <v>0</v>
      </c>
      <c r="BX54" s="171">
        <f ca="1">'IS(M)'!BY99</f>
        <v>0</v>
      </c>
      <c r="BY54" s="171">
        <f ca="1">'IS(M)'!BZ99</f>
        <v>0</v>
      </c>
      <c r="BZ54" s="171">
        <f ca="1">'IS(M)'!CA99</f>
        <v>0</v>
      </c>
      <c r="CA54" s="171">
        <f ca="1">'IS(M)'!CB99</f>
        <v>0</v>
      </c>
      <c r="CB54" s="171">
        <f ca="1">'IS(M)'!CC99</f>
        <v>0</v>
      </c>
      <c r="CC54" s="171">
        <f ca="1">'IS(M)'!CD99</f>
        <v>0</v>
      </c>
      <c r="CD54" s="171">
        <f ca="1">'IS(M)'!CE99</f>
        <v>0</v>
      </c>
      <c r="CE54" s="171">
        <f ca="1">'IS(M)'!CF99</f>
        <v>0</v>
      </c>
      <c r="CF54" s="171">
        <f ca="1">'IS(M)'!CG99</f>
        <v>0</v>
      </c>
      <c r="CG54" s="171">
        <f ca="1">'IS(M)'!CH99</f>
        <v>0</v>
      </c>
      <c r="CH54" s="171">
        <f ca="1">'IS(M)'!CI99</f>
        <v>0</v>
      </c>
      <c r="CI54" s="171">
        <f ca="1">'IS(M)'!CJ99</f>
        <v>0</v>
      </c>
      <c r="CJ54" s="171">
        <f ca="1">'IS(M)'!CK99</f>
        <v>0</v>
      </c>
      <c r="CK54" s="171">
        <f ca="1">'IS(M)'!CL99</f>
        <v>0</v>
      </c>
      <c r="CL54" s="171">
        <f ca="1">'IS(M)'!CM99</f>
        <v>0</v>
      </c>
      <c r="CM54" s="171">
        <f ca="1">'IS(M)'!CN99</f>
        <v>0</v>
      </c>
      <c r="CN54" s="171">
        <f ca="1">'IS(M)'!CO99</f>
        <v>0</v>
      </c>
      <c r="CO54" s="171">
        <f ca="1">'IS(M)'!CP99</f>
        <v>0</v>
      </c>
      <c r="CP54" s="171">
        <f ca="1">'IS(M)'!CQ99</f>
        <v>0</v>
      </c>
      <c r="CQ54" s="171">
        <f ca="1">'IS(M)'!CR99</f>
        <v>0</v>
      </c>
      <c r="CR54" s="171">
        <f ca="1">'IS(M)'!CS99</f>
        <v>0</v>
      </c>
      <c r="CS54" s="171">
        <f ca="1">'IS(M)'!CT99</f>
        <v>0</v>
      </c>
      <c r="CT54" s="171">
        <f ca="1">'IS(M)'!CU99</f>
        <v>0</v>
      </c>
      <c r="CU54" s="171">
        <f ca="1">'IS(M)'!CV99</f>
        <v>0</v>
      </c>
      <c r="CV54" s="171">
        <f ca="1">'IS(M)'!CW99</f>
        <v>0</v>
      </c>
      <c r="CW54" s="171">
        <f ca="1">'IS(M)'!CX99</f>
        <v>0</v>
      </c>
      <c r="CX54" s="171">
        <f ca="1">'IS(M)'!CY99</f>
        <v>0</v>
      </c>
      <c r="CY54" s="171">
        <f ca="1">'IS(M)'!CZ99</f>
        <v>0</v>
      </c>
      <c r="CZ54" s="171">
        <f ca="1">'IS(M)'!DA99</f>
        <v>0</v>
      </c>
      <c r="DA54" s="171">
        <f ca="1">'IS(M)'!DB99</f>
        <v>0</v>
      </c>
      <c r="DB54" s="171">
        <f ca="1">'IS(M)'!DC99</f>
        <v>0</v>
      </c>
      <c r="DC54" s="171">
        <f ca="1">'IS(M)'!DD99</f>
        <v>0</v>
      </c>
      <c r="DD54" s="171">
        <f ca="1">'IS(M)'!DE99</f>
        <v>0</v>
      </c>
      <c r="DE54" s="171">
        <f ca="1">'IS(M)'!DF99</f>
        <v>0</v>
      </c>
      <c r="DF54" s="171">
        <f ca="1">'IS(M)'!DG99</f>
        <v>0</v>
      </c>
      <c r="DG54" s="171">
        <f ca="1">'IS(M)'!DH99</f>
        <v>0</v>
      </c>
      <c r="DH54" s="171">
        <f ca="1">'IS(M)'!DI99</f>
        <v>0</v>
      </c>
      <c r="DI54" s="171">
        <f ca="1">'IS(M)'!DJ99</f>
        <v>0</v>
      </c>
      <c r="DJ54" s="171">
        <f ca="1">'IS(M)'!DK99</f>
        <v>0</v>
      </c>
      <c r="DK54" s="171">
        <f ca="1">'IS(M)'!DL99</f>
        <v>0</v>
      </c>
      <c r="DL54" s="171">
        <f ca="1">'IS(M)'!DM99</f>
        <v>0</v>
      </c>
      <c r="DM54" s="171">
        <f ca="1">'IS(M)'!DN99</f>
        <v>0</v>
      </c>
      <c r="DN54" s="171">
        <f ca="1">'IS(M)'!DO99</f>
        <v>0</v>
      </c>
      <c r="DO54" s="171">
        <f ca="1">'IS(M)'!DP99</f>
        <v>0</v>
      </c>
      <c r="DP54" s="171">
        <f ca="1">'IS(M)'!DQ99</f>
        <v>0</v>
      </c>
      <c r="DQ54" s="171">
        <f ca="1">'IS(M)'!DR99</f>
        <v>0</v>
      </c>
      <c r="DR54" s="171">
        <f ca="1">'IS(M)'!DS99</f>
        <v>0</v>
      </c>
      <c r="DS54" s="171">
        <f ca="1">'IS(M)'!DT99</f>
        <v>0</v>
      </c>
      <c r="DT54" s="171">
        <f ca="1">'IS(M)'!DU99</f>
        <v>0</v>
      </c>
      <c r="DU54" s="171">
        <f ca="1">'IS(M)'!DV99</f>
        <v>0</v>
      </c>
      <c r="DV54" s="171">
        <f ca="1">'IS(M)'!DW99</f>
        <v>0</v>
      </c>
      <c r="DW54" s="171">
        <f ca="1">'IS(M)'!DX99</f>
        <v>0</v>
      </c>
      <c r="DX54" s="171">
        <f ca="1">'IS(M)'!DY99</f>
        <v>0</v>
      </c>
      <c r="DY54" s="171">
        <f ca="1">'IS(M)'!DZ99</f>
        <v>0</v>
      </c>
      <c r="DZ54" s="171">
        <f ca="1">'IS(M)'!EA99</f>
        <v>0</v>
      </c>
      <c r="EA54" s="171">
        <f ca="1">'IS(M)'!EB99</f>
        <v>0</v>
      </c>
      <c r="EB54" s="171">
        <f ca="1">'IS(M)'!EC99</f>
        <v>0</v>
      </c>
      <c r="EC54" s="171">
        <f ca="1">'IS(M)'!ED99</f>
        <v>0</v>
      </c>
      <c r="ED54" s="171">
        <f ca="1">'IS(M)'!EE99</f>
        <v>0</v>
      </c>
      <c r="EE54" s="171">
        <f ca="1">'IS(M)'!EF99</f>
        <v>0</v>
      </c>
      <c r="EF54" s="171">
        <f ca="1">'IS(M)'!EG99</f>
        <v>0</v>
      </c>
      <c r="EG54" s="171">
        <f ca="1">'IS(M)'!EH99</f>
        <v>0</v>
      </c>
      <c r="EH54" s="171">
        <f ca="1">'IS(M)'!EI99</f>
        <v>0</v>
      </c>
      <c r="EI54" s="171">
        <f ca="1">'IS(M)'!EJ99</f>
        <v>0</v>
      </c>
      <c r="EJ54" s="171">
        <f ca="1">'IS(M)'!EK99</f>
        <v>0</v>
      </c>
      <c r="EK54" s="171">
        <f ca="1">'IS(M)'!EL99</f>
        <v>0</v>
      </c>
      <c r="EL54" s="171">
        <f ca="1">'IS(M)'!EM99</f>
        <v>0</v>
      </c>
      <c r="EM54" s="171">
        <f ca="1">'IS(M)'!EN99</f>
        <v>0</v>
      </c>
      <c r="EN54" s="171">
        <f ca="1">'IS(M)'!EO99</f>
        <v>0</v>
      </c>
      <c r="EO54" s="171">
        <f ca="1">'IS(M)'!EP99</f>
        <v>0</v>
      </c>
      <c r="EP54" s="171">
        <f ca="1">'IS(M)'!EQ99</f>
        <v>0</v>
      </c>
      <c r="EQ54" s="171">
        <f ca="1">'IS(M)'!ER99</f>
        <v>0</v>
      </c>
    </row>
    <row r="55" spans="2:147" ht="11.25" customHeight="1">
      <c r="B55" s="244"/>
      <c r="C55" s="178"/>
      <c r="D55" s="179" t="s">
        <v>211</v>
      </c>
      <c r="E55" s="180"/>
      <c r="F55" s="180"/>
      <c r="G55" s="1095"/>
      <c r="H55" s="181"/>
      <c r="I55" s="1096"/>
      <c r="J55" s="184">
        <f t="shared" si="92"/>
        <v>0</v>
      </c>
      <c r="K55" s="98"/>
      <c r="L55" s="184">
        <f>'IS(M)'!M109</f>
        <v>0</v>
      </c>
      <c r="M55" s="184">
        <f>'IS(M)'!N109</f>
        <v>0</v>
      </c>
      <c r="N55" s="184">
        <f>'IS(M)'!O109</f>
        <v>0</v>
      </c>
      <c r="O55" s="184">
        <f>'IS(M)'!P109</f>
        <v>0</v>
      </c>
      <c r="P55" s="184">
        <f>'IS(M)'!Q109</f>
        <v>0</v>
      </c>
      <c r="Q55" s="184">
        <f>'IS(M)'!R109</f>
        <v>0</v>
      </c>
      <c r="R55" s="184">
        <f>'IS(M)'!S109</f>
        <v>0</v>
      </c>
      <c r="S55" s="184">
        <f>'IS(M)'!T109</f>
        <v>0</v>
      </c>
      <c r="T55" s="184">
        <f>'IS(M)'!U109</f>
        <v>0</v>
      </c>
      <c r="U55" s="184">
        <f>'IS(M)'!V109</f>
        <v>0</v>
      </c>
      <c r="V55" s="184">
        <f>'IS(M)'!W109</f>
        <v>0</v>
      </c>
      <c r="W55" s="184">
        <f>'IS(M)'!X109</f>
        <v>0</v>
      </c>
      <c r="X55" s="184">
        <f>'IS(M)'!Y109</f>
        <v>0</v>
      </c>
      <c r="Y55" s="184">
        <f>'IS(M)'!Z109</f>
        <v>0</v>
      </c>
      <c r="Z55" s="184">
        <f>'IS(M)'!AA109</f>
        <v>0</v>
      </c>
      <c r="AA55" s="184">
        <f>'IS(M)'!AB109</f>
        <v>0</v>
      </c>
      <c r="AB55" s="184">
        <f>'IS(M)'!AC109</f>
        <v>0</v>
      </c>
      <c r="AC55" s="184">
        <f>'IS(M)'!AD109</f>
        <v>0</v>
      </c>
      <c r="AD55" s="184">
        <f>'IS(M)'!AE109</f>
        <v>0</v>
      </c>
      <c r="AE55" s="184">
        <f>'IS(M)'!AF109</f>
        <v>0</v>
      </c>
      <c r="AF55" s="184">
        <f>'IS(M)'!AG109</f>
        <v>0</v>
      </c>
      <c r="AG55" s="184">
        <f>'IS(M)'!AH109</f>
        <v>0</v>
      </c>
      <c r="AH55" s="184">
        <f>'IS(M)'!AI109</f>
        <v>0</v>
      </c>
      <c r="AI55" s="184">
        <f>'IS(M)'!AJ109</f>
        <v>0</v>
      </c>
      <c r="AJ55" s="184">
        <f>'IS(M)'!AK109</f>
        <v>0</v>
      </c>
      <c r="AK55" s="184">
        <f>'IS(M)'!AL109</f>
        <v>0</v>
      </c>
      <c r="AL55" s="184">
        <f>'IS(M)'!AM109</f>
        <v>0</v>
      </c>
      <c r="AM55" s="184">
        <f>'IS(M)'!AN109</f>
        <v>0</v>
      </c>
      <c r="AN55" s="184">
        <f>'IS(M)'!AO109</f>
        <v>0</v>
      </c>
      <c r="AO55" s="184">
        <f>'IS(M)'!AP109</f>
        <v>0</v>
      </c>
      <c r="AP55" s="184">
        <f>'IS(M)'!AQ109</f>
        <v>0</v>
      </c>
      <c r="AQ55" s="184">
        <f>'IS(M)'!AR109</f>
        <v>0</v>
      </c>
      <c r="AR55" s="184">
        <f>'IS(M)'!AS109</f>
        <v>0</v>
      </c>
      <c r="AS55" s="184">
        <f>'IS(M)'!AT109</f>
        <v>0</v>
      </c>
      <c r="AT55" s="184">
        <f>'IS(M)'!AU109</f>
        <v>0</v>
      </c>
      <c r="AU55" s="184">
        <f>'IS(M)'!AV109</f>
        <v>0</v>
      </c>
      <c r="AV55" s="184">
        <f>'IS(M)'!AW109</f>
        <v>0</v>
      </c>
      <c r="AW55" s="184">
        <f>'IS(M)'!AX109</f>
        <v>0</v>
      </c>
      <c r="AX55" s="184">
        <f>'IS(M)'!AY109</f>
        <v>0</v>
      </c>
      <c r="AY55" s="184">
        <f>'IS(M)'!AZ109</f>
        <v>0</v>
      </c>
      <c r="AZ55" s="184">
        <f>'IS(M)'!BA109</f>
        <v>0</v>
      </c>
      <c r="BA55" s="184">
        <f>'IS(M)'!BB109</f>
        <v>0</v>
      </c>
      <c r="BB55" s="184">
        <f>'IS(M)'!BC109</f>
        <v>0</v>
      </c>
      <c r="BC55" s="184">
        <f>'IS(M)'!BD109</f>
        <v>0</v>
      </c>
      <c r="BD55" s="184">
        <f>'IS(M)'!BE109</f>
        <v>0</v>
      </c>
      <c r="BE55" s="184">
        <f>'IS(M)'!BF109</f>
        <v>0</v>
      </c>
      <c r="BF55" s="184">
        <f>'IS(M)'!BG109</f>
        <v>0</v>
      </c>
      <c r="BG55" s="184">
        <f>'IS(M)'!BH109</f>
        <v>0</v>
      </c>
      <c r="BH55" s="184">
        <f>'IS(M)'!BI109</f>
        <v>0</v>
      </c>
      <c r="BI55" s="184">
        <f>'IS(M)'!BJ109</f>
        <v>0</v>
      </c>
      <c r="BJ55" s="184">
        <f>'IS(M)'!BK109</f>
        <v>0</v>
      </c>
      <c r="BK55" s="184">
        <f>'IS(M)'!BL109</f>
        <v>0</v>
      </c>
      <c r="BL55" s="184">
        <f>'IS(M)'!BM109</f>
        <v>0</v>
      </c>
      <c r="BM55" s="184">
        <f>'IS(M)'!BN109</f>
        <v>0</v>
      </c>
      <c r="BN55" s="184">
        <f>'IS(M)'!BO109</f>
        <v>0</v>
      </c>
      <c r="BO55" s="184">
        <f>'IS(M)'!BP109</f>
        <v>0</v>
      </c>
      <c r="BP55" s="184">
        <f>'IS(M)'!BQ109</f>
        <v>0</v>
      </c>
      <c r="BQ55" s="184">
        <f>'IS(M)'!BR109</f>
        <v>0</v>
      </c>
      <c r="BR55" s="184">
        <f>'IS(M)'!BS109</f>
        <v>0</v>
      </c>
      <c r="BS55" s="184">
        <f>'IS(M)'!BT109</f>
        <v>0</v>
      </c>
      <c r="BT55" s="184">
        <f>'IS(M)'!BU109</f>
        <v>0</v>
      </c>
      <c r="BU55" s="184">
        <f>'IS(M)'!BV109</f>
        <v>0</v>
      </c>
      <c r="BV55" s="184">
        <f>'IS(M)'!BW109</f>
        <v>0</v>
      </c>
      <c r="BW55" s="184">
        <f>'IS(M)'!BX109</f>
        <v>0</v>
      </c>
      <c r="BX55" s="184">
        <f>'IS(M)'!BY109</f>
        <v>0</v>
      </c>
      <c r="BY55" s="184">
        <f>'IS(M)'!BZ109</f>
        <v>0</v>
      </c>
      <c r="BZ55" s="184">
        <f>'IS(M)'!CA109</f>
        <v>0</v>
      </c>
      <c r="CA55" s="184">
        <f>'IS(M)'!CB109</f>
        <v>0</v>
      </c>
      <c r="CB55" s="184">
        <f>'IS(M)'!CC109</f>
        <v>0</v>
      </c>
      <c r="CC55" s="184">
        <f>'IS(M)'!CD109</f>
        <v>0</v>
      </c>
      <c r="CD55" s="184">
        <f>'IS(M)'!CE109</f>
        <v>0</v>
      </c>
      <c r="CE55" s="184">
        <f>'IS(M)'!CF109</f>
        <v>0</v>
      </c>
      <c r="CF55" s="184">
        <f>'IS(M)'!CG109</f>
        <v>0</v>
      </c>
      <c r="CG55" s="184">
        <f>'IS(M)'!CH109</f>
        <v>0</v>
      </c>
      <c r="CH55" s="184">
        <f>'IS(M)'!CI109</f>
        <v>0</v>
      </c>
      <c r="CI55" s="184">
        <f>'IS(M)'!CJ109</f>
        <v>0</v>
      </c>
      <c r="CJ55" s="184">
        <f>'IS(M)'!CK109</f>
        <v>0</v>
      </c>
      <c r="CK55" s="184">
        <f>'IS(M)'!CL109</f>
        <v>0</v>
      </c>
      <c r="CL55" s="184">
        <f>'IS(M)'!CM109</f>
        <v>0</v>
      </c>
      <c r="CM55" s="184">
        <f>'IS(M)'!CN109</f>
        <v>0</v>
      </c>
      <c r="CN55" s="184">
        <f>'IS(M)'!CO109</f>
        <v>0</v>
      </c>
      <c r="CO55" s="184">
        <f>'IS(M)'!CP109</f>
        <v>0</v>
      </c>
      <c r="CP55" s="184">
        <f>'IS(M)'!CQ109</f>
        <v>0</v>
      </c>
      <c r="CQ55" s="184">
        <f>'IS(M)'!CR109</f>
        <v>0</v>
      </c>
      <c r="CR55" s="184">
        <f>'IS(M)'!CS109</f>
        <v>0</v>
      </c>
      <c r="CS55" s="184">
        <f>'IS(M)'!CT109</f>
        <v>0</v>
      </c>
      <c r="CT55" s="184">
        <f>'IS(M)'!CU109</f>
        <v>0</v>
      </c>
      <c r="CU55" s="184">
        <f>'IS(M)'!CV109</f>
        <v>0</v>
      </c>
      <c r="CV55" s="184">
        <f>'IS(M)'!CW109</f>
        <v>0</v>
      </c>
      <c r="CW55" s="184">
        <f>'IS(M)'!CX109</f>
        <v>0</v>
      </c>
      <c r="CX55" s="184">
        <f>'IS(M)'!CY109</f>
        <v>0</v>
      </c>
      <c r="CY55" s="184">
        <f>'IS(M)'!CZ109</f>
        <v>0</v>
      </c>
      <c r="CZ55" s="184">
        <f>'IS(M)'!DA109</f>
        <v>0</v>
      </c>
      <c r="DA55" s="184">
        <f>'IS(M)'!DB109</f>
        <v>0</v>
      </c>
      <c r="DB55" s="184">
        <f>'IS(M)'!DC109</f>
        <v>0</v>
      </c>
      <c r="DC55" s="184">
        <f>'IS(M)'!DD109</f>
        <v>0</v>
      </c>
      <c r="DD55" s="184">
        <f>'IS(M)'!DE109</f>
        <v>0</v>
      </c>
      <c r="DE55" s="184">
        <f>'IS(M)'!DF109</f>
        <v>0</v>
      </c>
      <c r="DF55" s="184">
        <f>'IS(M)'!DG109</f>
        <v>0</v>
      </c>
      <c r="DG55" s="184">
        <f>'IS(M)'!DH109</f>
        <v>0</v>
      </c>
      <c r="DH55" s="184">
        <f>'IS(M)'!DI109</f>
        <v>0</v>
      </c>
      <c r="DI55" s="184">
        <f>'IS(M)'!DJ109</f>
        <v>0</v>
      </c>
      <c r="DJ55" s="184">
        <f>'IS(M)'!DK109</f>
        <v>0</v>
      </c>
      <c r="DK55" s="184">
        <f>'IS(M)'!DL109</f>
        <v>0</v>
      </c>
      <c r="DL55" s="184">
        <f>'IS(M)'!DM109</f>
        <v>0</v>
      </c>
      <c r="DM55" s="184">
        <f>'IS(M)'!DN109</f>
        <v>0</v>
      </c>
      <c r="DN55" s="184">
        <f>'IS(M)'!DO109</f>
        <v>0</v>
      </c>
      <c r="DO55" s="184">
        <f>'IS(M)'!DP109</f>
        <v>0</v>
      </c>
      <c r="DP55" s="184">
        <f>'IS(M)'!DQ109</f>
        <v>0</v>
      </c>
      <c r="DQ55" s="184">
        <f>'IS(M)'!DR109</f>
        <v>0</v>
      </c>
      <c r="DR55" s="184">
        <f>'IS(M)'!DS109</f>
        <v>0</v>
      </c>
      <c r="DS55" s="184">
        <f>'IS(M)'!DT109</f>
        <v>0</v>
      </c>
      <c r="DT55" s="184">
        <f>'IS(M)'!DU109</f>
        <v>0</v>
      </c>
      <c r="DU55" s="184">
        <f>'IS(M)'!DV109</f>
        <v>0</v>
      </c>
      <c r="DV55" s="184">
        <f>'IS(M)'!DW109</f>
        <v>0</v>
      </c>
      <c r="DW55" s="184">
        <f>'IS(M)'!DX109</f>
        <v>0</v>
      </c>
      <c r="DX55" s="184">
        <f>'IS(M)'!DY109</f>
        <v>0</v>
      </c>
      <c r="DY55" s="184">
        <f>'IS(M)'!DZ109</f>
        <v>0</v>
      </c>
      <c r="DZ55" s="184">
        <f>'IS(M)'!EA109</f>
        <v>0</v>
      </c>
      <c r="EA55" s="184">
        <f>'IS(M)'!EB109</f>
        <v>0</v>
      </c>
      <c r="EB55" s="184">
        <f>'IS(M)'!EC109</f>
        <v>0</v>
      </c>
      <c r="EC55" s="184">
        <f>'IS(M)'!ED109</f>
        <v>0</v>
      </c>
      <c r="ED55" s="184">
        <f>'IS(M)'!EE109</f>
        <v>0</v>
      </c>
      <c r="EE55" s="184">
        <f>'IS(M)'!EF109</f>
        <v>0</v>
      </c>
      <c r="EF55" s="184">
        <f>'IS(M)'!EG109</f>
        <v>0</v>
      </c>
      <c r="EG55" s="184">
        <f>'IS(M)'!EH109</f>
        <v>0</v>
      </c>
      <c r="EH55" s="184">
        <f>'IS(M)'!EI109</f>
        <v>0</v>
      </c>
      <c r="EI55" s="184">
        <f>'IS(M)'!EJ109</f>
        <v>0</v>
      </c>
      <c r="EJ55" s="184">
        <f>'IS(M)'!EK109</f>
        <v>0</v>
      </c>
      <c r="EK55" s="184">
        <f>'IS(M)'!EL109</f>
        <v>0</v>
      </c>
      <c r="EL55" s="184">
        <f>'IS(M)'!EM109</f>
        <v>0</v>
      </c>
      <c r="EM55" s="184">
        <f>'IS(M)'!EN109</f>
        <v>0</v>
      </c>
      <c r="EN55" s="184">
        <f>'IS(M)'!EO109</f>
        <v>0</v>
      </c>
      <c r="EO55" s="184">
        <f>'IS(M)'!EP109</f>
        <v>0</v>
      </c>
      <c r="EP55" s="184">
        <f>'IS(M)'!EQ109</f>
        <v>0</v>
      </c>
      <c r="EQ55" s="184">
        <f>'IS(M)'!ER109</f>
        <v>0</v>
      </c>
    </row>
    <row r="56" spans="2:147" ht="11.25" customHeight="1">
      <c r="B56" s="218"/>
      <c r="C56" s="163"/>
      <c r="D56" s="885" t="s">
        <v>629</v>
      </c>
      <c r="E56" s="886"/>
      <c r="F56" s="886"/>
      <c r="G56" s="1026"/>
      <c r="H56" s="1027"/>
      <c r="I56" s="1023">
        <f ca="1">IFERROR((IRR($L56:$EQ56,0.01)+1)^12-1,)</f>
        <v>0</v>
      </c>
      <c r="J56" s="888">
        <f t="shared" ca="1" si="92"/>
        <v>0</v>
      </c>
      <c r="K56" s="98"/>
      <c r="L56" s="888">
        <f ca="1">SUM(L51:L54)</f>
        <v>0</v>
      </c>
      <c r="M56" s="888">
        <f t="shared" ref="M56:BX56" ca="1" si="93">SUM(M51:M54)</f>
        <v>0</v>
      </c>
      <c r="N56" s="888">
        <f t="shared" ca="1" si="93"/>
        <v>0</v>
      </c>
      <c r="O56" s="888">
        <f t="shared" ca="1" si="93"/>
        <v>0</v>
      </c>
      <c r="P56" s="888">
        <f t="shared" ca="1" si="93"/>
        <v>0</v>
      </c>
      <c r="Q56" s="888">
        <f t="shared" ca="1" si="93"/>
        <v>0</v>
      </c>
      <c r="R56" s="888">
        <f t="shared" ca="1" si="93"/>
        <v>0</v>
      </c>
      <c r="S56" s="888">
        <f t="shared" ca="1" si="93"/>
        <v>0</v>
      </c>
      <c r="T56" s="888">
        <f t="shared" ca="1" si="93"/>
        <v>0</v>
      </c>
      <c r="U56" s="888">
        <f t="shared" ca="1" si="93"/>
        <v>0</v>
      </c>
      <c r="V56" s="888">
        <f t="shared" ca="1" si="93"/>
        <v>0</v>
      </c>
      <c r="W56" s="888">
        <f t="shared" ca="1" si="93"/>
        <v>0</v>
      </c>
      <c r="X56" s="888">
        <f t="shared" ca="1" si="93"/>
        <v>0</v>
      </c>
      <c r="Y56" s="888">
        <f t="shared" ca="1" si="93"/>
        <v>0</v>
      </c>
      <c r="Z56" s="888">
        <f t="shared" ca="1" si="93"/>
        <v>0</v>
      </c>
      <c r="AA56" s="888">
        <f t="shared" ca="1" si="93"/>
        <v>0</v>
      </c>
      <c r="AB56" s="888">
        <f t="shared" ca="1" si="93"/>
        <v>0</v>
      </c>
      <c r="AC56" s="888">
        <f t="shared" ca="1" si="93"/>
        <v>0</v>
      </c>
      <c r="AD56" s="888">
        <f t="shared" ca="1" si="93"/>
        <v>0</v>
      </c>
      <c r="AE56" s="888">
        <f t="shared" ca="1" si="93"/>
        <v>0</v>
      </c>
      <c r="AF56" s="888">
        <f t="shared" ca="1" si="93"/>
        <v>0</v>
      </c>
      <c r="AG56" s="888">
        <f t="shared" ca="1" si="93"/>
        <v>0</v>
      </c>
      <c r="AH56" s="888">
        <f t="shared" ca="1" si="93"/>
        <v>0</v>
      </c>
      <c r="AI56" s="888">
        <f t="shared" ca="1" si="93"/>
        <v>0</v>
      </c>
      <c r="AJ56" s="888">
        <f t="shared" ca="1" si="93"/>
        <v>0</v>
      </c>
      <c r="AK56" s="888">
        <f t="shared" ca="1" si="93"/>
        <v>0</v>
      </c>
      <c r="AL56" s="888">
        <f t="shared" ca="1" si="93"/>
        <v>0</v>
      </c>
      <c r="AM56" s="888">
        <f t="shared" ca="1" si="93"/>
        <v>0</v>
      </c>
      <c r="AN56" s="888">
        <f t="shared" ca="1" si="93"/>
        <v>0</v>
      </c>
      <c r="AO56" s="888">
        <f t="shared" ca="1" si="93"/>
        <v>0</v>
      </c>
      <c r="AP56" s="888">
        <f t="shared" ca="1" si="93"/>
        <v>0</v>
      </c>
      <c r="AQ56" s="888">
        <f t="shared" ca="1" si="93"/>
        <v>0</v>
      </c>
      <c r="AR56" s="888">
        <f t="shared" ca="1" si="93"/>
        <v>0</v>
      </c>
      <c r="AS56" s="888">
        <f t="shared" ca="1" si="93"/>
        <v>0</v>
      </c>
      <c r="AT56" s="888">
        <f t="shared" ca="1" si="93"/>
        <v>0</v>
      </c>
      <c r="AU56" s="888">
        <f t="shared" ca="1" si="93"/>
        <v>0</v>
      </c>
      <c r="AV56" s="888">
        <f t="shared" ca="1" si="93"/>
        <v>0</v>
      </c>
      <c r="AW56" s="888">
        <f t="shared" ca="1" si="93"/>
        <v>0</v>
      </c>
      <c r="AX56" s="888">
        <f t="shared" ca="1" si="93"/>
        <v>0</v>
      </c>
      <c r="AY56" s="888">
        <f t="shared" ca="1" si="93"/>
        <v>0</v>
      </c>
      <c r="AZ56" s="888">
        <f t="shared" ca="1" si="93"/>
        <v>0</v>
      </c>
      <c r="BA56" s="888">
        <f t="shared" ca="1" si="93"/>
        <v>0</v>
      </c>
      <c r="BB56" s="888">
        <f t="shared" ca="1" si="93"/>
        <v>0</v>
      </c>
      <c r="BC56" s="888">
        <f t="shared" ca="1" si="93"/>
        <v>0</v>
      </c>
      <c r="BD56" s="888">
        <f t="shared" ca="1" si="93"/>
        <v>0</v>
      </c>
      <c r="BE56" s="888">
        <f t="shared" ca="1" si="93"/>
        <v>0</v>
      </c>
      <c r="BF56" s="888">
        <f t="shared" ca="1" si="93"/>
        <v>0</v>
      </c>
      <c r="BG56" s="888">
        <f t="shared" ca="1" si="93"/>
        <v>0</v>
      </c>
      <c r="BH56" s="888">
        <f t="shared" ca="1" si="93"/>
        <v>0</v>
      </c>
      <c r="BI56" s="888">
        <f t="shared" ca="1" si="93"/>
        <v>0</v>
      </c>
      <c r="BJ56" s="888">
        <f t="shared" ca="1" si="93"/>
        <v>0</v>
      </c>
      <c r="BK56" s="888">
        <f t="shared" ca="1" si="93"/>
        <v>0</v>
      </c>
      <c r="BL56" s="888">
        <f t="shared" ca="1" si="93"/>
        <v>0</v>
      </c>
      <c r="BM56" s="888">
        <f t="shared" ca="1" si="93"/>
        <v>0</v>
      </c>
      <c r="BN56" s="888">
        <f t="shared" ca="1" si="93"/>
        <v>0</v>
      </c>
      <c r="BO56" s="888">
        <f t="shared" ca="1" si="93"/>
        <v>0</v>
      </c>
      <c r="BP56" s="888">
        <f t="shared" ca="1" si="93"/>
        <v>0</v>
      </c>
      <c r="BQ56" s="888">
        <f t="shared" ca="1" si="93"/>
        <v>0</v>
      </c>
      <c r="BR56" s="888">
        <f t="shared" ca="1" si="93"/>
        <v>0</v>
      </c>
      <c r="BS56" s="888">
        <f t="shared" ca="1" si="93"/>
        <v>0</v>
      </c>
      <c r="BT56" s="888">
        <f t="shared" ca="1" si="93"/>
        <v>0</v>
      </c>
      <c r="BU56" s="888">
        <f t="shared" ca="1" si="93"/>
        <v>0</v>
      </c>
      <c r="BV56" s="888">
        <f t="shared" ca="1" si="93"/>
        <v>0</v>
      </c>
      <c r="BW56" s="888">
        <f t="shared" ca="1" si="93"/>
        <v>0</v>
      </c>
      <c r="BX56" s="888">
        <f t="shared" ca="1" si="93"/>
        <v>0</v>
      </c>
      <c r="BY56" s="888">
        <f t="shared" ref="BY56:DS56" ca="1" si="94">SUM(BY51:BY54)</f>
        <v>0</v>
      </c>
      <c r="BZ56" s="888">
        <f t="shared" ca="1" si="94"/>
        <v>0</v>
      </c>
      <c r="CA56" s="888">
        <f t="shared" ca="1" si="94"/>
        <v>0</v>
      </c>
      <c r="CB56" s="888">
        <f t="shared" ca="1" si="94"/>
        <v>0</v>
      </c>
      <c r="CC56" s="888">
        <f t="shared" ca="1" si="94"/>
        <v>0</v>
      </c>
      <c r="CD56" s="888">
        <f t="shared" ca="1" si="94"/>
        <v>0</v>
      </c>
      <c r="CE56" s="888">
        <f t="shared" ca="1" si="94"/>
        <v>0</v>
      </c>
      <c r="CF56" s="888">
        <f t="shared" ca="1" si="94"/>
        <v>0</v>
      </c>
      <c r="CG56" s="888">
        <f t="shared" ca="1" si="94"/>
        <v>0</v>
      </c>
      <c r="CH56" s="888">
        <f t="shared" ca="1" si="94"/>
        <v>0</v>
      </c>
      <c r="CI56" s="888">
        <f t="shared" ca="1" si="94"/>
        <v>0</v>
      </c>
      <c r="CJ56" s="888">
        <f t="shared" ca="1" si="94"/>
        <v>0</v>
      </c>
      <c r="CK56" s="888">
        <f t="shared" ca="1" si="94"/>
        <v>0</v>
      </c>
      <c r="CL56" s="888">
        <f t="shared" ca="1" si="94"/>
        <v>0</v>
      </c>
      <c r="CM56" s="888">
        <f t="shared" ca="1" si="94"/>
        <v>0</v>
      </c>
      <c r="CN56" s="888">
        <f t="shared" ca="1" si="94"/>
        <v>0</v>
      </c>
      <c r="CO56" s="888">
        <f t="shared" ca="1" si="94"/>
        <v>0</v>
      </c>
      <c r="CP56" s="888">
        <f t="shared" ca="1" si="94"/>
        <v>0</v>
      </c>
      <c r="CQ56" s="888">
        <f t="shared" ca="1" si="94"/>
        <v>0</v>
      </c>
      <c r="CR56" s="888">
        <f t="shared" ca="1" si="94"/>
        <v>0</v>
      </c>
      <c r="CS56" s="888">
        <f t="shared" ca="1" si="94"/>
        <v>0</v>
      </c>
      <c r="CT56" s="888">
        <f t="shared" ca="1" si="94"/>
        <v>0</v>
      </c>
      <c r="CU56" s="888">
        <f t="shared" ca="1" si="94"/>
        <v>0</v>
      </c>
      <c r="CV56" s="888">
        <f t="shared" ca="1" si="94"/>
        <v>0</v>
      </c>
      <c r="CW56" s="888">
        <f t="shared" ca="1" si="94"/>
        <v>0</v>
      </c>
      <c r="CX56" s="888">
        <f t="shared" ca="1" si="94"/>
        <v>0</v>
      </c>
      <c r="CY56" s="888">
        <f t="shared" ca="1" si="94"/>
        <v>0</v>
      </c>
      <c r="CZ56" s="888">
        <f t="shared" ca="1" si="94"/>
        <v>0</v>
      </c>
      <c r="DA56" s="888">
        <f t="shared" ca="1" si="94"/>
        <v>0</v>
      </c>
      <c r="DB56" s="888">
        <f t="shared" ca="1" si="94"/>
        <v>0</v>
      </c>
      <c r="DC56" s="888">
        <f t="shared" ca="1" si="94"/>
        <v>0</v>
      </c>
      <c r="DD56" s="888">
        <f t="shared" ca="1" si="94"/>
        <v>0</v>
      </c>
      <c r="DE56" s="888">
        <f t="shared" ca="1" si="94"/>
        <v>0</v>
      </c>
      <c r="DF56" s="888">
        <f t="shared" ca="1" si="94"/>
        <v>0</v>
      </c>
      <c r="DG56" s="888">
        <f t="shared" ca="1" si="94"/>
        <v>0</v>
      </c>
      <c r="DH56" s="888">
        <f t="shared" ca="1" si="94"/>
        <v>0</v>
      </c>
      <c r="DI56" s="888">
        <f t="shared" ca="1" si="94"/>
        <v>0</v>
      </c>
      <c r="DJ56" s="888">
        <f t="shared" ca="1" si="94"/>
        <v>0</v>
      </c>
      <c r="DK56" s="888">
        <f t="shared" ca="1" si="94"/>
        <v>0</v>
      </c>
      <c r="DL56" s="888">
        <f t="shared" ca="1" si="94"/>
        <v>0</v>
      </c>
      <c r="DM56" s="888">
        <f t="shared" ca="1" si="94"/>
        <v>0</v>
      </c>
      <c r="DN56" s="888">
        <f t="shared" ca="1" si="94"/>
        <v>0</v>
      </c>
      <c r="DO56" s="888">
        <f t="shared" ca="1" si="94"/>
        <v>0</v>
      </c>
      <c r="DP56" s="888">
        <f t="shared" ca="1" si="94"/>
        <v>0</v>
      </c>
      <c r="DQ56" s="888">
        <f t="shared" ca="1" si="94"/>
        <v>0</v>
      </c>
      <c r="DR56" s="888">
        <f t="shared" ca="1" si="94"/>
        <v>0</v>
      </c>
      <c r="DS56" s="888">
        <f t="shared" ca="1" si="94"/>
        <v>0</v>
      </c>
      <c r="DT56" s="888">
        <f t="shared" ref="DT56:EM56" ca="1" si="95">SUM(DT51:DT54)</f>
        <v>0</v>
      </c>
      <c r="DU56" s="888">
        <f t="shared" ca="1" si="95"/>
        <v>0</v>
      </c>
      <c r="DV56" s="888">
        <f t="shared" ca="1" si="95"/>
        <v>0</v>
      </c>
      <c r="DW56" s="888">
        <f t="shared" ca="1" si="95"/>
        <v>0</v>
      </c>
      <c r="DX56" s="888">
        <f t="shared" ca="1" si="95"/>
        <v>0</v>
      </c>
      <c r="DY56" s="888">
        <f t="shared" ca="1" si="95"/>
        <v>0</v>
      </c>
      <c r="DZ56" s="888">
        <f t="shared" ca="1" si="95"/>
        <v>0</v>
      </c>
      <c r="EA56" s="888">
        <f t="shared" ca="1" si="95"/>
        <v>0</v>
      </c>
      <c r="EB56" s="888">
        <f t="shared" ca="1" si="95"/>
        <v>0</v>
      </c>
      <c r="EC56" s="888">
        <f t="shared" ca="1" si="95"/>
        <v>0</v>
      </c>
      <c r="ED56" s="888">
        <f t="shared" ca="1" si="95"/>
        <v>0</v>
      </c>
      <c r="EE56" s="888">
        <f t="shared" ca="1" si="95"/>
        <v>0</v>
      </c>
      <c r="EF56" s="888">
        <f t="shared" ca="1" si="95"/>
        <v>0</v>
      </c>
      <c r="EG56" s="888">
        <f t="shared" ca="1" si="95"/>
        <v>0</v>
      </c>
      <c r="EH56" s="888">
        <f t="shared" ca="1" si="95"/>
        <v>0</v>
      </c>
      <c r="EI56" s="888">
        <f t="shared" ca="1" si="95"/>
        <v>0</v>
      </c>
      <c r="EJ56" s="888">
        <f t="shared" ca="1" si="95"/>
        <v>0</v>
      </c>
      <c r="EK56" s="888">
        <f t="shared" ca="1" si="95"/>
        <v>0</v>
      </c>
      <c r="EL56" s="888">
        <f t="shared" ca="1" si="95"/>
        <v>0</v>
      </c>
      <c r="EM56" s="888">
        <f t="shared" ca="1" si="95"/>
        <v>0</v>
      </c>
      <c r="EN56" s="888">
        <f ca="1">SUM(EN51:EN54)</f>
        <v>0</v>
      </c>
      <c r="EO56" s="888">
        <f ca="1">SUM(EO51:EO54)</f>
        <v>0</v>
      </c>
      <c r="EP56" s="888">
        <f ca="1">SUM(EP51:EP54)</f>
        <v>0</v>
      </c>
      <c r="EQ56" s="888">
        <f ca="1">SUM(EQ51:EQ54)</f>
        <v>0</v>
      </c>
    </row>
    <row r="57" spans="2:147" ht="11.25" customHeight="1">
      <c r="B57" s="244"/>
      <c r="C57" s="178"/>
      <c r="D57" s="179" t="s">
        <v>630</v>
      </c>
      <c r="E57" s="180"/>
      <c r="F57" s="180"/>
      <c r="G57" s="1028"/>
      <c r="H57" s="1029"/>
      <c r="I57" s="1024">
        <f ca="1">IFERROR((IRR($L57:$EQ57,0.01)+1)^12-1,)</f>
        <v>0</v>
      </c>
      <c r="J57" s="184">
        <f t="shared" ca="1" si="92"/>
        <v>0</v>
      </c>
      <c r="K57" s="98"/>
      <c r="L57" s="184">
        <f ca="1">SUM(L51:L55)</f>
        <v>0</v>
      </c>
      <c r="M57" s="184">
        <f t="shared" ref="M57:BX57" ca="1" si="96">SUM(M51:M55)</f>
        <v>0</v>
      </c>
      <c r="N57" s="184">
        <f t="shared" ca="1" si="96"/>
        <v>0</v>
      </c>
      <c r="O57" s="184">
        <f t="shared" ca="1" si="96"/>
        <v>0</v>
      </c>
      <c r="P57" s="184">
        <f t="shared" ca="1" si="96"/>
        <v>0</v>
      </c>
      <c r="Q57" s="184">
        <f t="shared" ca="1" si="96"/>
        <v>0</v>
      </c>
      <c r="R57" s="184">
        <f t="shared" ca="1" si="96"/>
        <v>0</v>
      </c>
      <c r="S57" s="184">
        <f t="shared" ca="1" si="96"/>
        <v>0</v>
      </c>
      <c r="T57" s="184">
        <f t="shared" ca="1" si="96"/>
        <v>0</v>
      </c>
      <c r="U57" s="184">
        <f t="shared" ca="1" si="96"/>
        <v>0</v>
      </c>
      <c r="V57" s="184">
        <f t="shared" ca="1" si="96"/>
        <v>0</v>
      </c>
      <c r="W57" s="184">
        <f t="shared" ca="1" si="96"/>
        <v>0</v>
      </c>
      <c r="X57" s="184">
        <f t="shared" ca="1" si="96"/>
        <v>0</v>
      </c>
      <c r="Y57" s="184">
        <f t="shared" ca="1" si="96"/>
        <v>0</v>
      </c>
      <c r="Z57" s="184">
        <f t="shared" ca="1" si="96"/>
        <v>0</v>
      </c>
      <c r="AA57" s="184">
        <f t="shared" ca="1" si="96"/>
        <v>0</v>
      </c>
      <c r="AB57" s="184">
        <f t="shared" ca="1" si="96"/>
        <v>0</v>
      </c>
      <c r="AC57" s="184">
        <f t="shared" ca="1" si="96"/>
        <v>0</v>
      </c>
      <c r="AD57" s="184">
        <f t="shared" ca="1" si="96"/>
        <v>0</v>
      </c>
      <c r="AE57" s="184">
        <f t="shared" ca="1" si="96"/>
        <v>0</v>
      </c>
      <c r="AF57" s="184">
        <f t="shared" ca="1" si="96"/>
        <v>0</v>
      </c>
      <c r="AG57" s="184">
        <f t="shared" ca="1" si="96"/>
        <v>0</v>
      </c>
      <c r="AH57" s="184">
        <f t="shared" ca="1" si="96"/>
        <v>0</v>
      </c>
      <c r="AI57" s="184">
        <f t="shared" ca="1" si="96"/>
        <v>0</v>
      </c>
      <c r="AJ57" s="184">
        <f t="shared" ca="1" si="96"/>
        <v>0</v>
      </c>
      <c r="AK57" s="184">
        <f t="shared" ca="1" si="96"/>
        <v>0</v>
      </c>
      <c r="AL57" s="184">
        <f t="shared" ca="1" si="96"/>
        <v>0</v>
      </c>
      <c r="AM57" s="184">
        <f t="shared" ca="1" si="96"/>
        <v>0</v>
      </c>
      <c r="AN57" s="184">
        <f t="shared" ca="1" si="96"/>
        <v>0</v>
      </c>
      <c r="AO57" s="184">
        <f t="shared" ca="1" si="96"/>
        <v>0</v>
      </c>
      <c r="AP57" s="184">
        <f t="shared" ca="1" si="96"/>
        <v>0</v>
      </c>
      <c r="AQ57" s="184">
        <f t="shared" ca="1" si="96"/>
        <v>0</v>
      </c>
      <c r="AR57" s="184">
        <f t="shared" ca="1" si="96"/>
        <v>0</v>
      </c>
      <c r="AS57" s="184">
        <f t="shared" ca="1" si="96"/>
        <v>0</v>
      </c>
      <c r="AT57" s="184">
        <f t="shared" ca="1" si="96"/>
        <v>0</v>
      </c>
      <c r="AU57" s="184">
        <f t="shared" ca="1" si="96"/>
        <v>0</v>
      </c>
      <c r="AV57" s="184">
        <f t="shared" ca="1" si="96"/>
        <v>0</v>
      </c>
      <c r="AW57" s="184">
        <f t="shared" ca="1" si="96"/>
        <v>0</v>
      </c>
      <c r="AX57" s="184">
        <f t="shared" ca="1" si="96"/>
        <v>0</v>
      </c>
      <c r="AY57" s="184">
        <f t="shared" ca="1" si="96"/>
        <v>0</v>
      </c>
      <c r="AZ57" s="184">
        <f t="shared" ca="1" si="96"/>
        <v>0</v>
      </c>
      <c r="BA57" s="184">
        <f t="shared" ca="1" si="96"/>
        <v>0</v>
      </c>
      <c r="BB57" s="184">
        <f t="shared" ca="1" si="96"/>
        <v>0</v>
      </c>
      <c r="BC57" s="184">
        <f t="shared" ca="1" si="96"/>
        <v>0</v>
      </c>
      <c r="BD57" s="184">
        <f t="shared" ca="1" si="96"/>
        <v>0</v>
      </c>
      <c r="BE57" s="184">
        <f t="shared" ca="1" si="96"/>
        <v>0</v>
      </c>
      <c r="BF57" s="184">
        <f t="shared" ca="1" si="96"/>
        <v>0</v>
      </c>
      <c r="BG57" s="184">
        <f t="shared" ca="1" si="96"/>
        <v>0</v>
      </c>
      <c r="BH57" s="184">
        <f t="shared" ca="1" si="96"/>
        <v>0</v>
      </c>
      <c r="BI57" s="184">
        <f t="shared" ca="1" si="96"/>
        <v>0</v>
      </c>
      <c r="BJ57" s="184">
        <f t="shared" ca="1" si="96"/>
        <v>0</v>
      </c>
      <c r="BK57" s="184">
        <f t="shared" ca="1" si="96"/>
        <v>0</v>
      </c>
      <c r="BL57" s="184">
        <f t="shared" ca="1" si="96"/>
        <v>0</v>
      </c>
      <c r="BM57" s="184">
        <f t="shared" ca="1" si="96"/>
        <v>0</v>
      </c>
      <c r="BN57" s="184">
        <f t="shared" ca="1" si="96"/>
        <v>0</v>
      </c>
      <c r="BO57" s="184">
        <f t="shared" ca="1" si="96"/>
        <v>0</v>
      </c>
      <c r="BP57" s="184">
        <f t="shared" ca="1" si="96"/>
        <v>0</v>
      </c>
      <c r="BQ57" s="184">
        <f t="shared" ca="1" si="96"/>
        <v>0</v>
      </c>
      <c r="BR57" s="184">
        <f t="shared" ca="1" si="96"/>
        <v>0</v>
      </c>
      <c r="BS57" s="184">
        <f t="shared" ca="1" si="96"/>
        <v>0</v>
      </c>
      <c r="BT57" s="184">
        <f t="shared" ca="1" si="96"/>
        <v>0</v>
      </c>
      <c r="BU57" s="184">
        <f t="shared" ca="1" si="96"/>
        <v>0</v>
      </c>
      <c r="BV57" s="184">
        <f t="shared" ca="1" si="96"/>
        <v>0</v>
      </c>
      <c r="BW57" s="184">
        <f t="shared" ca="1" si="96"/>
        <v>0</v>
      </c>
      <c r="BX57" s="184">
        <f t="shared" ca="1" si="96"/>
        <v>0</v>
      </c>
      <c r="BY57" s="184">
        <f t="shared" ref="BY57:DS57" ca="1" si="97">SUM(BY51:BY55)</f>
        <v>0</v>
      </c>
      <c r="BZ57" s="184">
        <f t="shared" ca="1" si="97"/>
        <v>0</v>
      </c>
      <c r="CA57" s="184">
        <f t="shared" ca="1" si="97"/>
        <v>0</v>
      </c>
      <c r="CB57" s="184">
        <f t="shared" ca="1" si="97"/>
        <v>0</v>
      </c>
      <c r="CC57" s="184">
        <f t="shared" ca="1" si="97"/>
        <v>0</v>
      </c>
      <c r="CD57" s="184">
        <f t="shared" ca="1" si="97"/>
        <v>0</v>
      </c>
      <c r="CE57" s="184">
        <f t="shared" ca="1" si="97"/>
        <v>0</v>
      </c>
      <c r="CF57" s="184">
        <f t="shared" ca="1" si="97"/>
        <v>0</v>
      </c>
      <c r="CG57" s="184">
        <f t="shared" ca="1" si="97"/>
        <v>0</v>
      </c>
      <c r="CH57" s="184">
        <f t="shared" ca="1" si="97"/>
        <v>0</v>
      </c>
      <c r="CI57" s="184">
        <f t="shared" ca="1" si="97"/>
        <v>0</v>
      </c>
      <c r="CJ57" s="184">
        <f t="shared" ca="1" si="97"/>
        <v>0</v>
      </c>
      <c r="CK57" s="184">
        <f t="shared" ca="1" si="97"/>
        <v>0</v>
      </c>
      <c r="CL57" s="184">
        <f t="shared" ca="1" si="97"/>
        <v>0</v>
      </c>
      <c r="CM57" s="184">
        <f t="shared" ca="1" si="97"/>
        <v>0</v>
      </c>
      <c r="CN57" s="184">
        <f t="shared" ca="1" si="97"/>
        <v>0</v>
      </c>
      <c r="CO57" s="184">
        <f t="shared" ca="1" si="97"/>
        <v>0</v>
      </c>
      <c r="CP57" s="184">
        <f t="shared" ca="1" si="97"/>
        <v>0</v>
      </c>
      <c r="CQ57" s="184">
        <f t="shared" ca="1" si="97"/>
        <v>0</v>
      </c>
      <c r="CR57" s="184">
        <f t="shared" ca="1" si="97"/>
        <v>0</v>
      </c>
      <c r="CS57" s="184">
        <f t="shared" ca="1" si="97"/>
        <v>0</v>
      </c>
      <c r="CT57" s="184">
        <f t="shared" ca="1" si="97"/>
        <v>0</v>
      </c>
      <c r="CU57" s="184">
        <f t="shared" ca="1" si="97"/>
        <v>0</v>
      </c>
      <c r="CV57" s="184">
        <f t="shared" ca="1" si="97"/>
        <v>0</v>
      </c>
      <c r="CW57" s="184">
        <f t="shared" ca="1" si="97"/>
        <v>0</v>
      </c>
      <c r="CX57" s="184">
        <f t="shared" ca="1" si="97"/>
        <v>0</v>
      </c>
      <c r="CY57" s="184">
        <f t="shared" ca="1" si="97"/>
        <v>0</v>
      </c>
      <c r="CZ57" s="184">
        <f t="shared" ca="1" si="97"/>
        <v>0</v>
      </c>
      <c r="DA57" s="184">
        <f t="shared" ca="1" si="97"/>
        <v>0</v>
      </c>
      <c r="DB57" s="184">
        <f t="shared" ca="1" si="97"/>
        <v>0</v>
      </c>
      <c r="DC57" s="184">
        <f t="shared" ca="1" si="97"/>
        <v>0</v>
      </c>
      <c r="DD57" s="184">
        <f t="shared" ca="1" si="97"/>
        <v>0</v>
      </c>
      <c r="DE57" s="184">
        <f t="shared" ca="1" si="97"/>
        <v>0</v>
      </c>
      <c r="DF57" s="184">
        <f t="shared" ca="1" si="97"/>
        <v>0</v>
      </c>
      <c r="DG57" s="184">
        <f t="shared" ca="1" si="97"/>
        <v>0</v>
      </c>
      <c r="DH57" s="184">
        <f t="shared" ca="1" si="97"/>
        <v>0</v>
      </c>
      <c r="DI57" s="184">
        <f t="shared" ca="1" si="97"/>
        <v>0</v>
      </c>
      <c r="DJ57" s="184">
        <f t="shared" ca="1" si="97"/>
        <v>0</v>
      </c>
      <c r="DK57" s="184">
        <f t="shared" ca="1" si="97"/>
        <v>0</v>
      </c>
      <c r="DL57" s="184">
        <f t="shared" ca="1" si="97"/>
        <v>0</v>
      </c>
      <c r="DM57" s="184">
        <f t="shared" ca="1" si="97"/>
        <v>0</v>
      </c>
      <c r="DN57" s="184">
        <f t="shared" ca="1" si="97"/>
        <v>0</v>
      </c>
      <c r="DO57" s="184">
        <f t="shared" ca="1" si="97"/>
        <v>0</v>
      </c>
      <c r="DP57" s="184">
        <f t="shared" ca="1" si="97"/>
        <v>0</v>
      </c>
      <c r="DQ57" s="184">
        <f t="shared" ca="1" si="97"/>
        <v>0</v>
      </c>
      <c r="DR57" s="184">
        <f t="shared" ca="1" si="97"/>
        <v>0</v>
      </c>
      <c r="DS57" s="184">
        <f t="shared" ca="1" si="97"/>
        <v>0</v>
      </c>
      <c r="DT57" s="184">
        <f t="shared" ref="DT57:EM57" ca="1" si="98">SUM(DT51:DT55)</f>
        <v>0</v>
      </c>
      <c r="DU57" s="184">
        <f t="shared" ca="1" si="98"/>
        <v>0</v>
      </c>
      <c r="DV57" s="184">
        <f t="shared" ca="1" si="98"/>
        <v>0</v>
      </c>
      <c r="DW57" s="184">
        <f t="shared" ca="1" si="98"/>
        <v>0</v>
      </c>
      <c r="DX57" s="184">
        <f t="shared" ca="1" si="98"/>
        <v>0</v>
      </c>
      <c r="DY57" s="184">
        <f t="shared" ca="1" si="98"/>
        <v>0</v>
      </c>
      <c r="DZ57" s="184">
        <f t="shared" ca="1" si="98"/>
        <v>0</v>
      </c>
      <c r="EA57" s="184">
        <f t="shared" ca="1" si="98"/>
        <v>0</v>
      </c>
      <c r="EB57" s="184">
        <f t="shared" ca="1" si="98"/>
        <v>0</v>
      </c>
      <c r="EC57" s="184">
        <f t="shared" ca="1" si="98"/>
        <v>0</v>
      </c>
      <c r="ED57" s="184">
        <f t="shared" ca="1" si="98"/>
        <v>0</v>
      </c>
      <c r="EE57" s="184">
        <f t="shared" ca="1" si="98"/>
        <v>0</v>
      </c>
      <c r="EF57" s="184">
        <f t="shared" ca="1" si="98"/>
        <v>0</v>
      </c>
      <c r="EG57" s="184">
        <f t="shared" ca="1" si="98"/>
        <v>0</v>
      </c>
      <c r="EH57" s="184">
        <f t="shared" ca="1" si="98"/>
        <v>0</v>
      </c>
      <c r="EI57" s="184">
        <f t="shared" ca="1" si="98"/>
        <v>0</v>
      </c>
      <c r="EJ57" s="184">
        <f t="shared" ca="1" si="98"/>
        <v>0</v>
      </c>
      <c r="EK57" s="184">
        <f t="shared" ca="1" si="98"/>
        <v>0</v>
      </c>
      <c r="EL57" s="184">
        <f t="shared" ca="1" si="98"/>
        <v>0</v>
      </c>
      <c r="EM57" s="184">
        <f t="shared" ca="1" si="98"/>
        <v>0</v>
      </c>
      <c r="EN57" s="184">
        <f ca="1">SUM(EN51:EN55)</f>
        <v>0</v>
      </c>
      <c r="EO57" s="184">
        <f ca="1">SUM(EO51:EO55)</f>
        <v>0</v>
      </c>
      <c r="EP57" s="184">
        <f ca="1">SUM(EP51:EP55)</f>
        <v>0</v>
      </c>
      <c r="EQ57" s="184">
        <f ca="1">SUM(EQ51:EQ55)</f>
        <v>0</v>
      </c>
    </row>
    <row r="61" spans="2:147">
      <c r="Z61" s="154" t="s">
        <v>1121</v>
      </c>
    </row>
    <row r="62" spans="2:147">
      <c r="L62" s="1012" t="s">
        <v>595</v>
      </c>
      <c r="M62" s="259"/>
      <c r="N62" s="259"/>
      <c r="O62" s="259"/>
      <c r="P62" s="259"/>
      <c r="Q62" s="259"/>
      <c r="R62" s="259"/>
      <c r="S62" s="259"/>
      <c r="T62" s="259"/>
      <c r="U62" s="259"/>
      <c r="X62" s="883"/>
      <c r="Y62" s="13"/>
    </row>
    <row r="63" spans="2:147">
      <c r="L63" s="1012"/>
      <c r="M63" s="259"/>
      <c r="N63" s="259"/>
      <c r="O63" s="259"/>
      <c r="P63" s="259"/>
      <c r="Q63" s="259"/>
      <c r="R63" s="259"/>
      <c r="S63" s="259"/>
      <c r="T63" s="259"/>
      <c r="U63" s="259"/>
      <c r="X63" s="883"/>
      <c r="Y63" s="13"/>
    </row>
    <row r="64" spans="2:147">
      <c r="L64" s="1012"/>
      <c r="M64" s="259"/>
      <c r="N64" s="259"/>
      <c r="O64" s="259"/>
      <c r="P64" s="259"/>
      <c r="Q64" s="259"/>
      <c r="R64" s="259"/>
      <c r="S64" s="259"/>
      <c r="T64" s="259"/>
      <c r="U64" s="259"/>
      <c r="V64" s="13"/>
      <c r="W64" s="259"/>
      <c r="X64" s="259"/>
      <c r="Y64" s="259"/>
    </row>
    <row r="65" spans="12:29">
      <c r="L65" s="6" t="s">
        <v>274</v>
      </c>
      <c r="M65" s="7"/>
      <c r="N65" s="700" t="s">
        <v>1082</v>
      </c>
      <c r="O65" s="700"/>
      <c r="P65" s="700"/>
      <c r="Q65" s="700"/>
      <c r="R65" s="1815" t="s">
        <v>1083</v>
      </c>
      <c r="S65" s="1815"/>
      <c r="T65" s="1815"/>
      <c r="U65" s="1815"/>
      <c r="V65" s="942" t="s">
        <v>19</v>
      </c>
      <c r="W65" s="943"/>
      <c r="X65" s="943"/>
      <c r="Y65" s="944"/>
      <c r="Z65" s="1151" t="s">
        <v>652</v>
      </c>
      <c r="AA65" s="1152"/>
      <c r="AB65" s="1152"/>
      <c r="AC65" s="1153"/>
    </row>
    <row r="66" spans="12:29">
      <c r="L66" s="101" t="s">
        <v>24</v>
      </c>
      <c r="M66" s="18"/>
      <c r="N66" s="285" t="s">
        <v>259</v>
      </c>
      <c r="O66" s="16" t="s">
        <v>261</v>
      </c>
      <c r="P66" s="16" t="s">
        <v>262</v>
      </c>
      <c r="Q66" s="16" t="s">
        <v>263</v>
      </c>
      <c r="R66" s="285" t="s">
        <v>259</v>
      </c>
      <c r="S66" s="16" t="s">
        <v>261</v>
      </c>
      <c r="T66" s="16" t="s">
        <v>262</v>
      </c>
      <c r="U66" s="16" t="s">
        <v>263</v>
      </c>
      <c r="V66" s="945" t="s">
        <v>260</v>
      </c>
      <c r="W66" s="18" t="s">
        <v>261</v>
      </c>
      <c r="X66" s="18" t="s">
        <v>262</v>
      </c>
      <c r="Y66" s="946" t="s">
        <v>263</v>
      </c>
      <c r="Z66" s="945" t="s">
        <v>259</v>
      </c>
      <c r="AA66" s="18" t="s">
        <v>261</v>
      </c>
      <c r="AB66" s="18" t="s">
        <v>262</v>
      </c>
      <c r="AC66" s="946" t="s">
        <v>263</v>
      </c>
    </row>
    <row r="67" spans="12:29">
      <c r="L67" s="105"/>
      <c r="M67" s="267">
        <v>0</v>
      </c>
      <c r="N67" s="934">
        <f>IFERROR(SUMIF('Sell-down'!$L$10:$EQ$10,$M67,'Sell-down'!$L$21:$EQ$21)/(COUNTIF('Sell-down'!$L$10:$EQ$10,'Sell-down'!$M67)),)</f>
        <v>0</v>
      </c>
      <c r="O67" s="935">
        <f ca="1">SUMIF('Sell-down'!$L$10:$EQ$10,$M67,'Sell-down'!$L$17:$EQ$17)</f>
        <v>0</v>
      </c>
      <c r="P67" s="935">
        <f>SUMIF('Sell-down'!$L$10:$EQ$10,$M67,'Sell-down'!$L$18:$EQ$18)</f>
        <v>0</v>
      </c>
      <c r="Q67" s="930"/>
      <c r="R67" s="934">
        <f>IFERROR(SUMIF('Sell-down'!$L$10:$EQ$10,$M67,$L$32:$EQ$32)/(COUNTIF('Sell-down'!$L$10:$EQ$10,'Sell-down'!$M67)),)</f>
        <v>0</v>
      </c>
      <c r="S67" s="935">
        <f ca="1">SUMIF('Sell-down'!$L$10:$EQ$10,$M67,$L$28:$EQ$28)</f>
        <v>0</v>
      </c>
      <c r="T67" s="935">
        <f>SUMIF('Sell-down'!$L$10:$EQ$10,$M67,$L$29:$EQ$29)</f>
        <v>0</v>
      </c>
      <c r="U67" s="930"/>
      <c r="V67" s="947">
        <f>IFERROR(SUMIF('Sell-down'!$L$10:$EQ$10,$M67,'Sell-down'!$L$43:$EQ$43)/(COUNTIF('Sell-down'!$L$10:$EQ$10,'Sell-down'!$M67)),)</f>
        <v>0</v>
      </c>
      <c r="W67" s="935">
        <f ca="1">SUMIF('Sell-down'!$L$10:$EQ$10,$M67,'Sell-down'!$L$39:$EQ$39)</f>
        <v>0</v>
      </c>
      <c r="X67" s="935">
        <f>SUMIF('Sell-down'!$L$10:$EQ$10,$M67,'Sell-down'!$L$40:$EQ$40)</f>
        <v>0</v>
      </c>
      <c r="Y67" s="106"/>
      <c r="Z67" s="947">
        <f>N67+V67+R67</f>
        <v>0</v>
      </c>
      <c r="AA67" s="935">
        <f ca="1">SUM(O67,W67,S67)</f>
        <v>0</v>
      </c>
      <c r="AB67" s="935">
        <f>SUM(P67,X67,T67)</f>
        <v>0</v>
      </c>
      <c r="AC67" s="106"/>
    </row>
    <row r="68" spans="12:29">
      <c r="L68" s="870"/>
      <c r="M68" s="268">
        <f t="shared" ref="M68:M87" si="99">M67+1</f>
        <v>1</v>
      </c>
      <c r="N68" s="836">
        <f>IFERROR(SUMIF('Sell-down'!$L$10:$EQ$10,$M68,'Sell-down'!$L$21:$EQ$21)/(COUNTIF('Sell-down'!$L$10:$EQ$10,'Sell-down'!$M68)),)</f>
        <v>0</v>
      </c>
      <c r="O68" s="13">
        <f ca="1">SUMIF('Sell-down'!$L$10:$EQ$10,$M68,'Sell-down'!$L$17:$EQ$17)</f>
        <v>0</v>
      </c>
      <c r="P68" s="13">
        <f>SUMIF('Sell-down'!$L$10:$EQ$10,$M68,'Sell-down'!$L$18:$EQ$18)</f>
        <v>0</v>
      </c>
      <c r="Q68" s="1042">
        <f t="shared" ref="Q68:Q87" ca="1" si="100">IFERROR(SUM(O68:P68)/N68*(12/6),)</f>
        <v>0</v>
      </c>
      <c r="R68" s="836">
        <f>IFERROR(SUMIF('Sell-down'!$L$10:$EQ$10,$M68,$L$32:$EQ$32)/(COUNTIF('Sell-down'!$L$10:$EQ$10,'Sell-down'!$M68)),)</f>
        <v>0</v>
      </c>
      <c r="S68" s="13">
        <f ca="1">SUMIF('Sell-down'!$L$10:$EQ$10,$M68,$L$28:$EQ$28)</f>
        <v>0</v>
      </c>
      <c r="T68" s="13">
        <f>SUMIF('Sell-down'!$L$10:$EQ$10,$M68,$L$29:$EQ$29)</f>
        <v>0</v>
      </c>
      <c r="U68" s="1042">
        <f t="shared" ref="U68:U87" ca="1" si="101">IFERROR(SUM(S68:T68)/R68*(12/6),)</f>
        <v>0</v>
      </c>
      <c r="V68" s="948">
        <f>IFERROR(SUMIF('Sell-down'!$L$10:$EQ$10,$M68,'Sell-down'!$L$43:$EQ$43)/(COUNTIF('Sell-down'!$L$10:$EQ$10,'Sell-down'!$M68)),)</f>
        <v>14800000</v>
      </c>
      <c r="W68" s="13">
        <f ca="1">SUMIF('Sell-down'!$L$10:$EQ$10,$M68,'Sell-down'!$L$39:$EQ$39)</f>
        <v>555000</v>
      </c>
      <c r="X68" s="13">
        <f>SUMIF('Sell-down'!$L$10:$EQ$10,$M68,'Sell-down'!$L$40:$EQ$40)</f>
        <v>0</v>
      </c>
      <c r="Y68" s="949">
        <f t="shared" ref="Y68:Y87" ca="1" si="102">IFERROR(SUM(W68:X68)/V68*(12/6),)</f>
        <v>7.4999999999999997E-2</v>
      </c>
      <c r="Z68" s="948">
        <f t="shared" ref="Z68:Z87" si="103">N68+V68+R68</f>
        <v>14800000</v>
      </c>
      <c r="AA68" s="13">
        <f t="shared" ref="AA68:AA87" ca="1" si="104">SUM(O68,W68,S68)</f>
        <v>555000</v>
      </c>
      <c r="AB68" s="13">
        <f t="shared" ref="AB68:AB87" si="105">SUM(P68,X68,T68)</f>
        <v>0</v>
      </c>
      <c r="AC68" s="1307">
        <f t="shared" ref="AC68:AC87" ca="1" si="106">IFERROR(SUM(AA68:AB68)/Z68*(12/6),)</f>
        <v>7.4999999999999997E-2</v>
      </c>
    </row>
    <row r="69" spans="12:29">
      <c r="L69" s="99"/>
      <c r="M69" s="268">
        <f t="shared" si="99"/>
        <v>2</v>
      </c>
      <c r="N69" s="836">
        <f>IFERROR(SUMIF('Sell-down'!$L$10:$EQ$10,$M69,'Sell-down'!$L$21:$EQ$21)/(COUNTIF('Sell-down'!$L$10:$EQ$10,'Sell-down'!$M69)),)</f>
        <v>0</v>
      </c>
      <c r="O69" s="13">
        <f ca="1">SUMIF('Sell-down'!$L$10:$EQ$10,$M69,'Sell-down'!$L$17:$EQ$17)</f>
        <v>0</v>
      </c>
      <c r="P69" s="13">
        <f>SUMIF('Sell-down'!$L$10:$EQ$10,$M69,'Sell-down'!$L$18:$EQ$18)</f>
        <v>0</v>
      </c>
      <c r="Q69" s="1042">
        <f t="shared" ca="1" si="100"/>
        <v>0</v>
      </c>
      <c r="R69" s="836">
        <f>IFERROR(SUMIF('Sell-down'!$L$10:$EQ$10,$M69,$L$32:$EQ$32)/(COUNTIF('Sell-down'!$L$10:$EQ$10,'Sell-down'!$M69)),)</f>
        <v>0</v>
      </c>
      <c r="S69" s="13">
        <f ca="1">SUMIF('Sell-down'!$L$10:$EQ$10,$M69,$L$28:$EQ$28)</f>
        <v>0</v>
      </c>
      <c r="T69" s="13">
        <f>SUMIF('Sell-down'!$L$10:$EQ$10,$M69,$L$29:$EQ$29)</f>
        <v>0</v>
      </c>
      <c r="U69" s="1042">
        <f t="shared" ca="1" si="101"/>
        <v>0</v>
      </c>
      <c r="V69" s="948">
        <f>IFERROR(SUMIF('Sell-down'!$L$10:$EQ$10,$M69,'Sell-down'!$L$43:$EQ$43)/(COUNTIF('Sell-down'!$L$10:$EQ$10,'Sell-down'!$M69)),)</f>
        <v>14800000</v>
      </c>
      <c r="W69" s="13">
        <f ca="1">SUMIF('Sell-down'!$L$10:$EQ$10,$M69,'Sell-down'!$L$39:$EQ$39)</f>
        <v>555000</v>
      </c>
      <c r="X69" s="13">
        <f>SUMIF('Sell-down'!$L$10:$EQ$10,$M69,'Sell-down'!$L$40:$EQ$40)</f>
        <v>0</v>
      </c>
      <c r="Y69" s="949">
        <f t="shared" ca="1" si="102"/>
        <v>7.4999999999999997E-2</v>
      </c>
      <c r="Z69" s="948">
        <f t="shared" si="103"/>
        <v>14800000</v>
      </c>
      <c r="AA69" s="13">
        <f t="shared" ca="1" si="104"/>
        <v>555000</v>
      </c>
      <c r="AB69" s="13">
        <f t="shared" si="105"/>
        <v>0</v>
      </c>
      <c r="AC69" s="1307">
        <f t="shared" ca="1" si="106"/>
        <v>7.4999999999999997E-2</v>
      </c>
    </row>
    <row r="70" spans="12:29">
      <c r="L70" s="99"/>
      <c r="M70" s="268">
        <f t="shared" si="99"/>
        <v>3</v>
      </c>
      <c r="N70" s="836">
        <f>IFERROR(SUMIF('Sell-down'!$L$10:$EQ$10,$M70,'Sell-down'!$L$21:$EQ$21)/(COUNTIF('Sell-down'!$L$10:$EQ$10,'Sell-down'!$M70)),)</f>
        <v>0</v>
      </c>
      <c r="O70" s="13">
        <f ca="1">SUMIF('Sell-down'!$L$10:$EQ$10,$M70,'Sell-down'!$L$17:$EQ$17)</f>
        <v>0</v>
      </c>
      <c r="P70" s="13">
        <f>SUMIF('Sell-down'!$L$10:$EQ$10,$M70,'Sell-down'!$L$18:$EQ$18)</f>
        <v>0</v>
      </c>
      <c r="Q70" s="1042">
        <f t="shared" ca="1" si="100"/>
        <v>0</v>
      </c>
      <c r="R70" s="836">
        <f>IFERROR(SUMIF('Sell-down'!$L$10:$EQ$10,$M70,$L$32:$EQ$32)/(COUNTIF('Sell-down'!$L$10:$EQ$10,'Sell-down'!$M70)),)</f>
        <v>50454607.721046083</v>
      </c>
      <c r="S70" s="13">
        <f ca="1">SUMIF('Sell-down'!$L$10:$EQ$10,$M70,$L$28:$EQ$28)</f>
        <v>1875000</v>
      </c>
      <c r="T70" s="13">
        <f>SUMIF('Sell-down'!$L$10:$EQ$10,$M70,$L$29:$EQ$29)</f>
        <v>0</v>
      </c>
      <c r="U70" s="1042">
        <f t="shared" ca="1" si="101"/>
        <v>7.4324232599984441E-2</v>
      </c>
      <c r="V70" s="948">
        <f>IFERROR(SUMIF('Sell-down'!$L$10:$EQ$10,$M70,'Sell-down'!$L$43:$EQ$43)/(COUNTIF('Sell-down'!$L$10:$EQ$10,'Sell-down'!$M70)),)</f>
        <v>14800000</v>
      </c>
      <c r="W70" s="13">
        <f ca="1">SUMIF('Sell-down'!$L$10:$EQ$10,$M70,'Sell-down'!$L$39:$EQ$39)</f>
        <v>0</v>
      </c>
      <c r="X70" s="13">
        <f>SUMIF('Sell-down'!$L$10:$EQ$10,$M70,'Sell-down'!$L$40:$EQ$40)</f>
        <v>0</v>
      </c>
      <c r="Y70" s="949">
        <f t="shared" ca="1" si="102"/>
        <v>0</v>
      </c>
      <c r="Z70" s="948">
        <f t="shared" si="103"/>
        <v>65254607.721046083</v>
      </c>
      <c r="AA70" s="13">
        <f t="shared" ca="1" si="104"/>
        <v>1875000</v>
      </c>
      <c r="AB70" s="13">
        <f t="shared" si="105"/>
        <v>0</v>
      </c>
      <c r="AC70" s="1307">
        <f t="shared" ca="1" si="106"/>
        <v>5.7467206239760142E-2</v>
      </c>
    </row>
    <row r="71" spans="12:29">
      <c r="L71" s="99"/>
      <c r="M71" s="268">
        <f t="shared" si="99"/>
        <v>4</v>
      </c>
      <c r="N71" s="836">
        <f>IFERROR(SUMIF('Sell-down'!$L$10:$EQ$10,$M71,'Sell-down'!$L$21:$EQ$21)/(COUNTIF('Sell-down'!$L$10:$EQ$10,'Sell-down'!$M71)),)</f>
        <v>0</v>
      </c>
      <c r="O71" s="13">
        <f ca="1">SUMIF('Sell-down'!$L$10:$EQ$10,$M71,'Sell-down'!$L$17:$EQ$17)</f>
        <v>0</v>
      </c>
      <c r="P71" s="13">
        <f>SUMIF('Sell-down'!$L$10:$EQ$10,$M71,'Sell-down'!$L$18:$EQ$18)</f>
        <v>0</v>
      </c>
      <c r="Q71" s="1042">
        <f t="shared" ca="1" si="100"/>
        <v>0</v>
      </c>
      <c r="R71" s="836">
        <f>IFERROR(SUMIF('Sell-down'!$L$10:$EQ$10,$M71,$L$32:$EQ$32)/(COUNTIF('Sell-down'!$L$10:$EQ$10,'Sell-down'!$M71)),)</f>
        <v>50454607.721046083</v>
      </c>
      <c r="S71" s="13">
        <f ca="1">SUMIF('Sell-down'!$L$10:$EQ$10,$M71,$L$28:$EQ$28)</f>
        <v>1875000</v>
      </c>
      <c r="T71" s="13">
        <f>SUMIF('Sell-down'!$L$10:$EQ$10,$M71,$L$29:$EQ$29)</f>
        <v>0</v>
      </c>
      <c r="U71" s="1042">
        <f t="shared" ca="1" si="101"/>
        <v>7.4324232599984441E-2</v>
      </c>
      <c r="V71" s="948">
        <f>IFERROR(SUMIF('Sell-down'!$L$10:$EQ$10,$M71,'Sell-down'!$L$43:$EQ$43)/(COUNTIF('Sell-down'!$L$10:$EQ$10,'Sell-down'!$M71)),)</f>
        <v>14800000</v>
      </c>
      <c r="W71" s="13">
        <f ca="1">SUMIF('Sell-down'!$L$10:$EQ$10,$M71,'Sell-down'!$L$39:$EQ$39)</f>
        <v>0</v>
      </c>
      <c r="X71" s="13">
        <f>SUMIF('Sell-down'!$L$10:$EQ$10,$M71,'Sell-down'!$L$40:$EQ$40)</f>
        <v>0</v>
      </c>
      <c r="Y71" s="949">
        <f t="shared" ca="1" si="102"/>
        <v>0</v>
      </c>
      <c r="Z71" s="948">
        <f t="shared" si="103"/>
        <v>65254607.721046083</v>
      </c>
      <c r="AA71" s="13">
        <f t="shared" ca="1" si="104"/>
        <v>1875000</v>
      </c>
      <c r="AB71" s="13">
        <f t="shared" si="105"/>
        <v>0</v>
      </c>
      <c r="AC71" s="1307">
        <f t="shared" ca="1" si="106"/>
        <v>5.7467206239760142E-2</v>
      </c>
    </row>
    <row r="72" spans="12:29">
      <c r="L72" s="99"/>
      <c r="M72" s="268">
        <f t="shared" si="99"/>
        <v>5</v>
      </c>
      <c r="N72" s="836">
        <f>IFERROR(SUMIF('Sell-down'!$L$10:$EQ$10,$M72,'Sell-down'!$L$21:$EQ$21)/(COUNTIF('Sell-down'!$L$10:$EQ$10,'Sell-down'!$M72)),)</f>
        <v>24215232.601880878</v>
      </c>
      <c r="O72" s="13">
        <f ca="1">SUMIF('Sell-down'!$L$10:$EQ$10,$M72,'Sell-down'!$L$17:$EQ$17)</f>
        <v>840000.00000000012</v>
      </c>
      <c r="P72" s="13">
        <f>SUMIF('Sell-down'!$L$10:$EQ$10,$M72,'Sell-down'!$L$18:$EQ$18)</f>
        <v>0</v>
      </c>
      <c r="Q72" s="1042">
        <f t="shared" ca="1" si="100"/>
        <v>6.9377817988397483E-2</v>
      </c>
      <c r="R72" s="836">
        <f>IFERROR(SUMIF('Sell-down'!$L$10:$EQ$10,$M72,$L$32:$EQ$32)/(COUNTIF('Sell-down'!$L$10:$EQ$10,'Sell-down'!$M72)),)</f>
        <v>50454607.721046083</v>
      </c>
      <c r="S72" s="13">
        <f ca="1">SUMIF('Sell-down'!$L$10:$EQ$10,$M72,$L$28:$EQ$28)</f>
        <v>1875000</v>
      </c>
      <c r="T72" s="13">
        <f>SUMIF('Sell-down'!$L$10:$EQ$10,$M72,$L$29:$EQ$29)</f>
        <v>0</v>
      </c>
      <c r="U72" s="1042">
        <f t="shared" ca="1" si="101"/>
        <v>7.4324232599984441E-2</v>
      </c>
      <c r="V72" s="948">
        <f>IFERROR(SUMIF('Sell-down'!$L$10:$EQ$10,$M72,'Sell-down'!$L$43:$EQ$43)/(COUNTIF('Sell-down'!$L$10:$EQ$10,'Sell-down'!$M72)),)</f>
        <v>14800000</v>
      </c>
      <c r="W72" s="13">
        <f ca="1">SUMIF('Sell-down'!$L$10:$EQ$10,$M72,'Sell-down'!$L$39:$EQ$39)</f>
        <v>0</v>
      </c>
      <c r="X72" s="13">
        <f>SUMIF('Sell-down'!$L$10:$EQ$10,$M72,'Sell-down'!$L$40:$EQ$40)</f>
        <v>0</v>
      </c>
      <c r="Y72" s="949">
        <f t="shared" ca="1" si="102"/>
        <v>0</v>
      </c>
      <c r="Z72" s="948">
        <f t="shared" si="103"/>
        <v>89469840.322926968</v>
      </c>
      <c r="AA72" s="13">
        <f t="shared" ca="1" si="104"/>
        <v>2715000</v>
      </c>
      <c r="AB72" s="13">
        <f t="shared" si="105"/>
        <v>0</v>
      </c>
      <c r="AC72" s="949">
        <f t="shared" ca="1" si="106"/>
        <v>6.0690842639276994E-2</v>
      </c>
    </row>
    <row r="73" spans="12:29">
      <c r="L73" s="99"/>
      <c r="M73" s="268">
        <f t="shared" si="99"/>
        <v>6</v>
      </c>
      <c r="N73" s="836">
        <f>IFERROR(SUMIF('Sell-down'!$L$10:$EQ$10,$M73,'Sell-down'!$L$21:$EQ$21)/(COUNTIF('Sell-down'!$L$10:$EQ$10,'Sell-down'!$M73)),)</f>
        <v>24215232.601880878</v>
      </c>
      <c r="O73" s="13">
        <f ca="1">SUMIF('Sell-down'!$L$10:$EQ$10,$M73,'Sell-down'!$L$17:$EQ$17)</f>
        <v>840000.00000000012</v>
      </c>
      <c r="P73" s="13">
        <f>SUMIF('Sell-down'!$L$10:$EQ$10,$M73,'Sell-down'!$L$18:$EQ$18)</f>
        <v>0</v>
      </c>
      <c r="Q73" s="1042">
        <f t="shared" ca="1" si="100"/>
        <v>6.9377817988397483E-2</v>
      </c>
      <c r="R73" s="836">
        <f>IFERROR(SUMIF('Sell-down'!$L$10:$EQ$10,$M73,$L$32:$EQ$32)/(COUNTIF('Sell-down'!$L$10:$EQ$10,'Sell-down'!$M73)),)</f>
        <v>50454607.721046083</v>
      </c>
      <c r="S73" s="13">
        <f ca="1">SUMIF('Sell-down'!$L$10:$EQ$10,$M73,$L$28:$EQ$28)</f>
        <v>1875000</v>
      </c>
      <c r="T73" s="13">
        <f>SUMIF('Sell-down'!$L$10:$EQ$10,$M73,$L$29:$EQ$29)</f>
        <v>0</v>
      </c>
      <c r="U73" s="1042">
        <f t="shared" ca="1" si="101"/>
        <v>7.4324232599984441E-2</v>
      </c>
      <c r="V73" s="948">
        <f>IFERROR(SUMIF('Sell-down'!$L$10:$EQ$10,$M73,'Sell-down'!$L$43:$EQ$43)/(COUNTIF('Sell-down'!$L$10:$EQ$10,'Sell-down'!$M73)),)</f>
        <v>14800000</v>
      </c>
      <c r="W73" s="13">
        <f ca="1">SUMIF('Sell-down'!$L$10:$EQ$10,$M73,'Sell-down'!$L$39:$EQ$39)</f>
        <v>0</v>
      </c>
      <c r="X73" s="13">
        <f>SUMIF('Sell-down'!$L$10:$EQ$10,$M73,'Sell-down'!$L$40:$EQ$40)</f>
        <v>0</v>
      </c>
      <c r="Y73" s="949">
        <f t="shared" ca="1" si="102"/>
        <v>0</v>
      </c>
      <c r="Z73" s="948">
        <f t="shared" si="103"/>
        <v>89469840.322926968</v>
      </c>
      <c r="AA73" s="13">
        <f t="shared" ca="1" si="104"/>
        <v>2715000</v>
      </c>
      <c r="AB73" s="13">
        <f t="shared" si="105"/>
        <v>0</v>
      </c>
      <c r="AC73" s="949">
        <f t="shared" ca="1" si="106"/>
        <v>6.0690842639276994E-2</v>
      </c>
    </row>
    <row r="74" spans="12:29">
      <c r="L74" s="99"/>
      <c r="M74" s="268">
        <f t="shared" si="99"/>
        <v>7</v>
      </c>
      <c r="N74" s="836">
        <f>IFERROR(SUMIF('Sell-down'!$L$10:$EQ$10,$M74,'Sell-down'!$L$21:$EQ$21)/(COUNTIF('Sell-down'!$L$10:$EQ$10,'Sell-down'!$M74)),)</f>
        <v>24215232.601880878</v>
      </c>
      <c r="O74" s="13">
        <f ca="1">SUMIF('Sell-down'!$L$10:$EQ$10,$M74,'Sell-down'!$L$17:$EQ$17)</f>
        <v>840000.00000000012</v>
      </c>
      <c r="P74" s="13">
        <f>SUMIF('Sell-down'!$L$10:$EQ$10,$M74,'Sell-down'!$L$18:$EQ$18)</f>
        <v>0</v>
      </c>
      <c r="Q74" s="1042">
        <f t="shared" ca="1" si="100"/>
        <v>6.9377817988397483E-2</v>
      </c>
      <c r="R74" s="836">
        <f>IFERROR(SUMIF('Sell-down'!$L$10:$EQ$10,$M74,$L$32:$EQ$32)/(COUNTIF('Sell-down'!$L$10:$EQ$10,'Sell-down'!$M74)),)</f>
        <v>50454607.721046083</v>
      </c>
      <c r="S74" s="13">
        <f ca="1">SUMIF('Sell-down'!$L$10:$EQ$10,$M74,$L$28:$EQ$28)</f>
        <v>1875000</v>
      </c>
      <c r="T74" s="13">
        <f>SUMIF('Sell-down'!$L$10:$EQ$10,$M74,$L$29:$EQ$29)</f>
        <v>0</v>
      </c>
      <c r="U74" s="1042">
        <f t="shared" ca="1" si="101"/>
        <v>7.4324232599984441E-2</v>
      </c>
      <c r="V74" s="948">
        <f>IFERROR(SUMIF('Sell-down'!$L$10:$EQ$10,$M74,'Sell-down'!$L$43:$EQ$43)/(COUNTIF('Sell-down'!$L$10:$EQ$10,'Sell-down'!$M74)),)</f>
        <v>14800000</v>
      </c>
      <c r="W74" s="13">
        <f ca="1">SUMIF('Sell-down'!$L$10:$EQ$10,$M74,'Sell-down'!$L$39:$EQ$39)</f>
        <v>0</v>
      </c>
      <c r="X74" s="13">
        <f>SUMIF('Sell-down'!$L$10:$EQ$10,$M74,'Sell-down'!$L$40:$EQ$40)</f>
        <v>0</v>
      </c>
      <c r="Y74" s="949">
        <f t="shared" ca="1" si="102"/>
        <v>0</v>
      </c>
      <c r="Z74" s="948">
        <f t="shared" si="103"/>
        <v>89469840.322926968</v>
      </c>
      <c r="AA74" s="13">
        <f t="shared" ca="1" si="104"/>
        <v>2715000</v>
      </c>
      <c r="AB74" s="13">
        <f t="shared" si="105"/>
        <v>0</v>
      </c>
      <c r="AC74" s="949">
        <f t="shared" ca="1" si="106"/>
        <v>6.0690842639276994E-2</v>
      </c>
    </row>
    <row r="75" spans="12:29">
      <c r="L75" s="99"/>
      <c r="M75" s="268">
        <f t="shared" si="99"/>
        <v>8</v>
      </c>
      <c r="N75" s="836">
        <f>IFERROR(SUMIF('Sell-down'!$L$10:$EQ$10,$M75,'Sell-down'!$L$21:$EQ$21)/(COUNTIF('Sell-down'!$L$10:$EQ$10,'Sell-down'!$M75)),)</f>
        <v>24215232.601880878</v>
      </c>
      <c r="O75" s="13">
        <f ca="1">SUMIF('Sell-down'!$L$10:$EQ$10,$M75,'Sell-down'!$L$17:$EQ$17)</f>
        <v>840000.00000000012</v>
      </c>
      <c r="P75" s="13">
        <f>SUMIF('Sell-down'!$L$10:$EQ$10,$M75,'Sell-down'!$L$18:$EQ$18)</f>
        <v>0</v>
      </c>
      <c r="Q75" s="1042">
        <f t="shared" ca="1" si="100"/>
        <v>6.9377817988397483E-2</v>
      </c>
      <c r="R75" s="836">
        <f>IFERROR(SUMIF('Sell-down'!$L$10:$EQ$10,$M75,$L$32:$EQ$32)/(COUNTIF('Sell-down'!$L$10:$EQ$10,'Sell-down'!$M75)),)</f>
        <v>50454607.721046083</v>
      </c>
      <c r="S75" s="13">
        <f ca="1">SUMIF('Sell-down'!$L$10:$EQ$10,$M75,$L$28:$EQ$28)</f>
        <v>1875000</v>
      </c>
      <c r="T75" s="13">
        <f>SUMIF('Sell-down'!$L$10:$EQ$10,$M75,$L$29:$EQ$29)</f>
        <v>0</v>
      </c>
      <c r="U75" s="1042">
        <f t="shared" ca="1" si="101"/>
        <v>7.4324232599984441E-2</v>
      </c>
      <c r="V75" s="948">
        <f>IFERROR(SUMIF('Sell-down'!$L$10:$EQ$10,$M75,'Sell-down'!$L$43:$EQ$43)/(COUNTIF('Sell-down'!$L$10:$EQ$10,'Sell-down'!$M75)),)</f>
        <v>14800000</v>
      </c>
      <c r="W75" s="13">
        <f ca="1">SUMIF('Sell-down'!$L$10:$EQ$10,$M75,'Sell-down'!$L$39:$EQ$39)</f>
        <v>0</v>
      </c>
      <c r="X75" s="13">
        <f>SUMIF('Sell-down'!$L$10:$EQ$10,$M75,'Sell-down'!$L$40:$EQ$40)</f>
        <v>0</v>
      </c>
      <c r="Y75" s="949">
        <f t="shared" ca="1" si="102"/>
        <v>0</v>
      </c>
      <c r="Z75" s="948">
        <f t="shared" si="103"/>
        <v>89469840.322926968</v>
      </c>
      <c r="AA75" s="13">
        <f t="shared" ca="1" si="104"/>
        <v>2715000</v>
      </c>
      <c r="AB75" s="13">
        <f t="shared" si="105"/>
        <v>0</v>
      </c>
      <c r="AC75" s="949">
        <f t="shared" ca="1" si="106"/>
        <v>6.0690842639276994E-2</v>
      </c>
    </row>
    <row r="76" spans="12:29">
      <c r="L76" s="66"/>
      <c r="M76" s="268">
        <f t="shared" si="99"/>
        <v>9</v>
      </c>
      <c r="N76" s="836">
        <f>IFERROR(SUMIF('Sell-down'!$L$10:$EQ$10,$M76,'Sell-down'!$L$21:$EQ$21)/(COUNTIF('Sell-down'!$L$10:$EQ$10,'Sell-down'!$M76)),)</f>
        <v>24215232.601880878</v>
      </c>
      <c r="O76" s="13">
        <f ca="1">SUMIF('Sell-down'!$L$10:$EQ$10,$M76,'Sell-down'!$L$17:$EQ$17)</f>
        <v>840000.00000000012</v>
      </c>
      <c r="P76" s="13">
        <f>SUMIF('Sell-down'!$L$10:$EQ$10,$M76,'Sell-down'!$L$18:$EQ$18)</f>
        <v>0</v>
      </c>
      <c r="Q76" s="1042">
        <f t="shared" ca="1" si="100"/>
        <v>6.9377817988397483E-2</v>
      </c>
      <c r="R76" s="836">
        <f>IFERROR(SUMIF('Sell-down'!$L$10:$EQ$10,$M76,$L$32:$EQ$32)/(COUNTIF('Sell-down'!$L$10:$EQ$10,'Sell-down'!$M76)),)</f>
        <v>50454607.721046083</v>
      </c>
      <c r="S76" s="13">
        <f ca="1">SUMIF('Sell-down'!$L$10:$EQ$10,$M76,$L$28:$EQ$28)</f>
        <v>1856056.3038810929</v>
      </c>
      <c r="T76" s="13">
        <f>SUMIF('Sell-down'!$L$10:$EQ$10,$M76,$L$29:$EQ$29)</f>
        <v>0</v>
      </c>
      <c r="U76" s="1042">
        <f t="shared" ca="1" si="101"/>
        <v>7.3573312239107069E-2</v>
      </c>
      <c r="V76" s="948">
        <f>IFERROR(SUMIF('Sell-down'!$L$10:$EQ$10,$M76,'Sell-down'!$L$43:$EQ$43)/(COUNTIF('Sell-down'!$L$10:$EQ$10,'Sell-down'!$M76)),)</f>
        <v>14800000</v>
      </c>
      <c r="W76" s="13">
        <f ca="1">SUMIF('Sell-down'!$L$10:$EQ$10,$M76,'Sell-down'!$L$39:$EQ$39)</f>
        <v>0</v>
      </c>
      <c r="X76" s="13">
        <f>SUMIF('Sell-down'!$L$10:$EQ$10,$M76,'Sell-down'!$L$40:$EQ$40)</f>
        <v>0</v>
      </c>
      <c r="Y76" s="949">
        <f t="shared" ca="1" si="102"/>
        <v>0</v>
      </c>
      <c r="Z76" s="948">
        <f t="shared" si="103"/>
        <v>89469840.322926968</v>
      </c>
      <c r="AA76" s="13">
        <f t="shared" ca="1" si="104"/>
        <v>2696056.3038810929</v>
      </c>
      <c r="AB76" s="13">
        <f t="shared" si="105"/>
        <v>0</v>
      </c>
      <c r="AC76" s="949">
        <f t="shared" ca="1" si="106"/>
        <v>6.026737712172308E-2</v>
      </c>
    </row>
    <row r="77" spans="12:29">
      <c r="L77" s="66"/>
      <c r="M77" s="268">
        <f t="shared" si="99"/>
        <v>10</v>
      </c>
      <c r="N77" s="836">
        <f>IFERROR(SUMIF('Sell-down'!$L$10:$EQ$10,$M77,'Sell-down'!$L$21:$EQ$21)/(COUNTIF('Sell-down'!$L$10:$EQ$10,'Sell-down'!$M77)),)</f>
        <v>24215232.601880878</v>
      </c>
      <c r="O77" s="13">
        <f ca="1">SUMIF('Sell-down'!$L$10:$EQ$10,$M77,'Sell-down'!$L$17:$EQ$17)</f>
        <v>840000.00000000012</v>
      </c>
      <c r="P77" s="13">
        <f>SUMIF('Sell-down'!$L$10:$EQ$10,$M77,'Sell-down'!$L$18:$EQ$18)</f>
        <v>0</v>
      </c>
      <c r="Q77" s="1042">
        <f t="shared" ca="1" si="100"/>
        <v>6.9377817988397483E-2</v>
      </c>
      <c r="R77" s="836">
        <f>IFERROR(SUMIF('Sell-down'!$L$10:$EQ$10,$M77,$L$32:$EQ$32)/(COUNTIF('Sell-down'!$L$10:$EQ$10,'Sell-down'!$M77)),)</f>
        <v>50454607.721046083</v>
      </c>
      <c r="S77" s="13">
        <f ca="1">SUMIF('Sell-down'!$L$10:$EQ$10,$M77,$L$28:$EQ$28)</f>
        <v>1761729.2937996686</v>
      </c>
      <c r="T77" s="13">
        <f>SUMIF('Sell-down'!$L$10:$EQ$10,$M77,$L$29:$EQ$29)</f>
        <v>0</v>
      </c>
      <c r="U77" s="1042">
        <f t="shared" ca="1" si="101"/>
        <v>6.9834228165638876E-2</v>
      </c>
      <c r="V77" s="948">
        <f>IFERROR(SUMIF('Sell-down'!$L$10:$EQ$10,$M77,'Sell-down'!$L$43:$EQ$43)/(COUNTIF('Sell-down'!$L$10:$EQ$10,'Sell-down'!$M77)),)</f>
        <v>14800000</v>
      </c>
      <c r="W77" s="13">
        <f ca="1">SUMIF('Sell-down'!$L$10:$EQ$10,$M77,'Sell-down'!$L$39:$EQ$39)</f>
        <v>0</v>
      </c>
      <c r="X77" s="13">
        <f>SUMIF('Sell-down'!$L$10:$EQ$10,$M77,'Sell-down'!$L$40:$EQ$40)</f>
        <v>0</v>
      </c>
      <c r="Y77" s="949">
        <f t="shared" ca="1" si="102"/>
        <v>0</v>
      </c>
      <c r="Z77" s="948">
        <f t="shared" si="103"/>
        <v>89469840.322926968</v>
      </c>
      <c r="AA77" s="13">
        <f t="shared" ca="1" si="104"/>
        <v>2601729.2937996686</v>
      </c>
      <c r="AB77" s="13">
        <f t="shared" si="105"/>
        <v>0</v>
      </c>
      <c r="AC77" s="949">
        <f t="shared" ca="1" si="106"/>
        <v>5.8158800427253382E-2</v>
      </c>
    </row>
    <row r="78" spans="12:29">
      <c r="L78" s="66"/>
      <c r="M78" s="268">
        <f t="shared" si="99"/>
        <v>11</v>
      </c>
      <c r="N78" s="836">
        <f>IFERROR(SUMIF('Sell-down'!$L$10:$EQ$10,$M78,'Sell-down'!$L$21:$EQ$21)/(COUNTIF('Sell-down'!$L$10:$EQ$10,'Sell-down'!$M78)),)</f>
        <v>24215232.601880878</v>
      </c>
      <c r="O78" s="13">
        <f ca="1">SUMIF('Sell-down'!$L$10:$EQ$10,$M78,'Sell-down'!$L$17:$EQ$17)</f>
        <v>840000.00000000012</v>
      </c>
      <c r="P78" s="13">
        <f>SUMIF('Sell-down'!$L$10:$EQ$10,$M78,'Sell-down'!$L$18:$EQ$18)</f>
        <v>0</v>
      </c>
      <c r="Q78" s="1042">
        <f t="shared" ca="1" si="100"/>
        <v>6.9377817988397483E-2</v>
      </c>
      <c r="R78" s="836">
        <f>IFERROR(SUMIF('Sell-down'!$L$10:$EQ$10,$M78,$L$32:$EQ$32)/(COUNTIF('Sell-down'!$L$10:$EQ$10,'Sell-down'!$M78)),)</f>
        <v>50454607.721046083</v>
      </c>
      <c r="S78" s="13">
        <f ca="1">SUMIF('Sell-down'!$L$10:$EQ$10,$M78,$L$28:$EQ$28)</f>
        <v>1838082.375135636</v>
      </c>
      <c r="T78" s="13">
        <f>SUMIF('Sell-down'!$L$10:$EQ$10,$M78,$L$29:$EQ$29)</f>
        <v>0</v>
      </c>
      <c r="U78" s="1042">
        <f t="shared" ca="1" si="101"/>
        <v>7.286083306000686E-2</v>
      </c>
      <c r="V78" s="948">
        <f>IFERROR(SUMIF('Sell-down'!$L$10:$EQ$10,$M78,'Sell-down'!$L$43:$EQ$43)/(COUNTIF('Sell-down'!$L$10:$EQ$10,'Sell-down'!$M78)),)</f>
        <v>14800000</v>
      </c>
      <c r="W78" s="13">
        <f ca="1">SUMIF('Sell-down'!$L$10:$EQ$10,$M78,'Sell-down'!$L$39:$EQ$39)</f>
        <v>0</v>
      </c>
      <c r="X78" s="13">
        <f>SUMIF('Sell-down'!$L$10:$EQ$10,$M78,'Sell-down'!$L$40:$EQ$40)</f>
        <v>0</v>
      </c>
      <c r="Y78" s="949">
        <f t="shared" ca="1" si="102"/>
        <v>0</v>
      </c>
      <c r="Z78" s="948">
        <f t="shared" si="103"/>
        <v>89469840.322926968</v>
      </c>
      <c r="AA78" s="13">
        <f t="shared" ca="1" si="104"/>
        <v>2678082.375135636</v>
      </c>
      <c r="AB78" s="13">
        <f t="shared" si="105"/>
        <v>0</v>
      </c>
      <c r="AC78" s="949">
        <f t="shared" ca="1" si="106"/>
        <v>5.9865589688537037E-2</v>
      </c>
    </row>
    <row r="79" spans="12:29">
      <c r="L79" s="66"/>
      <c r="M79" s="268">
        <f t="shared" si="99"/>
        <v>12</v>
      </c>
      <c r="N79" s="836">
        <f>IFERROR(SUMIF('Sell-down'!$L$10:$EQ$10,$M79,'Sell-down'!$L$21:$EQ$21)/(COUNTIF('Sell-down'!$L$10:$EQ$10,'Sell-down'!$M79)),)</f>
        <v>24215232.601880878</v>
      </c>
      <c r="O79" s="13">
        <f ca="1">SUMIF('Sell-down'!$L$10:$EQ$10,$M79,'Sell-down'!$L$17:$EQ$17)</f>
        <v>840000.00000000012</v>
      </c>
      <c r="P79" s="13">
        <f>SUMIF('Sell-down'!$L$10:$EQ$10,$M79,'Sell-down'!$L$18:$EQ$18)</f>
        <v>0</v>
      </c>
      <c r="Q79" s="1042">
        <f t="shared" ca="1" si="100"/>
        <v>6.9377817988397483E-2</v>
      </c>
      <c r="R79" s="836">
        <f>IFERROR(SUMIF('Sell-down'!$L$10:$EQ$10,$M79,$L$32:$EQ$32)/(COUNTIF('Sell-down'!$L$10:$EQ$10,'Sell-down'!$M79)),)</f>
        <v>50454607.721046083</v>
      </c>
      <c r="S79" s="13">
        <f ca="1">SUMIF('Sell-down'!$L$10:$EQ$10,$M79,$L$28:$EQ$28)</f>
        <v>2044132.0271836026</v>
      </c>
      <c r="T79" s="13">
        <f>SUMIF('Sell-down'!$L$10:$EQ$10,$M79,$L$29:$EQ$29)</f>
        <v>0</v>
      </c>
      <c r="U79" s="1042">
        <f t="shared" ca="1" si="101"/>
        <v>8.1028556935184959E-2</v>
      </c>
      <c r="V79" s="948">
        <f>IFERROR(SUMIF('Sell-down'!$L$10:$EQ$10,$M79,'Sell-down'!$L$43:$EQ$43)/(COUNTIF('Sell-down'!$L$10:$EQ$10,'Sell-down'!$M79)),)</f>
        <v>14800000</v>
      </c>
      <c r="W79" s="13">
        <f ca="1">SUMIF('Sell-down'!$L$10:$EQ$10,$M79,'Sell-down'!$L$39:$EQ$39)</f>
        <v>0</v>
      </c>
      <c r="X79" s="13">
        <f>SUMIF('Sell-down'!$L$10:$EQ$10,$M79,'Sell-down'!$L$40:$EQ$40)</f>
        <v>0</v>
      </c>
      <c r="Y79" s="949">
        <f t="shared" ca="1" si="102"/>
        <v>0</v>
      </c>
      <c r="Z79" s="948">
        <f t="shared" si="103"/>
        <v>89469840.322926968</v>
      </c>
      <c r="AA79" s="13">
        <f t="shared" ca="1" si="104"/>
        <v>2884132.0271836026</v>
      </c>
      <c r="AB79" s="13">
        <f t="shared" si="105"/>
        <v>0</v>
      </c>
      <c r="AC79" s="949">
        <f t="shared" ca="1" si="106"/>
        <v>6.4471603319594464E-2</v>
      </c>
    </row>
    <row r="80" spans="12:29">
      <c r="L80" s="66"/>
      <c r="M80" s="268">
        <f t="shared" si="99"/>
        <v>13</v>
      </c>
      <c r="N80" s="836">
        <f>IFERROR(SUMIF('Sell-down'!$L$10:$EQ$10,$M80,'Sell-down'!$L$21:$EQ$21)/(COUNTIF('Sell-down'!$L$10:$EQ$10,'Sell-down'!$M80)),)</f>
        <v>24215232.601880878</v>
      </c>
      <c r="O80" s="13">
        <f ca="1">SUMIF('Sell-down'!$L$10:$EQ$10,$M80,'Sell-down'!$L$17:$EQ$17)</f>
        <v>840000.00000000012</v>
      </c>
      <c r="P80" s="13">
        <f>SUMIF('Sell-down'!$L$10:$EQ$10,$M80,'Sell-down'!$L$18:$EQ$18)</f>
        <v>0</v>
      </c>
      <c r="Q80" s="1042">
        <f t="shared" ca="1" si="100"/>
        <v>6.9377817988397483E-2</v>
      </c>
      <c r="R80" s="836">
        <f>IFERROR(SUMIF('Sell-down'!$L$10:$EQ$10,$M80,$L$32:$EQ$32)/(COUNTIF('Sell-down'!$L$10:$EQ$10,'Sell-down'!$M80)),)</f>
        <v>50454607.721046083</v>
      </c>
      <c r="S80" s="13">
        <f ca="1">SUMIF('Sell-down'!$L$10:$EQ$10,$M80,$L$28:$EQ$28)</f>
        <v>1875000</v>
      </c>
      <c r="T80" s="13">
        <f>SUMIF('Sell-down'!$L$10:$EQ$10,$M80,$L$29:$EQ$29)</f>
        <v>0</v>
      </c>
      <c r="U80" s="1042">
        <f t="shared" ca="1" si="101"/>
        <v>7.4324232599984441E-2</v>
      </c>
      <c r="V80" s="948">
        <f>IFERROR(SUMIF('Sell-down'!$L$10:$EQ$10,$M80,'Sell-down'!$L$43:$EQ$43)/(COUNTIF('Sell-down'!$L$10:$EQ$10,'Sell-down'!$M80)),)</f>
        <v>14800000</v>
      </c>
      <c r="W80" s="13">
        <f ca="1">SUMIF('Sell-down'!$L$10:$EQ$10,$M80,'Sell-down'!$L$39:$EQ$39)</f>
        <v>0</v>
      </c>
      <c r="X80" s="13">
        <f>SUMIF('Sell-down'!$L$10:$EQ$10,$M80,'Sell-down'!$L$40:$EQ$40)</f>
        <v>0</v>
      </c>
      <c r="Y80" s="949">
        <f t="shared" ca="1" si="102"/>
        <v>0</v>
      </c>
      <c r="Z80" s="948">
        <f t="shared" si="103"/>
        <v>89469840.322926968</v>
      </c>
      <c r="AA80" s="13">
        <f t="shared" ca="1" si="104"/>
        <v>2715000</v>
      </c>
      <c r="AB80" s="13">
        <f t="shared" si="105"/>
        <v>0</v>
      </c>
      <c r="AC80" s="949">
        <f t="shared" ca="1" si="106"/>
        <v>6.0690842639276994E-2</v>
      </c>
    </row>
    <row r="81" spans="12:29">
      <c r="L81" s="66"/>
      <c r="M81" s="268">
        <f t="shared" si="99"/>
        <v>14</v>
      </c>
      <c r="N81" s="836">
        <f>IFERROR(SUMIF('Sell-down'!$L$10:$EQ$10,$M81,'Sell-down'!$L$21:$EQ$21)/(COUNTIF('Sell-down'!$L$10:$EQ$10,'Sell-down'!$M81)),)</f>
        <v>24215232.601880878</v>
      </c>
      <c r="O81" s="13">
        <f ca="1">SUMIF('Sell-down'!$L$10:$EQ$10,$M81,'Sell-down'!$L$17:$EQ$17)</f>
        <v>840000.00000000012</v>
      </c>
      <c r="P81" s="13">
        <f>SUMIF('Sell-down'!$L$10:$EQ$10,$M81,'Sell-down'!$L$18:$EQ$18)</f>
        <v>0</v>
      </c>
      <c r="Q81" s="1042">
        <f t="shared" ca="1" si="100"/>
        <v>6.9377817988397483E-2</v>
      </c>
      <c r="R81" s="836">
        <f>IFERROR(SUMIF('Sell-down'!$L$10:$EQ$10,$M81,$L$32:$EQ$32)/(COUNTIF('Sell-down'!$L$10:$EQ$10,'Sell-down'!$M81)),)</f>
        <v>50454607.721046083</v>
      </c>
      <c r="S81" s="13">
        <f ca="1">SUMIF('Sell-down'!$L$10:$EQ$10,$M81,$L$28:$EQ$28)</f>
        <v>1875000</v>
      </c>
      <c r="T81" s="13">
        <f>SUMIF('Sell-down'!$L$10:$EQ$10,$M81,$L$29:$EQ$29)</f>
        <v>0</v>
      </c>
      <c r="U81" s="1042">
        <f t="shared" ca="1" si="101"/>
        <v>7.4324232599984441E-2</v>
      </c>
      <c r="V81" s="948">
        <f>IFERROR(SUMIF('Sell-down'!$L$10:$EQ$10,$M81,'Sell-down'!$L$43:$EQ$43)/(COUNTIF('Sell-down'!$L$10:$EQ$10,'Sell-down'!$M81)),)</f>
        <v>14800000</v>
      </c>
      <c r="W81" s="13">
        <f ca="1">SUMIF('Sell-down'!$L$10:$EQ$10,$M81,'Sell-down'!$L$39:$EQ$39)</f>
        <v>0</v>
      </c>
      <c r="X81" s="13">
        <f>SUMIF('Sell-down'!$L$10:$EQ$10,$M81,'Sell-down'!$L$40:$EQ$40)</f>
        <v>0</v>
      </c>
      <c r="Y81" s="949">
        <f t="shared" ca="1" si="102"/>
        <v>0</v>
      </c>
      <c r="Z81" s="948">
        <f t="shared" si="103"/>
        <v>89469840.322926968</v>
      </c>
      <c r="AA81" s="13">
        <f t="shared" ca="1" si="104"/>
        <v>2715000</v>
      </c>
      <c r="AB81" s="13">
        <f t="shared" si="105"/>
        <v>0</v>
      </c>
      <c r="AC81" s="949">
        <f t="shared" ca="1" si="106"/>
        <v>6.0690842639276994E-2</v>
      </c>
    </row>
    <row r="82" spans="12:29">
      <c r="L82" s="66"/>
      <c r="M82" s="268">
        <f t="shared" si="99"/>
        <v>15</v>
      </c>
      <c r="N82" s="836">
        <f>IFERROR(SUMIF('Sell-down'!$L$10:$EQ$10,$M82,'Sell-down'!$L$21:$EQ$21)/(COUNTIF('Sell-down'!$L$10:$EQ$10,'Sell-down'!$M82)),)</f>
        <v>24215232.601880878</v>
      </c>
      <c r="O82" s="13">
        <f ca="1">SUMIF('Sell-down'!$L$10:$EQ$10,$M82,'Sell-down'!$L$17:$EQ$17)</f>
        <v>840000.00000000012</v>
      </c>
      <c r="P82" s="13">
        <f>SUMIF('Sell-down'!$L$10:$EQ$10,$M82,'Sell-down'!$L$18:$EQ$18)</f>
        <v>0</v>
      </c>
      <c r="Q82" s="1042">
        <f t="shared" ca="1" si="100"/>
        <v>6.9377817988397483E-2</v>
      </c>
      <c r="R82" s="836">
        <f>IFERROR(SUMIF('Sell-down'!$L$10:$EQ$10,$M82,$L$32:$EQ$32)/(COUNTIF('Sell-down'!$L$10:$EQ$10,'Sell-down'!$M82)),)</f>
        <v>50454607.721046083</v>
      </c>
      <c r="S82" s="13">
        <f ca="1">SUMIF('Sell-down'!$L$10:$EQ$10,$M82,$L$28:$EQ$28)</f>
        <v>1875000</v>
      </c>
      <c r="T82" s="13">
        <f>SUMIF('Sell-down'!$L$10:$EQ$10,$M82,$L$29:$EQ$29)</f>
        <v>0</v>
      </c>
      <c r="U82" s="1042">
        <f t="shared" ca="1" si="101"/>
        <v>7.4324232599984441E-2</v>
      </c>
      <c r="V82" s="948">
        <f>IFERROR(SUMIF('Sell-down'!$L$10:$EQ$10,$M82,'Sell-down'!$L$43:$EQ$43)/(COUNTIF('Sell-down'!$L$10:$EQ$10,'Sell-down'!$M82)),)</f>
        <v>14800000</v>
      </c>
      <c r="W82" s="13">
        <f ca="1">SUMIF('Sell-down'!$L$10:$EQ$10,$M82,'Sell-down'!$L$39:$EQ$39)</f>
        <v>0</v>
      </c>
      <c r="X82" s="13">
        <f>SUMIF('Sell-down'!$L$10:$EQ$10,$M82,'Sell-down'!$L$40:$EQ$40)</f>
        <v>0</v>
      </c>
      <c r="Y82" s="949">
        <f t="shared" ca="1" si="102"/>
        <v>0</v>
      </c>
      <c r="Z82" s="948">
        <f t="shared" si="103"/>
        <v>89469840.322926968</v>
      </c>
      <c r="AA82" s="13">
        <f t="shared" ca="1" si="104"/>
        <v>2715000</v>
      </c>
      <c r="AB82" s="13">
        <f t="shared" si="105"/>
        <v>0</v>
      </c>
      <c r="AC82" s="949">
        <f t="shared" ca="1" si="106"/>
        <v>6.0690842639276994E-2</v>
      </c>
    </row>
    <row r="83" spans="12:29">
      <c r="L83" s="66"/>
      <c r="M83" s="268">
        <f t="shared" si="99"/>
        <v>16</v>
      </c>
      <c r="N83" s="836">
        <f>IFERROR(SUMIF('Sell-down'!$L$10:$EQ$10,$M83,'Sell-down'!$L$21:$EQ$21)/(COUNTIF('Sell-down'!$L$10:$EQ$10,'Sell-down'!$M83)),)</f>
        <v>24215232.601880878</v>
      </c>
      <c r="O83" s="13">
        <f ca="1">SUMIF('Sell-down'!$L$10:$EQ$10,$M83,'Sell-down'!$L$17:$EQ$17)</f>
        <v>840000.00000000012</v>
      </c>
      <c r="P83" s="13">
        <f>SUMIF('Sell-down'!$L$10:$EQ$10,$M83,'Sell-down'!$L$18:$EQ$18)</f>
        <v>0</v>
      </c>
      <c r="Q83" s="1042">
        <f t="shared" ca="1" si="100"/>
        <v>6.9377817988397483E-2</v>
      </c>
      <c r="R83" s="836">
        <f>IFERROR(SUMIF('Sell-down'!$L$10:$EQ$10,$M83,$L$32:$EQ$32)/(COUNTIF('Sell-down'!$L$10:$EQ$10,'Sell-down'!$M83)),)</f>
        <v>50454607.721046083</v>
      </c>
      <c r="S83" s="13">
        <f ca="1">SUMIF('Sell-down'!$L$10:$EQ$10,$M83,$L$28:$EQ$28)</f>
        <v>1875000</v>
      </c>
      <c r="T83" s="13">
        <f>SUMIF('Sell-down'!$L$10:$EQ$10,$M83,$L$29:$EQ$29)</f>
        <v>0</v>
      </c>
      <c r="U83" s="1042">
        <f t="shared" ca="1" si="101"/>
        <v>7.4324232599984441E-2</v>
      </c>
      <c r="V83" s="948">
        <f>IFERROR(SUMIF('Sell-down'!$L$10:$EQ$10,$M83,'Sell-down'!$L$43:$EQ$43)/(COUNTIF('Sell-down'!$L$10:$EQ$10,'Sell-down'!$M83)),)</f>
        <v>14800000</v>
      </c>
      <c r="W83" s="13">
        <f ca="1">SUMIF('Sell-down'!$L$10:$EQ$10,$M83,'Sell-down'!$L$39:$EQ$39)</f>
        <v>0</v>
      </c>
      <c r="X83" s="13">
        <f>SUMIF('Sell-down'!$L$10:$EQ$10,$M83,'Sell-down'!$L$40:$EQ$40)</f>
        <v>0</v>
      </c>
      <c r="Y83" s="949">
        <f t="shared" ca="1" si="102"/>
        <v>0</v>
      </c>
      <c r="Z83" s="948">
        <f t="shared" si="103"/>
        <v>89469840.322926968</v>
      </c>
      <c r="AA83" s="13">
        <f t="shared" ca="1" si="104"/>
        <v>2715000</v>
      </c>
      <c r="AB83" s="13">
        <f t="shared" si="105"/>
        <v>0</v>
      </c>
      <c r="AC83" s="949">
        <f t="shared" ca="1" si="106"/>
        <v>6.0690842639276994E-2</v>
      </c>
    </row>
    <row r="84" spans="12:29">
      <c r="L84" s="66"/>
      <c r="M84" s="268">
        <f t="shared" si="99"/>
        <v>17</v>
      </c>
      <c r="N84" s="836">
        <f>IFERROR(SUMIF('Sell-down'!$L$10:$EQ$10,$M84,'Sell-down'!$L$21:$EQ$21)/(COUNTIF('Sell-down'!$L$10:$EQ$10,'Sell-down'!$M84)),)</f>
        <v>24215232.601880878</v>
      </c>
      <c r="O84" s="13">
        <f ca="1">SUMIF('Sell-down'!$L$10:$EQ$10,$M84,'Sell-down'!$L$17:$EQ$17)</f>
        <v>840000.00000000012</v>
      </c>
      <c r="P84" s="13">
        <f>SUMIF('Sell-down'!$L$10:$EQ$10,$M84,'Sell-down'!$L$18:$EQ$18)</f>
        <v>0</v>
      </c>
      <c r="Q84" s="1042">
        <f t="shared" ca="1" si="100"/>
        <v>6.9377817988397483E-2</v>
      </c>
      <c r="R84" s="836">
        <f>IFERROR(SUMIF('Sell-down'!$L$10:$EQ$10,$M84,$L$32:$EQ$32)/(COUNTIF('Sell-down'!$L$10:$EQ$10,'Sell-down'!$M84)),)</f>
        <v>50454607.721046083</v>
      </c>
      <c r="S84" s="13">
        <f ca="1">SUMIF('Sell-down'!$L$10:$EQ$10,$M84,$L$28:$EQ$28)</f>
        <v>1875000</v>
      </c>
      <c r="T84" s="13">
        <f>SUMIF('Sell-down'!$L$10:$EQ$10,$M84,$L$29:$EQ$29)</f>
        <v>0</v>
      </c>
      <c r="U84" s="1042">
        <f t="shared" ca="1" si="101"/>
        <v>7.4324232599984441E-2</v>
      </c>
      <c r="V84" s="948">
        <f>IFERROR(SUMIF('Sell-down'!$L$10:$EQ$10,$M84,'Sell-down'!$L$43:$EQ$43)/(COUNTIF('Sell-down'!$L$10:$EQ$10,'Sell-down'!$M84)),)</f>
        <v>14800000</v>
      </c>
      <c r="W84" s="13">
        <f ca="1">SUMIF('Sell-down'!$L$10:$EQ$10,$M84,'Sell-down'!$L$39:$EQ$39)</f>
        <v>0</v>
      </c>
      <c r="X84" s="13">
        <f>SUMIF('Sell-down'!$L$10:$EQ$10,$M84,'Sell-down'!$L$40:$EQ$40)</f>
        <v>0</v>
      </c>
      <c r="Y84" s="949">
        <f t="shared" ca="1" si="102"/>
        <v>0</v>
      </c>
      <c r="Z84" s="948">
        <f t="shared" si="103"/>
        <v>89469840.322926968</v>
      </c>
      <c r="AA84" s="13">
        <f t="shared" ca="1" si="104"/>
        <v>2715000</v>
      </c>
      <c r="AB84" s="13">
        <f t="shared" si="105"/>
        <v>0</v>
      </c>
      <c r="AC84" s="949">
        <f t="shared" ca="1" si="106"/>
        <v>6.0690842639276994E-2</v>
      </c>
    </row>
    <row r="85" spans="12:29">
      <c r="L85" s="66"/>
      <c r="M85" s="268">
        <f t="shared" si="99"/>
        <v>18</v>
      </c>
      <c r="N85" s="836">
        <f>IFERROR(SUMIF('Sell-down'!$L$10:$EQ$10,$M85,'Sell-down'!$L$21:$EQ$21)/(COUNTIF('Sell-down'!$L$10:$EQ$10,'Sell-down'!$M85)),)</f>
        <v>24215232.601880878</v>
      </c>
      <c r="O85" s="13">
        <f ca="1">SUMIF('Sell-down'!$L$10:$EQ$10,$M85,'Sell-down'!$L$17:$EQ$17)</f>
        <v>840000.00000000012</v>
      </c>
      <c r="P85" s="13">
        <f>SUMIF('Sell-down'!$L$10:$EQ$10,$M85,'Sell-down'!$L$18:$EQ$18)</f>
        <v>0</v>
      </c>
      <c r="Q85" s="1042">
        <f t="shared" ca="1" si="100"/>
        <v>6.9377817988397483E-2</v>
      </c>
      <c r="R85" s="836">
        <f>IFERROR(SUMIF('Sell-down'!$L$10:$EQ$10,$M85,$L$32:$EQ$32)/(COUNTIF('Sell-down'!$L$10:$EQ$10,'Sell-down'!$M85)),)</f>
        <v>50454607.721046083</v>
      </c>
      <c r="S85" s="13">
        <f ca="1">SUMIF('Sell-down'!$L$10:$EQ$10,$M85,$L$28:$EQ$28)</f>
        <v>1875000</v>
      </c>
      <c r="T85" s="13">
        <f>SUMIF('Sell-down'!$L$10:$EQ$10,$M85,$L$29:$EQ$29)</f>
        <v>0</v>
      </c>
      <c r="U85" s="1042">
        <f t="shared" ca="1" si="101"/>
        <v>7.4324232599984441E-2</v>
      </c>
      <c r="V85" s="948">
        <f>IFERROR(SUMIF('Sell-down'!$L$10:$EQ$10,$M85,'Sell-down'!$L$43:$EQ$43)/(COUNTIF('Sell-down'!$L$10:$EQ$10,'Sell-down'!$M85)),)</f>
        <v>14800000</v>
      </c>
      <c r="W85" s="13">
        <f ca="1">SUMIF('Sell-down'!$L$10:$EQ$10,$M85,'Sell-down'!$L$39:$EQ$39)</f>
        <v>0</v>
      </c>
      <c r="X85" s="13">
        <f>SUMIF('Sell-down'!$L$10:$EQ$10,$M85,'Sell-down'!$L$40:$EQ$40)</f>
        <v>0</v>
      </c>
      <c r="Y85" s="949">
        <f t="shared" ca="1" si="102"/>
        <v>0</v>
      </c>
      <c r="Z85" s="948">
        <f t="shared" si="103"/>
        <v>89469840.322926968</v>
      </c>
      <c r="AA85" s="13">
        <f t="shared" ca="1" si="104"/>
        <v>2715000</v>
      </c>
      <c r="AB85" s="13">
        <f t="shared" si="105"/>
        <v>0</v>
      </c>
      <c r="AC85" s="949">
        <f t="shared" ca="1" si="106"/>
        <v>6.0690842639276994E-2</v>
      </c>
    </row>
    <row r="86" spans="12:29">
      <c r="L86" s="66"/>
      <c r="M86" s="268">
        <f t="shared" si="99"/>
        <v>19</v>
      </c>
      <c r="N86" s="836">
        <f>IFERROR(SUMIF('Sell-down'!$L$10:$EQ$10,$M86,'Sell-down'!$L$21:$EQ$21)/(COUNTIF('Sell-down'!$L$10:$EQ$10,'Sell-down'!$M86)),)</f>
        <v>24215232.601880878</v>
      </c>
      <c r="O86" s="13">
        <f ca="1">SUMIF('Sell-down'!$L$10:$EQ$10,$M86,'Sell-down'!$L$17:$EQ$17)</f>
        <v>840000.00000000012</v>
      </c>
      <c r="P86" s="13">
        <f>SUMIF('Sell-down'!$L$10:$EQ$10,$M86,'Sell-down'!$L$18:$EQ$18)</f>
        <v>0</v>
      </c>
      <c r="Q86" s="1042">
        <f t="shared" ca="1" si="100"/>
        <v>6.9377817988397483E-2</v>
      </c>
      <c r="R86" s="836">
        <f>IFERROR(SUMIF('Sell-down'!$L$10:$EQ$10,$M86,$L$32:$EQ$32)/(COUNTIF('Sell-down'!$L$10:$EQ$10,'Sell-down'!$M86)),)</f>
        <v>50454607.721046083</v>
      </c>
      <c r="S86" s="13">
        <f ca="1">SUMIF('Sell-down'!$L$10:$EQ$10,$M86,$L$28:$EQ$28)</f>
        <v>1875000</v>
      </c>
      <c r="T86" s="13">
        <f>SUMIF('Sell-down'!$L$10:$EQ$10,$M86,$L$29:$EQ$29)</f>
        <v>0</v>
      </c>
      <c r="U86" s="1042">
        <f t="shared" ca="1" si="101"/>
        <v>7.4324232599984441E-2</v>
      </c>
      <c r="V86" s="948">
        <f>IFERROR(SUMIF('Sell-down'!$L$10:$EQ$10,$M86,'Sell-down'!$L$43:$EQ$43)/(COUNTIF('Sell-down'!$L$10:$EQ$10,'Sell-down'!$M86)),)</f>
        <v>14800000</v>
      </c>
      <c r="W86" s="13">
        <f ca="1">SUMIF('Sell-down'!$L$10:$EQ$10,$M86,'Sell-down'!$L$39:$EQ$39)</f>
        <v>0</v>
      </c>
      <c r="X86" s="13">
        <f>SUMIF('Sell-down'!$L$10:$EQ$10,$M86,'Sell-down'!$L$40:$EQ$40)</f>
        <v>0</v>
      </c>
      <c r="Y86" s="949">
        <f t="shared" ca="1" si="102"/>
        <v>0</v>
      </c>
      <c r="Z86" s="948">
        <f t="shared" si="103"/>
        <v>89469840.322926968</v>
      </c>
      <c r="AA86" s="13">
        <f t="shared" ca="1" si="104"/>
        <v>2715000</v>
      </c>
      <c r="AB86" s="13">
        <f t="shared" si="105"/>
        <v>0</v>
      </c>
      <c r="AC86" s="949">
        <f t="shared" ca="1" si="106"/>
        <v>6.0690842639276994E-2</v>
      </c>
    </row>
    <row r="87" spans="12:29">
      <c r="L87" s="871"/>
      <c r="M87" s="269">
        <f t="shared" si="99"/>
        <v>20</v>
      </c>
      <c r="N87" s="936">
        <f>IFERROR(SUMIF('Sell-down'!$L$10:$EQ$10,$M87,'Sell-down'!$L$21:$EQ$21)/(COUNTIF('Sell-down'!$L$10:$EQ$10,'Sell-down'!$M87)),)</f>
        <v>24215232.601880878</v>
      </c>
      <c r="O87" s="937">
        <f ca="1">SUMIF('Sell-down'!$L$10:$EQ$10,$M87,'Sell-down'!$L$17:$EQ$17)</f>
        <v>840000.00000000012</v>
      </c>
      <c r="P87" s="937">
        <f>SUMIF('Sell-down'!$L$10:$EQ$10,$M87,'Sell-down'!$L$18:$EQ$18)</f>
        <v>-215232.60188087821</v>
      </c>
      <c r="Q87" s="1079">
        <f t="shared" ca="1" si="100"/>
        <v>5.1601189085467972E-2</v>
      </c>
      <c r="R87" s="936">
        <f>IFERROR(SUMIF('Sell-down'!$L$10:$EQ$10,$M87,$L$32:$EQ$32)/(COUNTIF('Sell-down'!$L$10:$EQ$10,'Sell-down'!$M87)),)</f>
        <v>50454607.721046083</v>
      </c>
      <c r="S87" s="937">
        <f ca="1">SUMIF('Sell-down'!$L$10:$EQ$10,$M87,$L$28:$EQ$28)</f>
        <v>1875000</v>
      </c>
      <c r="T87" s="937">
        <f>SUMIF('Sell-down'!$L$10:$EQ$10,$M87,$L$29:$EQ$29)</f>
        <v>11660499.233842118</v>
      </c>
      <c r="U87" s="1079">
        <f t="shared" ca="1" si="101"/>
        <v>0.53654164982026276</v>
      </c>
      <c r="V87" s="950">
        <f>IFERROR(SUMIF('Sell-down'!$L$10:$EQ$10,$M87,'Sell-down'!$L$43:$EQ$43)/(COUNTIF('Sell-down'!$L$10:$EQ$10,'Sell-down'!$M87)),)</f>
        <v>14800000</v>
      </c>
      <c r="W87" s="860">
        <f ca="1">SUMIF('Sell-down'!$L$10:$EQ$10,$M87,'Sell-down'!$L$39:$EQ$39)</f>
        <v>0</v>
      </c>
      <c r="X87" s="860">
        <f>SUMIF('Sell-down'!$L$10:$EQ$10,$M87,'Sell-down'!$L$40:$EQ$40)</f>
        <v>48460427.819552772</v>
      </c>
      <c r="Y87" s="951">
        <f t="shared" ca="1" si="102"/>
        <v>6.5487064621017259</v>
      </c>
      <c r="Z87" s="950">
        <f t="shared" si="103"/>
        <v>89469840.322926968</v>
      </c>
      <c r="AA87" s="860">
        <f t="shared" ca="1" si="104"/>
        <v>2715000</v>
      </c>
      <c r="AB87" s="860">
        <f t="shared" si="105"/>
        <v>59905694.451514013</v>
      </c>
      <c r="AC87" s="1308">
        <f t="shared" ca="1" si="106"/>
        <v>1.399816837170933</v>
      </c>
    </row>
    <row r="88" spans="12:29">
      <c r="L88" s="261"/>
      <c r="M88" s="118" t="s">
        <v>59</v>
      </c>
      <c r="N88" s="119"/>
      <c r="O88" s="13">
        <f ca="1">SUM(O67:O87)</f>
        <v>13440000.000000002</v>
      </c>
      <c r="P88" s="13">
        <f>SUM(P67:P87)</f>
        <v>-215232.60188087821</v>
      </c>
      <c r="Q88" s="22"/>
      <c r="R88" s="119"/>
      <c r="S88" s="13">
        <f ca="1">SUM(S67:S87)</f>
        <v>33750000</v>
      </c>
      <c r="T88" s="13">
        <f>SUM(T67:T87)</f>
        <v>11660499.233842118</v>
      </c>
      <c r="U88" s="22"/>
      <c r="V88" s="13"/>
      <c r="W88" s="13">
        <f ca="1">SUM(W67:W87)</f>
        <v>1110000</v>
      </c>
      <c r="X88" s="13">
        <f>SUM(X67:X87)</f>
        <v>48460427.819552772</v>
      </c>
      <c r="Y88" s="120"/>
      <c r="Z88" s="13"/>
      <c r="AA88" s="13">
        <f ca="1">SUM(AA67:AA87)</f>
        <v>48300000</v>
      </c>
      <c r="AB88" s="13">
        <f>SUM(AB67:AB87)</f>
        <v>59905694.451514013</v>
      </c>
      <c r="AC88" s="120"/>
    </row>
    <row r="89" spans="12:29">
      <c r="L89" s="261"/>
      <c r="M89" s="5" t="s">
        <v>260</v>
      </c>
      <c r="N89" s="119"/>
      <c r="O89" s="5" t="b">
        <f ca="1">O88=J17</f>
        <v>1</v>
      </c>
      <c r="P89" s="5" t="b">
        <f>P88=J18</f>
        <v>1</v>
      </c>
      <c r="Q89" s="952">
        <f>'Sell-down'!I15</f>
        <v>24215232.601880878</v>
      </c>
      <c r="R89" s="119"/>
      <c r="S89" s="5" t="b">
        <f ca="1">S88=J28</f>
        <v>1</v>
      </c>
      <c r="T89" s="5" t="b">
        <f>T88=J29</f>
        <v>1</v>
      </c>
      <c r="U89" s="952">
        <f>I26</f>
        <v>50454607.721046075</v>
      </c>
      <c r="W89" s="5" t="b">
        <f ca="1">W88=J39</f>
        <v>1</v>
      </c>
      <c r="X89" s="5" t="b">
        <f>X88=J40</f>
        <v>1</v>
      </c>
      <c r="Y89" s="953">
        <f>'Sell-down'!I37</f>
        <v>14800000</v>
      </c>
      <c r="AA89" s="13" t="b">
        <f ca="1">SUM(J17,J28,J39)=AA88</f>
        <v>1</v>
      </c>
      <c r="AB89" s="13" t="b">
        <f>SUM(J18,J29,J40)=AB88</f>
        <v>1</v>
      </c>
      <c r="AC89" s="953">
        <f>SUM(Q89,Y89,U89)</f>
        <v>89469840.322926953</v>
      </c>
    </row>
    <row r="90" spans="12:29">
      <c r="L90" s="263"/>
      <c r="M90" s="32" t="s">
        <v>265</v>
      </c>
      <c r="N90" s="954"/>
      <c r="O90" s="32"/>
      <c r="P90" s="32"/>
      <c r="Q90" s="955">
        <f ca="1">'Sell-down'!H19</f>
        <v>6.9377817988397483E-2</v>
      </c>
      <c r="R90" s="954"/>
      <c r="S90" s="32"/>
      <c r="T90" s="32"/>
      <c r="U90" s="955">
        <f ca="1">H30</f>
        <v>7.4324232599984455E-2</v>
      </c>
      <c r="V90" s="32"/>
      <c r="W90" s="32"/>
      <c r="X90" s="32"/>
      <c r="Y90" s="957">
        <f ca="1">'Sell-down'!H41</f>
        <v>7.4999999999999997E-3</v>
      </c>
      <c r="Z90" s="32"/>
      <c r="AA90" s="32"/>
      <c r="AB90" s="32"/>
      <c r="AC90" s="957">
        <f ca="1">(AA88/AC89)*(12/'Sell-down'!$H$42)</f>
        <v>5.3984672181898334E-2</v>
      </c>
    </row>
    <row r="91" spans="12:29">
      <c r="L91" s="261"/>
      <c r="M91" s="5" t="s">
        <v>631</v>
      </c>
      <c r="N91" s="119"/>
      <c r="Q91" s="938">
        <f ca="1">'Sell-down'!I19</f>
        <v>6.9699086115782682E-2</v>
      </c>
      <c r="R91" s="119"/>
      <c r="U91" s="938">
        <f ca="1">I30</f>
        <v>7.4928371891924472E-2</v>
      </c>
      <c r="Y91" s="958">
        <f ca="1">'Sell-down'!I41</f>
        <v>7.7792962088110151E-3</v>
      </c>
      <c r="AC91" s="958">
        <f ca="1">'Sell-down'!I48</f>
        <v>6.0955130829373649E-2</v>
      </c>
    </row>
    <row r="92" spans="12:29">
      <c r="L92" s="261"/>
      <c r="M92" s="5" t="s">
        <v>267</v>
      </c>
      <c r="N92" s="119"/>
      <c r="Q92" s="938">
        <f ca="1">'Sell-down'!I20</f>
        <v>6.8811380144469858E-2</v>
      </c>
      <c r="R92" s="119"/>
      <c r="U92" s="938">
        <f ca="1">I31</f>
        <v>9.2834322117689716E-2</v>
      </c>
      <c r="Y92" s="958">
        <f ca="1">'Sell-down'!I42</f>
        <v>0.16438586395039967</v>
      </c>
      <c r="AC92" s="958">
        <f ca="1">'Sell-down'!I49</f>
        <v>0.10979473504796933</v>
      </c>
    </row>
    <row r="93" spans="12:29">
      <c r="L93" s="872"/>
      <c r="M93" s="138" t="s">
        <v>268</v>
      </c>
      <c r="N93" s="137"/>
      <c r="O93" s="138"/>
      <c r="P93" s="138"/>
      <c r="Q93" s="956">
        <f ca="1">IFERROR((SUM(O88:P88)+Q89)/Q89,)</f>
        <v>1.546134229455715</v>
      </c>
      <c r="R93" s="137"/>
      <c r="S93" s="138"/>
      <c r="T93" s="138"/>
      <c r="U93" s="956">
        <f ca="1">IFERROR((SUM(S88:T88)+U89)/U89,)</f>
        <v>1.9000268020099993</v>
      </c>
      <c r="V93" s="138"/>
      <c r="W93" s="138"/>
      <c r="X93" s="138"/>
      <c r="Y93" s="959">
        <f ca="1">(SUM(W88:X88)+Y89)/Y89</f>
        <v>4.3493532310508627</v>
      </c>
      <c r="Z93" s="138"/>
      <c r="AA93" s="138"/>
      <c r="AB93" s="138"/>
      <c r="AC93" s="959">
        <f ca="1">(SUM(AA88:AB88)+AC89)/AC89</f>
        <v>2.2094097190848112</v>
      </c>
    </row>
  </sheetData>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M24" sqref="M24"/>
    </sheetView>
  </sheetViews>
  <sheetFormatPr defaultRowHeight="11.25" customHeight="1"/>
  <cols>
    <col min="4" max="4" width="12.75" customWidth="1"/>
    <col min="6" max="13" width="9" customWidth="1"/>
    <col min="14" max="21" width="11.125" bestFit="1" customWidth="1"/>
  </cols>
  <sheetData>
    <row r="1" spans="2:22" ht="11.25" customHeight="1">
      <c r="C1" t="s">
        <v>1230</v>
      </c>
      <c r="E1" s="2096">
        <v>3</v>
      </c>
      <c r="M1" t="s">
        <v>1237</v>
      </c>
      <c r="N1" t="s">
        <v>1237</v>
      </c>
      <c r="O1" t="s">
        <v>1237</v>
      </c>
      <c r="P1" t="s">
        <v>1237</v>
      </c>
      <c r="Q1" t="s">
        <v>1237</v>
      </c>
      <c r="R1" t="s">
        <v>1237</v>
      </c>
      <c r="S1" t="s">
        <v>1237</v>
      </c>
      <c r="T1" t="s">
        <v>1237</v>
      </c>
      <c r="U1" t="s">
        <v>1237</v>
      </c>
    </row>
    <row r="3" spans="2:22" ht="11.25" customHeight="1">
      <c r="E3" t="s">
        <v>119</v>
      </c>
      <c r="F3" s="2098">
        <f>'A&amp;R'!M32</f>
        <v>46326</v>
      </c>
      <c r="G3" s="2098">
        <f>F4+1</f>
        <v>46419</v>
      </c>
      <c r="H3" s="2098">
        <f t="shared" ref="H3:U3" si="0">G4+1</f>
        <v>46508</v>
      </c>
      <c r="I3" s="2098">
        <f t="shared" si="0"/>
        <v>46600</v>
      </c>
      <c r="J3" s="2098">
        <f t="shared" si="0"/>
        <v>46692</v>
      </c>
      <c r="K3" s="2098">
        <f t="shared" si="0"/>
        <v>46784</v>
      </c>
      <c r="L3" s="2098">
        <f t="shared" si="0"/>
        <v>46874</v>
      </c>
      <c r="M3" s="2098">
        <f t="shared" si="0"/>
        <v>46966</v>
      </c>
      <c r="N3" s="2098">
        <f t="shared" si="0"/>
        <v>47058</v>
      </c>
      <c r="O3" s="2098">
        <f t="shared" si="0"/>
        <v>47150</v>
      </c>
      <c r="P3" s="2098">
        <f t="shared" si="0"/>
        <v>47239</v>
      </c>
      <c r="Q3" s="2098">
        <f t="shared" si="0"/>
        <v>47331</v>
      </c>
      <c r="R3" s="2098">
        <f t="shared" si="0"/>
        <v>47423</v>
      </c>
      <c r="S3" s="2098">
        <f t="shared" si="0"/>
        <v>47515</v>
      </c>
      <c r="T3" s="2098">
        <f t="shared" si="0"/>
        <v>47604</v>
      </c>
      <c r="U3" s="2098">
        <f t="shared" si="0"/>
        <v>47696</v>
      </c>
    </row>
    <row r="4" spans="2:22" ht="11.25" customHeight="1">
      <c r="E4" t="s">
        <v>120</v>
      </c>
      <c r="F4" s="2098">
        <f>EOMONTH(F3-1,$E$1)</f>
        <v>46418</v>
      </c>
      <c r="G4" s="2098">
        <f>EOMONTH(G3-1,$E$1)</f>
        <v>46507</v>
      </c>
      <c r="H4" s="2098">
        <f t="shared" ref="H4:M4" si="1">EOMONTH(H3-1,$E$1)</f>
        <v>46599</v>
      </c>
      <c r="I4" s="2098">
        <f t="shared" si="1"/>
        <v>46691</v>
      </c>
      <c r="J4" s="2098">
        <f t="shared" si="1"/>
        <v>46783</v>
      </c>
      <c r="K4" s="2098">
        <f t="shared" si="1"/>
        <v>46873</v>
      </c>
      <c r="L4" s="2098">
        <f t="shared" si="1"/>
        <v>46965</v>
      </c>
      <c r="M4" s="2098">
        <f t="shared" si="1"/>
        <v>47057</v>
      </c>
      <c r="N4" s="2098">
        <f t="shared" ref="N4" si="2">EOMONTH(N3-1,$E$1)</f>
        <v>47149</v>
      </c>
      <c r="O4" s="2098">
        <f t="shared" ref="O4" si="3">EOMONTH(O3-1,$E$1)</f>
        <v>47238</v>
      </c>
      <c r="P4" s="2098">
        <f t="shared" ref="P4" si="4">EOMONTH(P3-1,$E$1)</f>
        <v>47330</v>
      </c>
      <c r="Q4" s="2098">
        <f t="shared" ref="Q4" si="5">EOMONTH(Q3-1,$E$1)</f>
        <v>47422</v>
      </c>
      <c r="R4" s="2098">
        <f t="shared" ref="R4" si="6">EOMONTH(R3-1,$E$1)</f>
        <v>47514</v>
      </c>
      <c r="S4" s="2098">
        <f t="shared" ref="S4" si="7">EOMONTH(S3-1,$E$1)</f>
        <v>47603</v>
      </c>
      <c r="T4" s="2098">
        <f t="shared" ref="T4" si="8">EOMONTH(T3-1,$E$1)</f>
        <v>47695</v>
      </c>
      <c r="U4" s="2098">
        <f t="shared" ref="U4" si="9">EOMONTH(U3-1,$E$1)</f>
        <v>47787</v>
      </c>
    </row>
    <row r="5" spans="2:22" ht="11.25" customHeight="1">
      <c r="B5" t="s">
        <v>1697</v>
      </c>
      <c r="C5" s="2786" t="s">
        <v>1207</v>
      </c>
      <c r="D5" s="2786"/>
      <c r="E5" s="2089" t="s">
        <v>104</v>
      </c>
      <c r="F5" s="2097">
        <v>1</v>
      </c>
      <c r="G5" s="2097">
        <f>F5+1</f>
        <v>2</v>
      </c>
      <c r="H5" s="2097">
        <f t="shared" ref="H5:I5" si="10">G5+1</f>
        <v>3</v>
      </c>
      <c r="I5" s="2097">
        <f t="shared" si="10"/>
        <v>4</v>
      </c>
      <c r="J5" s="2097">
        <f t="shared" ref="J5:M5" si="11">I5+1</f>
        <v>5</v>
      </c>
      <c r="K5" s="2097">
        <f t="shared" si="11"/>
        <v>6</v>
      </c>
      <c r="L5" s="2097">
        <f t="shared" si="11"/>
        <v>7</v>
      </c>
      <c r="M5" s="2097">
        <f t="shared" si="11"/>
        <v>8</v>
      </c>
      <c r="N5" s="2097">
        <f t="shared" ref="N5:U5" si="12">M5+1</f>
        <v>9</v>
      </c>
      <c r="O5" s="2097">
        <f t="shared" si="12"/>
        <v>10</v>
      </c>
      <c r="P5" s="2097">
        <f t="shared" si="12"/>
        <v>11</v>
      </c>
      <c r="Q5" s="2097">
        <f t="shared" si="12"/>
        <v>12</v>
      </c>
      <c r="R5" s="2097">
        <f t="shared" si="12"/>
        <v>13</v>
      </c>
      <c r="S5" s="2097">
        <f t="shared" si="12"/>
        <v>14</v>
      </c>
      <c r="T5" s="2097">
        <f t="shared" si="12"/>
        <v>15</v>
      </c>
      <c r="U5" s="2097">
        <f t="shared" si="12"/>
        <v>16</v>
      </c>
    </row>
    <row r="6" spans="2:22" ht="11.25" customHeight="1">
      <c r="C6" s="2787" t="s">
        <v>1208</v>
      </c>
      <c r="D6" s="2787"/>
      <c r="E6" s="2103">
        <f>SUM(F6:U6)</f>
        <v>31019.959627661996</v>
      </c>
      <c r="F6" s="2103">
        <f t="shared" ref="F6:U6" si="13">SUM(F7:F9)</f>
        <v>3692.0650452947502</v>
      </c>
      <c r="G6" s="2103">
        <f t="shared" si="13"/>
        <v>3772.2572644205302</v>
      </c>
      <c r="H6" s="2103">
        <f t="shared" si="13"/>
        <v>3859.1154334992816</v>
      </c>
      <c r="I6" s="2103">
        <f t="shared" si="13"/>
        <v>4013.662476061781</v>
      </c>
      <c r="J6" s="2103">
        <f t="shared" si="13"/>
        <v>3774.9495923339682</v>
      </c>
      <c r="K6" s="2103">
        <f t="shared" si="13"/>
        <v>3857.1466169378946</v>
      </c>
      <c r="L6" s="2103">
        <f t="shared" si="13"/>
        <v>3946.1762402436129</v>
      </c>
      <c r="M6" s="2103">
        <f t="shared" si="13"/>
        <v>4104.5869588701753</v>
      </c>
      <c r="N6" s="2103">
        <f t="shared" si="13"/>
        <v>0</v>
      </c>
      <c r="O6" s="2103">
        <f t="shared" si="13"/>
        <v>0</v>
      </c>
      <c r="P6" s="2103">
        <f t="shared" si="13"/>
        <v>0</v>
      </c>
      <c r="Q6" s="2103">
        <f t="shared" si="13"/>
        <v>0</v>
      </c>
      <c r="R6" s="2103">
        <f t="shared" si="13"/>
        <v>0</v>
      </c>
      <c r="S6" s="2103">
        <f t="shared" si="13"/>
        <v>0</v>
      </c>
      <c r="T6" s="2103">
        <f t="shared" si="13"/>
        <v>0</v>
      </c>
      <c r="U6" s="2103">
        <f t="shared" si="13"/>
        <v>0</v>
      </c>
      <c r="V6" t="b">
        <f>ABS(SUM('IS(M)'!N18:AK18)/1000-E6)&lt;1</f>
        <v>1</v>
      </c>
    </row>
    <row r="7" spans="2:22" ht="11.25" customHeight="1">
      <c r="B7" s="2583">
        <v>1</v>
      </c>
      <c r="C7" s="2090"/>
      <c r="D7" s="2091" t="s">
        <v>1209</v>
      </c>
      <c r="E7" s="2103">
        <f t="shared" ref="E7:E32" si="14">SUM(F7:U7)</f>
        <v>29157.84655407703</v>
      </c>
      <c r="F7" s="2103">
        <f>SUMIF('IS(M)'!$M$13:$ER$13,F$5,'IS(M)'!$M19:$ER19)/1000*$B7</f>
        <v>3463.8900165</v>
      </c>
      <c r="G7" s="2103">
        <f>SUMIF('IS(M)'!$M$13:$ER$13,G$5,'IS(M)'!$M19:$ER19)/1000*$B7</f>
        <v>3541.538628140624</v>
      </c>
      <c r="H7" s="2103">
        <f>SUMIF('IS(M)'!$M$13:$ER$13,H$5,'IS(M)'!$M19:$ER19)/1000*$B7</f>
        <v>3627.4132146890629</v>
      </c>
      <c r="I7" s="2103">
        <f>SUMIF('IS(M)'!$M$13:$ER$13,I$5,'IS(M)'!$M19:$ER19)/1000*$B7</f>
        <v>3781.9602572515623</v>
      </c>
      <c r="J7" s="2103">
        <f>SUMIF('IS(M)'!$M$13:$ER$13,J$5,'IS(M)'!$M19:$ER19)/1000*$B7</f>
        <v>3542.4553339124996</v>
      </c>
      <c r="K7" s="2103">
        <f>SUMIF('IS(M)'!$M$13:$ER$13,K$5,'IS(M)'!$M19:$ER19)/1000*$B7</f>
        <v>3622.0451608441408</v>
      </c>
      <c r="L7" s="2103">
        <f>SUMIF('IS(M)'!$M$13:$ER$13,L$5,'IS(M)'!$M19:$ER19)/1000*$B7</f>
        <v>3710.0666120562887</v>
      </c>
      <c r="M7" s="2103">
        <f>SUMIF('IS(M)'!$M$13:$ER$13,M$5,'IS(M)'!$M19:$ER19)/1000*$B7</f>
        <v>3868.4773306828515</v>
      </c>
      <c r="N7" s="2103">
        <f>SUMIF('IS(M)'!$M$13:$ER$13,N$5,'IS(M)'!$M19:$ER19)/1000*$B7</f>
        <v>0</v>
      </c>
      <c r="O7" s="2103">
        <f>SUMIF('IS(M)'!$M$13:$ER$13,O$5,'IS(M)'!$M19:$ER19)/1000*$B7</f>
        <v>0</v>
      </c>
      <c r="P7" s="2103">
        <f>SUMIF('IS(M)'!$M$13:$ER$13,P$5,'IS(M)'!$M19:$ER19)/1000*$B7</f>
        <v>0</v>
      </c>
      <c r="Q7" s="2103">
        <f>SUMIF('IS(M)'!$M$13:$ER$13,Q$5,'IS(M)'!$M19:$ER19)/1000*$B7</f>
        <v>0</v>
      </c>
      <c r="R7" s="2103">
        <f>SUMIF('IS(M)'!$M$13:$ER$13,R$5,'IS(M)'!$M19:$ER19)/1000*$B7</f>
        <v>0</v>
      </c>
      <c r="S7" s="2103">
        <f>SUMIF('IS(M)'!$M$13:$ER$13,S$5,'IS(M)'!$M19:$ER19)/1000*$B7</f>
        <v>0</v>
      </c>
      <c r="T7" s="2103">
        <f>SUMIF('IS(M)'!$M$13:$ER$13,T$5,'IS(M)'!$M19:$ER19)/1000*$B7</f>
        <v>0</v>
      </c>
      <c r="U7" s="2103">
        <f>SUMIF('IS(M)'!$M$13:$ER$13,U$5,'IS(M)'!$M19:$ER19)/1000*$B7</f>
        <v>0</v>
      </c>
    </row>
    <row r="8" spans="2:22" ht="11.25" customHeight="1">
      <c r="B8" s="2583">
        <v>1</v>
      </c>
      <c r="C8" s="2090"/>
      <c r="D8" s="2091" t="s">
        <v>1210</v>
      </c>
      <c r="E8" s="2103">
        <f t="shared" si="14"/>
        <v>1576.2266437769647</v>
      </c>
      <c r="F8" s="2103">
        <f>SUMIF('IS(M)'!$M$13:$ER$13,F$5,'IS(M)'!$M20:$ER20)/1000*$B8</f>
        <v>192.43922506875001</v>
      </c>
      <c r="G8" s="2103">
        <f>SUMIF('IS(M)'!$M$13:$ER$13,G$5,'IS(M)'!$M20:$ER20)/1000*$B8</f>
        <v>194.98283255390626</v>
      </c>
      <c r="H8" s="2103">
        <f>SUMIF('IS(M)'!$M$13:$ER$13,H$5,'IS(M)'!$M20:$ER20)/1000*$B8</f>
        <v>195.96641508421874</v>
      </c>
      <c r="I8" s="2103">
        <f>SUMIF('IS(M)'!$M$13:$ER$13,I$5,'IS(M)'!$M20:$ER20)/1000*$B8</f>
        <v>195.96641508421874</v>
      </c>
      <c r="J8" s="2103">
        <f>SUMIF('IS(M)'!$M$13:$ER$13,J$5,'IS(M)'!$M20:$ER20)/1000*$B8</f>
        <v>196.75845469546874</v>
      </c>
      <c r="K8" s="2103">
        <f>SUMIF('IS(M)'!$M$13:$ER$13,K$5,'IS(M)'!$M20:$ER20)/1000*$B8</f>
        <v>199.36565236775388</v>
      </c>
      <c r="L8" s="2103">
        <f>SUMIF('IS(M)'!$M$13:$ER$13,L$5,'IS(M)'!$M20:$ER20)/1000*$B8</f>
        <v>200.37382446132423</v>
      </c>
      <c r="M8" s="2103">
        <f>SUMIF('IS(M)'!$M$13:$ER$13,M$5,'IS(M)'!$M20:$ER20)/1000*$B8</f>
        <v>200.37382446132423</v>
      </c>
      <c r="N8" s="2103">
        <f>SUMIF('IS(M)'!$M$13:$ER$13,N$5,'IS(M)'!$M20:$ER20)/1000*$B8</f>
        <v>0</v>
      </c>
      <c r="O8" s="2103">
        <f>SUMIF('IS(M)'!$M$13:$ER$13,O$5,'IS(M)'!$M20:$ER20)/1000*$B8</f>
        <v>0</v>
      </c>
      <c r="P8" s="2103">
        <f>SUMIF('IS(M)'!$M$13:$ER$13,P$5,'IS(M)'!$M20:$ER20)/1000*$B8</f>
        <v>0</v>
      </c>
      <c r="Q8" s="2103">
        <f>SUMIF('IS(M)'!$M$13:$ER$13,Q$5,'IS(M)'!$M20:$ER20)/1000*$B8</f>
        <v>0</v>
      </c>
      <c r="R8" s="2103">
        <f>SUMIF('IS(M)'!$M$13:$ER$13,R$5,'IS(M)'!$M20:$ER20)/1000*$B8</f>
        <v>0</v>
      </c>
      <c r="S8" s="2103">
        <f>SUMIF('IS(M)'!$M$13:$ER$13,S$5,'IS(M)'!$M20:$ER20)/1000*$B8</f>
        <v>0</v>
      </c>
      <c r="T8" s="2103">
        <f>SUMIF('IS(M)'!$M$13:$ER$13,T$5,'IS(M)'!$M20:$ER20)/1000*$B8</f>
        <v>0</v>
      </c>
      <c r="U8" s="2103">
        <f>SUMIF('IS(M)'!$M$13:$ER$13,U$5,'IS(M)'!$M20:$ER20)/1000*$B8</f>
        <v>0</v>
      </c>
    </row>
    <row r="9" spans="2:22" ht="11.25" customHeight="1">
      <c r="B9" s="2583">
        <v>1</v>
      </c>
      <c r="C9" s="2090"/>
      <c r="D9" s="2091" t="s">
        <v>1211</v>
      </c>
      <c r="E9" s="2103">
        <f t="shared" si="14"/>
        <v>285.886429808</v>
      </c>
      <c r="F9" s="2103">
        <f>SUMIF('IS(M)'!$M$13:$ER$13,F$5,'IS(M)'!$M21:$ER21)/1000*$B9</f>
        <v>35.735803726</v>
      </c>
      <c r="G9" s="2103">
        <f>SUMIF('IS(M)'!$M$13:$ER$13,G$5,'IS(M)'!$M21:$ER21)/1000*$B9</f>
        <v>35.735803726</v>
      </c>
      <c r="H9" s="2103">
        <f>SUMIF('IS(M)'!$M$13:$ER$13,H$5,'IS(M)'!$M21:$ER21)/1000*$B9</f>
        <v>35.735803726</v>
      </c>
      <c r="I9" s="2103">
        <f>SUMIF('IS(M)'!$M$13:$ER$13,I$5,'IS(M)'!$M21:$ER21)/1000*$B9</f>
        <v>35.735803726</v>
      </c>
      <c r="J9" s="2103">
        <f>SUMIF('IS(M)'!$M$13:$ER$13,J$5,'IS(M)'!$M21:$ER21)/1000*$B9</f>
        <v>35.735803726</v>
      </c>
      <c r="K9" s="2103">
        <f>SUMIF('IS(M)'!$M$13:$ER$13,K$5,'IS(M)'!$M21:$ER21)/1000*$B9</f>
        <v>35.735803726</v>
      </c>
      <c r="L9" s="2103">
        <f>SUMIF('IS(M)'!$M$13:$ER$13,L$5,'IS(M)'!$M21:$ER21)/1000*$B9</f>
        <v>35.735803726</v>
      </c>
      <c r="M9" s="2103">
        <f>SUMIF('IS(M)'!$M$13:$ER$13,M$5,'IS(M)'!$M21:$ER21)/1000*$B9</f>
        <v>35.735803726</v>
      </c>
      <c r="N9" s="2103">
        <f>SUMIF('IS(M)'!$M$13:$ER$13,N$5,'IS(M)'!$M21:$ER21)/1000*$B9</f>
        <v>0</v>
      </c>
      <c r="O9" s="2103">
        <f>SUMIF('IS(M)'!$M$13:$ER$13,O$5,'IS(M)'!$M21:$ER21)/1000*$B9</f>
        <v>0</v>
      </c>
      <c r="P9" s="2103">
        <f>SUMIF('IS(M)'!$M$13:$ER$13,P$5,'IS(M)'!$M21:$ER21)/1000*$B9</f>
        <v>0</v>
      </c>
      <c r="Q9" s="2103">
        <f>SUMIF('IS(M)'!$M$13:$ER$13,Q$5,'IS(M)'!$M21:$ER21)/1000*$B9</f>
        <v>0</v>
      </c>
      <c r="R9" s="2103">
        <f>SUMIF('IS(M)'!$M$13:$ER$13,R$5,'IS(M)'!$M21:$ER21)/1000*$B9</f>
        <v>0</v>
      </c>
      <c r="S9" s="2103">
        <f>SUMIF('IS(M)'!$M$13:$ER$13,S$5,'IS(M)'!$M21:$ER21)/1000*$B9</f>
        <v>0</v>
      </c>
      <c r="T9" s="2103">
        <f>SUMIF('IS(M)'!$M$13:$ER$13,T$5,'IS(M)'!$M21:$ER21)/1000*$B9</f>
        <v>0</v>
      </c>
      <c r="U9" s="2103">
        <f>SUMIF('IS(M)'!$M$13:$ER$13,U$5,'IS(M)'!$M21:$ER21)/1000*$B9</f>
        <v>0</v>
      </c>
    </row>
    <row r="10" spans="2:22" ht="11.25" customHeight="1">
      <c r="B10" s="2582"/>
      <c r="C10" s="2787" t="s">
        <v>1212</v>
      </c>
      <c r="D10" s="2787"/>
      <c r="E10" s="2103">
        <f t="shared" si="14"/>
        <v>4452.8082600507523</v>
      </c>
      <c r="F10" s="2103">
        <f>SUM(F11:F23)</f>
        <v>566.0888368824501</v>
      </c>
      <c r="G10" s="2103">
        <f>SUM(G11:G23)</f>
        <v>555.21546688245007</v>
      </c>
      <c r="H10" s="2103">
        <f>SUM(H11:H23)</f>
        <v>555.21546688245007</v>
      </c>
      <c r="I10" s="2103">
        <f>SUM(I11:I23)</f>
        <v>555.21546688245007</v>
      </c>
      <c r="J10" s="2103">
        <f t="shared" ref="J10:M10" si="15">SUM(J11:J23)</f>
        <v>555.26825563023795</v>
      </c>
      <c r="K10" s="2103">
        <f t="shared" si="15"/>
        <v>555.26825563023795</v>
      </c>
      <c r="L10" s="2103">
        <f t="shared" si="15"/>
        <v>555.26825563023795</v>
      </c>
      <c r="M10" s="2103">
        <f t="shared" si="15"/>
        <v>555.26825563023795</v>
      </c>
      <c r="N10" s="2103">
        <f t="shared" ref="N10" si="16">SUM(N11:N23)</f>
        <v>0</v>
      </c>
      <c r="O10" s="2103">
        <f t="shared" ref="O10" si="17">SUM(O11:O23)</f>
        <v>0</v>
      </c>
      <c r="P10" s="2103">
        <f t="shared" ref="P10" si="18">SUM(P11:P23)</f>
        <v>0</v>
      </c>
      <c r="Q10" s="2103">
        <f t="shared" ref="Q10" si="19">SUM(Q11:Q23)</f>
        <v>0</v>
      </c>
      <c r="R10" s="2103">
        <f t="shared" ref="R10" si="20">SUM(R11:R23)</f>
        <v>0</v>
      </c>
      <c r="S10" s="2103">
        <f t="shared" ref="S10" si="21">SUM(S11:S23)</f>
        <v>0</v>
      </c>
      <c r="T10" s="2103">
        <f t="shared" ref="T10" si="22">SUM(T11:T23)</f>
        <v>0</v>
      </c>
      <c r="U10" s="2103">
        <f t="shared" ref="U10" si="23">SUM(U11:U23)</f>
        <v>0</v>
      </c>
    </row>
    <row r="11" spans="2:22" ht="11.25" customHeight="1">
      <c r="B11" s="2583">
        <v>0</v>
      </c>
      <c r="C11" s="2100">
        <v>25</v>
      </c>
      <c r="D11" s="2092" t="s">
        <v>1213</v>
      </c>
      <c r="E11" s="2104">
        <f t="shared" si="14"/>
        <v>0</v>
      </c>
      <c r="F11" s="2103">
        <f>SUMIF('IS(M)'!$M$13:$ER$13,F$5,'IS(M)'!$M25:$ER25)/1000*$B11</f>
        <v>0</v>
      </c>
      <c r="G11" s="2103">
        <f>SUMIF('IS(M)'!$M$13:$ER$13,G$5,'IS(M)'!$M25:$ER25)/1000*$B11</f>
        <v>0</v>
      </c>
      <c r="H11" s="2103">
        <f>SUMIF('IS(M)'!$M$13:$ER$13,H$5,'IS(M)'!$M25:$ER25)/1000*$B11</f>
        <v>0</v>
      </c>
      <c r="I11" s="2103">
        <f>SUMIF('IS(M)'!$M$13:$ER$13,I$5,'IS(M)'!$M25:$ER25)/1000*$B11</f>
        <v>0</v>
      </c>
      <c r="J11" s="2103">
        <f>SUMIF('IS(M)'!$M$13:$ER$13,J$5,'IS(M)'!$M25:$ER25)/1000*$B11</f>
        <v>0</v>
      </c>
      <c r="K11" s="2103">
        <f>SUMIF('IS(M)'!$M$13:$ER$13,K$5,'IS(M)'!$M25:$ER25)/1000*$B11</f>
        <v>0</v>
      </c>
      <c r="L11" s="2103">
        <f>SUMIF('IS(M)'!$M$13:$ER$13,L$5,'IS(M)'!$M25:$ER25)/1000*$B11</f>
        <v>0</v>
      </c>
      <c r="M11" s="2103">
        <f>SUMIF('IS(M)'!$M$13:$ER$13,M$5,'IS(M)'!$M25:$ER25)/1000*$B11</f>
        <v>0</v>
      </c>
      <c r="N11" s="2103">
        <f>SUMIF('IS(M)'!$M$13:$ER$13,N$5,'IS(M)'!$M25:$ER25)/1000*$B11</f>
        <v>0</v>
      </c>
      <c r="O11" s="2103">
        <f>SUMIF('IS(M)'!$M$13:$ER$13,O$5,'IS(M)'!$M25:$ER25)/1000*$B11</f>
        <v>0</v>
      </c>
      <c r="P11" s="2103">
        <f>SUMIF('IS(M)'!$M$13:$ER$13,P$5,'IS(M)'!$M25:$ER25)/1000*$B11</f>
        <v>0</v>
      </c>
      <c r="Q11" s="2103">
        <f>SUMIF('IS(M)'!$M$13:$ER$13,Q$5,'IS(M)'!$M25:$ER25)/1000*$B11</f>
        <v>0</v>
      </c>
      <c r="R11" s="2103">
        <f>SUMIF('IS(M)'!$M$13:$ER$13,R$5,'IS(M)'!$M25:$ER25)/1000*$B11</f>
        <v>0</v>
      </c>
      <c r="S11" s="2103">
        <f>SUMIF('IS(M)'!$M$13:$ER$13,S$5,'IS(M)'!$M25:$ER25)/1000*$B11</f>
        <v>0</v>
      </c>
      <c r="T11" s="2103">
        <f>SUMIF('IS(M)'!$M$13:$ER$13,T$5,'IS(M)'!$M25:$ER25)/1000*$B11</f>
        <v>0</v>
      </c>
      <c r="U11" s="2103">
        <f>SUMIF('IS(M)'!$M$13:$ER$13,U$5,'IS(M)'!$M25:$ER25)/1000*$B11</f>
        <v>0</v>
      </c>
    </row>
    <row r="12" spans="2:22" ht="11.25" customHeight="1">
      <c r="B12" s="2583">
        <v>1</v>
      </c>
      <c r="C12" s="2100">
        <v>30</v>
      </c>
      <c r="D12" s="2092" t="s">
        <v>80</v>
      </c>
      <c r="E12" s="2104">
        <f t="shared" si="14"/>
        <v>0</v>
      </c>
      <c r="F12" s="2103">
        <f>SUMIF('IS(M)'!$M$13:$ER$13,F$5,'IS(M)'!$M30:$ER30)/1000*$B12</f>
        <v>0</v>
      </c>
      <c r="G12" s="2103">
        <f>SUMIF('IS(M)'!$M$13:$ER$13,G$5,'IS(M)'!$M30:$ER30)/1000*$B12</f>
        <v>0</v>
      </c>
      <c r="H12" s="2103">
        <f>SUMIF('IS(M)'!$M$13:$ER$13,H$5,'IS(M)'!$M30:$ER30)/1000*$B12</f>
        <v>0</v>
      </c>
      <c r="I12" s="2103">
        <f>SUMIF('IS(M)'!$M$13:$ER$13,I$5,'IS(M)'!$M30:$ER30)/1000*$B12</f>
        <v>0</v>
      </c>
      <c r="J12" s="2103">
        <f>SUMIF('IS(M)'!$M$13:$ER$13,J$5,'IS(M)'!$M30:$ER30)/1000*$B12</f>
        <v>0</v>
      </c>
      <c r="K12" s="2103">
        <f>SUMIF('IS(M)'!$M$13:$ER$13,K$5,'IS(M)'!$M30:$ER30)/1000*$B12</f>
        <v>0</v>
      </c>
      <c r="L12" s="2103">
        <f>SUMIF('IS(M)'!$M$13:$ER$13,L$5,'IS(M)'!$M30:$ER30)/1000*$B12</f>
        <v>0</v>
      </c>
      <c r="M12" s="2103">
        <f>SUMIF('IS(M)'!$M$13:$ER$13,M$5,'IS(M)'!$M30:$ER30)/1000*$B12</f>
        <v>0</v>
      </c>
      <c r="N12" s="2103">
        <f>SUMIF('IS(M)'!$M$13:$ER$13,N$5,'IS(M)'!$M30:$ER30)/1000*$B12</f>
        <v>0</v>
      </c>
      <c r="O12" s="2103">
        <f>SUMIF('IS(M)'!$M$13:$ER$13,O$5,'IS(M)'!$M30:$ER30)/1000*$B12</f>
        <v>0</v>
      </c>
      <c r="P12" s="2103">
        <f>SUMIF('IS(M)'!$M$13:$ER$13,P$5,'IS(M)'!$M30:$ER30)/1000*$B12</f>
        <v>0</v>
      </c>
      <c r="Q12" s="2103">
        <f>SUMIF('IS(M)'!$M$13:$ER$13,Q$5,'IS(M)'!$M30:$ER30)/1000*$B12</f>
        <v>0</v>
      </c>
      <c r="R12" s="2103">
        <f>SUMIF('IS(M)'!$M$13:$ER$13,R$5,'IS(M)'!$M30:$ER30)/1000*$B12</f>
        <v>0</v>
      </c>
      <c r="S12" s="2103">
        <f>SUMIF('IS(M)'!$M$13:$ER$13,S$5,'IS(M)'!$M30:$ER30)/1000*$B12</f>
        <v>0</v>
      </c>
      <c r="T12" s="2103">
        <f>SUMIF('IS(M)'!$M$13:$ER$13,T$5,'IS(M)'!$M30:$ER30)/1000*$B12</f>
        <v>0</v>
      </c>
      <c r="U12" s="2103">
        <f>SUMIF('IS(M)'!$M$13:$ER$13,U$5,'IS(M)'!$M30:$ER30)/1000*$B12</f>
        <v>0</v>
      </c>
    </row>
    <row r="13" spans="2:22" ht="11.25" customHeight="1">
      <c r="B13" s="2583">
        <v>1</v>
      </c>
      <c r="C13" s="2100" t="s">
        <v>1231</v>
      </c>
      <c r="D13" s="2093" t="s">
        <v>659</v>
      </c>
      <c r="E13" s="2104">
        <f t="shared" si="14"/>
        <v>1459.7731032999998</v>
      </c>
      <c r="F13" s="2584">
        <f>(SUMIF('IS(M)'!$M$13:$ER$13,F$5,'IS(M)'!$M32:$ER32)/1000+SUMIF('IS(M)'!$M$13:$ER$13,F$5,'IS(M)'!$M33:$ER33)/1000+SUMIF('IS(M)'!$M$13:$ER$13,F$5,'IS(M)'!$M34:$ER34)/1000+SUMIF('IS(M)'!$M$13:$ER$13,F$5,'IS(M)'!$M35:$ER35)/1000)*$B13</f>
        <v>182.3725125</v>
      </c>
      <c r="G13" s="2103">
        <f>(SUMIF('IS(M)'!$M$13:$ER$13,G$5,'IS(M)'!$M32:$ER32)/1000+SUMIF('IS(M)'!$M$13:$ER$13,G$5,'IS(M)'!$M33:$ER33)/1000+SUMIF('IS(M)'!$M$13:$ER$13,G$5,'IS(M)'!$M34:$ER34)/1000+SUMIF('IS(M)'!$M$13:$ER$13,G$5,'IS(M)'!$M35:$ER35)/1000)*$B13</f>
        <v>182.3725125</v>
      </c>
      <c r="H13" s="2103">
        <f>(SUMIF('IS(M)'!$M$13:$ER$13,H$5,'IS(M)'!$M32:$ER32)/1000+SUMIF('IS(M)'!$M$13:$ER$13,H$5,'IS(M)'!$M33:$ER33)/1000+SUMIF('IS(M)'!$M$13:$ER$13,H$5,'IS(M)'!$M34:$ER34)/1000+SUMIF('IS(M)'!$M$13:$ER$13,H$5,'IS(M)'!$M35:$ER35)/1000)*$B13</f>
        <v>182.3725125</v>
      </c>
      <c r="I13" s="2103">
        <f>(SUMIF('IS(M)'!$M$13:$ER$13,I$5,'IS(M)'!$M32:$ER32)/1000+SUMIF('IS(M)'!$M$13:$ER$13,I$5,'IS(M)'!$M33:$ER33)/1000+SUMIF('IS(M)'!$M$13:$ER$13,I$5,'IS(M)'!$M34:$ER34)/1000+SUMIF('IS(M)'!$M$13:$ER$13,I$5,'IS(M)'!$M35:$ER35)/1000)*$B13</f>
        <v>182.3725125</v>
      </c>
      <c r="J13" s="2103">
        <f>(SUMIF('IS(M)'!$M$13:$ER$13,J$5,'IS(M)'!$M32:$ER32)/1000+SUMIF('IS(M)'!$M$13:$ER$13,J$5,'IS(M)'!$M33:$ER33)/1000+SUMIF('IS(M)'!$M$13:$ER$13,J$5,'IS(M)'!$M34:$ER34)/1000+SUMIF('IS(M)'!$M$13:$ER$13,J$5,'IS(M)'!$M35:$ER35)/1000)*$B13</f>
        <v>182.570763325</v>
      </c>
      <c r="K13" s="2103">
        <f>(SUMIF('IS(M)'!$M$13:$ER$13,K$5,'IS(M)'!$M32:$ER32)/1000+SUMIF('IS(M)'!$M$13:$ER$13,K$5,'IS(M)'!$M33:$ER33)/1000+SUMIF('IS(M)'!$M$13:$ER$13,K$5,'IS(M)'!$M34:$ER34)/1000+SUMIF('IS(M)'!$M$13:$ER$13,K$5,'IS(M)'!$M35:$ER35)/1000)*$B13</f>
        <v>182.570763325</v>
      </c>
      <c r="L13" s="2103">
        <f>(SUMIF('IS(M)'!$M$13:$ER$13,L$5,'IS(M)'!$M32:$ER32)/1000+SUMIF('IS(M)'!$M$13:$ER$13,L$5,'IS(M)'!$M33:$ER33)/1000+SUMIF('IS(M)'!$M$13:$ER$13,L$5,'IS(M)'!$M34:$ER34)/1000+SUMIF('IS(M)'!$M$13:$ER$13,L$5,'IS(M)'!$M35:$ER35)/1000)*$B13</f>
        <v>182.570763325</v>
      </c>
      <c r="M13" s="2103">
        <f>(SUMIF('IS(M)'!$M$13:$ER$13,M$5,'IS(M)'!$M32:$ER32)/1000+SUMIF('IS(M)'!$M$13:$ER$13,M$5,'IS(M)'!$M33:$ER33)/1000+SUMIF('IS(M)'!$M$13:$ER$13,M$5,'IS(M)'!$M34:$ER34)/1000+SUMIF('IS(M)'!$M$13:$ER$13,M$5,'IS(M)'!$M35:$ER35)/1000)*$B13</f>
        <v>182.570763325</v>
      </c>
      <c r="N13" s="2103">
        <f>(SUMIF('IS(M)'!$M$13:$ER$13,N$5,'IS(M)'!$M32:$ER32)/1000+SUMIF('IS(M)'!$M$13:$ER$13,N$5,'IS(M)'!$M33:$ER33)/1000+SUMIF('IS(M)'!$M$13:$ER$13,N$5,'IS(M)'!$M34:$ER34)/1000+SUMIF('IS(M)'!$M$13:$ER$13,N$5,'IS(M)'!$M35:$ER35)/1000)*$B13</f>
        <v>0</v>
      </c>
      <c r="O13" s="2103">
        <f>(SUMIF('IS(M)'!$M$13:$ER$13,O$5,'IS(M)'!$M32:$ER32)/1000+SUMIF('IS(M)'!$M$13:$ER$13,O$5,'IS(M)'!$M33:$ER33)/1000+SUMIF('IS(M)'!$M$13:$ER$13,O$5,'IS(M)'!$M34:$ER34)/1000+SUMIF('IS(M)'!$M$13:$ER$13,O$5,'IS(M)'!$M35:$ER35)/1000)*$B13</f>
        <v>0</v>
      </c>
      <c r="P13" s="2103">
        <f>(SUMIF('IS(M)'!$M$13:$ER$13,P$5,'IS(M)'!$M32:$ER32)/1000+SUMIF('IS(M)'!$M$13:$ER$13,P$5,'IS(M)'!$M33:$ER33)/1000+SUMIF('IS(M)'!$M$13:$ER$13,P$5,'IS(M)'!$M34:$ER34)/1000+SUMIF('IS(M)'!$M$13:$ER$13,P$5,'IS(M)'!$M35:$ER35)/1000)*$B13</f>
        <v>0</v>
      </c>
      <c r="Q13" s="2103">
        <f>(SUMIF('IS(M)'!$M$13:$ER$13,Q$5,'IS(M)'!$M32:$ER32)/1000+SUMIF('IS(M)'!$M$13:$ER$13,Q$5,'IS(M)'!$M33:$ER33)/1000+SUMIF('IS(M)'!$M$13:$ER$13,Q$5,'IS(M)'!$M34:$ER34)/1000+SUMIF('IS(M)'!$M$13:$ER$13,Q$5,'IS(M)'!$M35:$ER35)/1000)*$B13</f>
        <v>0</v>
      </c>
      <c r="R13" s="2103">
        <f>(SUMIF('IS(M)'!$M$13:$ER$13,R$5,'IS(M)'!$M32:$ER32)/1000+SUMIF('IS(M)'!$M$13:$ER$13,R$5,'IS(M)'!$M33:$ER33)/1000+SUMIF('IS(M)'!$M$13:$ER$13,R$5,'IS(M)'!$M34:$ER34)/1000+SUMIF('IS(M)'!$M$13:$ER$13,R$5,'IS(M)'!$M35:$ER35)/1000)*$B13</f>
        <v>0</v>
      </c>
      <c r="S13" s="2103">
        <f>(SUMIF('IS(M)'!$M$13:$ER$13,S$5,'IS(M)'!$M32:$ER32)/1000+SUMIF('IS(M)'!$M$13:$ER$13,S$5,'IS(M)'!$M33:$ER33)/1000+SUMIF('IS(M)'!$M$13:$ER$13,S$5,'IS(M)'!$M34:$ER34)/1000+SUMIF('IS(M)'!$M$13:$ER$13,S$5,'IS(M)'!$M35:$ER35)/1000)*$B13</f>
        <v>0</v>
      </c>
      <c r="T13" s="2103">
        <f>(SUMIF('IS(M)'!$M$13:$ER$13,T$5,'IS(M)'!$M32:$ER32)/1000+SUMIF('IS(M)'!$M$13:$ER$13,T$5,'IS(M)'!$M33:$ER33)/1000+SUMIF('IS(M)'!$M$13:$ER$13,T$5,'IS(M)'!$M34:$ER34)/1000+SUMIF('IS(M)'!$M$13:$ER$13,T$5,'IS(M)'!$M35:$ER35)/1000)*$B13</f>
        <v>0</v>
      </c>
      <c r="U13" s="2103">
        <f>(SUMIF('IS(M)'!$M$13:$ER$13,U$5,'IS(M)'!$M32:$ER32)/1000+SUMIF('IS(M)'!$M$13:$ER$13,U$5,'IS(M)'!$M33:$ER33)/1000+SUMIF('IS(M)'!$M$13:$ER$13,U$5,'IS(M)'!$M34:$ER34)/1000+SUMIF('IS(M)'!$M$13:$ER$13,U$5,'IS(M)'!$M35:$ER35)/1000)*$B13</f>
        <v>0</v>
      </c>
    </row>
    <row r="14" spans="2:22" ht="11.25" customHeight="1">
      <c r="B14" s="2583">
        <v>1</v>
      </c>
      <c r="C14" s="2100">
        <v>36</v>
      </c>
      <c r="D14" s="2092" t="s">
        <v>99</v>
      </c>
      <c r="E14" s="2104">
        <f t="shared" si="14"/>
        <v>41.789665944400006</v>
      </c>
      <c r="F14" s="2584">
        <f>SUMIF('IS(M)'!$M$13:$ER$13,F$5,'IS(M)'!$M36:$ER36)/1000*$B14</f>
        <v>5.2237082430500008</v>
      </c>
      <c r="G14" s="2103">
        <f>SUMIF('IS(M)'!$M$13:$ER$13,G$5,'IS(M)'!$M36:$ER36)/1000*$B14</f>
        <v>5.2237082430500008</v>
      </c>
      <c r="H14" s="2103">
        <f>SUMIF('IS(M)'!$M$13:$ER$13,H$5,'IS(M)'!$M36:$ER36)/1000*$B14</f>
        <v>5.2237082430500008</v>
      </c>
      <c r="I14" s="2103">
        <f>SUMIF('IS(M)'!$M$13:$ER$13,I$5,'IS(M)'!$M36:$ER36)/1000*$B14</f>
        <v>5.2237082430500008</v>
      </c>
      <c r="J14" s="2103">
        <f>SUMIF('IS(M)'!$M$13:$ER$13,J$5,'IS(M)'!$M36:$ER36)/1000*$B14</f>
        <v>5.2237082430500008</v>
      </c>
      <c r="K14" s="2103">
        <f>SUMIF('IS(M)'!$M$13:$ER$13,K$5,'IS(M)'!$M36:$ER36)/1000*$B14</f>
        <v>5.2237082430500008</v>
      </c>
      <c r="L14" s="2103">
        <f>SUMIF('IS(M)'!$M$13:$ER$13,L$5,'IS(M)'!$M36:$ER36)/1000*$B14</f>
        <v>5.2237082430500008</v>
      </c>
      <c r="M14" s="2103">
        <f>SUMIF('IS(M)'!$M$13:$ER$13,M$5,'IS(M)'!$M36:$ER36)/1000*$B14</f>
        <v>5.2237082430500008</v>
      </c>
      <c r="N14" s="2103">
        <f>SUMIF('IS(M)'!$M$13:$ER$13,N$5,'IS(M)'!$M36:$ER36)/1000*$B14</f>
        <v>0</v>
      </c>
      <c r="O14" s="2103">
        <f>SUMIF('IS(M)'!$M$13:$ER$13,O$5,'IS(M)'!$M36:$ER36)/1000*$B14</f>
        <v>0</v>
      </c>
      <c r="P14" s="2103">
        <f>SUMIF('IS(M)'!$M$13:$ER$13,P$5,'IS(M)'!$M36:$ER36)/1000*$B14</f>
        <v>0</v>
      </c>
      <c r="Q14" s="2103">
        <f>SUMIF('IS(M)'!$M$13:$ER$13,Q$5,'IS(M)'!$M36:$ER36)/1000*$B14</f>
        <v>0</v>
      </c>
      <c r="R14" s="2103">
        <f>SUMIF('IS(M)'!$M$13:$ER$13,R$5,'IS(M)'!$M36:$ER36)/1000*$B14</f>
        <v>0</v>
      </c>
      <c r="S14" s="2103">
        <f>SUMIF('IS(M)'!$M$13:$ER$13,S$5,'IS(M)'!$M36:$ER36)/1000*$B14</f>
        <v>0</v>
      </c>
      <c r="T14" s="2103">
        <f>SUMIF('IS(M)'!$M$13:$ER$13,T$5,'IS(M)'!$M36:$ER36)/1000*$B14</f>
        <v>0</v>
      </c>
      <c r="U14" s="2103">
        <f>SUMIF('IS(M)'!$M$13:$ER$13,U$5,'IS(M)'!$M36:$ER36)/1000*$B14</f>
        <v>0</v>
      </c>
    </row>
    <row r="15" spans="2:22" ht="11.25" customHeight="1">
      <c r="B15" s="2583">
        <v>0</v>
      </c>
      <c r="C15" s="2100">
        <v>26</v>
      </c>
      <c r="D15" s="2092" t="s">
        <v>1214</v>
      </c>
      <c r="E15" s="2104">
        <f t="shared" si="14"/>
        <v>0</v>
      </c>
      <c r="F15" s="2103">
        <f>SUMIF('IS(M)'!$M$13:$ER$13,F$5,'IS(M)'!$M26:$ER26)/1000*$B15</f>
        <v>0</v>
      </c>
      <c r="G15" s="2103">
        <f>SUMIF('IS(M)'!$M$13:$ER$13,G$5,'IS(M)'!$M26:$ER26)/1000*$B15</f>
        <v>0</v>
      </c>
      <c r="H15" s="2103">
        <f>SUMIF('IS(M)'!$M$13:$ER$13,H$5,'IS(M)'!$M26:$ER26)/1000*$B15</f>
        <v>0</v>
      </c>
      <c r="I15" s="2103">
        <f>SUMIF('IS(M)'!$M$13:$ER$13,I$5,'IS(M)'!$M26:$ER26)/1000*$B15</f>
        <v>0</v>
      </c>
      <c r="J15" s="2103">
        <f>SUMIF('IS(M)'!$M$13:$ER$13,J$5,'IS(M)'!$M26:$ER26)/1000*$B15</f>
        <v>0</v>
      </c>
      <c r="K15" s="2103">
        <f>SUMIF('IS(M)'!$M$13:$ER$13,K$5,'IS(M)'!$M26:$ER26)/1000*$B15</f>
        <v>0</v>
      </c>
      <c r="L15" s="2103">
        <f>SUMIF('IS(M)'!$M$13:$ER$13,L$5,'IS(M)'!$M26:$ER26)/1000*$B15</f>
        <v>0</v>
      </c>
      <c r="M15" s="2103">
        <f>SUMIF('IS(M)'!$M$13:$ER$13,M$5,'IS(M)'!$M26:$ER26)/1000*$B15</f>
        <v>0</v>
      </c>
      <c r="N15" s="2103">
        <f>SUMIF('IS(M)'!$M$13:$ER$13,N$5,'IS(M)'!$M26:$ER26)/1000*$B15</f>
        <v>0</v>
      </c>
      <c r="O15" s="2103">
        <f>SUMIF('IS(M)'!$M$13:$ER$13,O$5,'IS(M)'!$M26:$ER26)/1000*$B15</f>
        <v>0</v>
      </c>
      <c r="P15" s="2103">
        <f>SUMIF('IS(M)'!$M$13:$ER$13,P$5,'IS(M)'!$M26:$ER26)/1000*$B15</f>
        <v>0</v>
      </c>
      <c r="Q15" s="2103">
        <f>SUMIF('IS(M)'!$M$13:$ER$13,Q$5,'IS(M)'!$M26:$ER26)/1000*$B15</f>
        <v>0</v>
      </c>
      <c r="R15" s="2103">
        <f>SUMIF('IS(M)'!$M$13:$ER$13,R$5,'IS(M)'!$M26:$ER26)/1000*$B15</f>
        <v>0</v>
      </c>
      <c r="S15" s="2103">
        <f>SUMIF('IS(M)'!$M$13:$ER$13,S$5,'IS(M)'!$M26:$ER26)/1000*$B15</f>
        <v>0</v>
      </c>
      <c r="T15" s="2103">
        <f>SUMIF('IS(M)'!$M$13:$ER$13,T$5,'IS(M)'!$M26:$ER26)/1000*$B15</f>
        <v>0</v>
      </c>
      <c r="U15" s="2103">
        <f>SUMIF('IS(M)'!$M$13:$ER$13,U$5,'IS(M)'!$M26:$ER26)/1000*$B15</f>
        <v>0</v>
      </c>
    </row>
    <row r="16" spans="2:22" ht="11.25" customHeight="1">
      <c r="B16" s="2583">
        <v>1</v>
      </c>
      <c r="C16" s="2100">
        <v>29</v>
      </c>
      <c r="D16" s="2092" t="s">
        <v>1215</v>
      </c>
      <c r="E16" s="2104">
        <f t="shared" si="14"/>
        <v>63.006928077060003</v>
      </c>
      <c r="F16" s="2584">
        <f>SUMIF('IS(M)'!$M$13:$ER$13,F$5,'IS(M)'!$M29:$ER29)/1000*$B16</f>
        <v>7.7978871382500001</v>
      </c>
      <c r="G16" s="2103">
        <f>SUMIF('IS(M)'!$M$13:$ER$13,G$5,'IS(M)'!$M29:$ER29)/1000*$B16</f>
        <v>7.7978871382500001</v>
      </c>
      <c r="H16" s="2103">
        <f>SUMIF('IS(M)'!$M$13:$ER$13,H$5,'IS(M)'!$M29:$ER29)/1000*$B16</f>
        <v>7.7978871382500001</v>
      </c>
      <c r="I16" s="2103">
        <f>SUMIF('IS(M)'!$M$13:$ER$13,I$5,'IS(M)'!$M29:$ER29)/1000*$B16</f>
        <v>7.7978871382500001</v>
      </c>
      <c r="J16" s="2103">
        <f>SUMIF('IS(M)'!$M$13:$ER$13,J$5,'IS(M)'!$M29:$ER29)/1000*$B16</f>
        <v>7.9538448810149998</v>
      </c>
      <c r="K16" s="2103">
        <f>SUMIF('IS(M)'!$M$13:$ER$13,K$5,'IS(M)'!$M29:$ER29)/1000*$B16</f>
        <v>7.9538448810149998</v>
      </c>
      <c r="L16" s="2103">
        <f>SUMIF('IS(M)'!$M$13:$ER$13,L$5,'IS(M)'!$M29:$ER29)/1000*$B16</f>
        <v>7.9538448810149998</v>
      </c>
      <c r="M16" s="2103">
        <f>SUMIF('IS(M)'!$M$13:$ER$13,M$5,'IS(M)'!$M29:$ER29)/1000*$B16</f>
        <v>7.9538448810149998</v>
      </c>
      <c r="N16" s="2103">
        <f>SUMIF('IS(M)'!$M$13:$ER$13,N$5,'IS(M)'!$M29:$ER29)/1000*$B16</f>
        <v>0</v>
      </c>
      <c r="O16" s="2103">
        <f>SUMIF('IS(M)'!$M$13:$ER$13,O$5,'IS(M)'!$M29:$ER29)/1000*$B16</f>
        <v>0</v>
      </c>
      <c r="P16" s="2103">
        <f>SUMIF('IS(M)'!$M$13:$ER$13,P$5,'IS(M)'!$M29:$ER29)/1000*$B16</f>
        <v>0</v>
      </c>
      <c r="Q16" s="2103">
        <f>SUMIF('IS(M)'!$M$13:$ER$13,Q$5,'IS(M)'!$M29:$ER29)/1000*$B16</f>
        <v>0</v>
      </c>
      <c r="R16" s="2103">
        <f>SUMIF('IS(M)'!$M$13:$ER$13,R$5,'IS(M)'!$M29:$ER29)/1000*$B16</f>
        <v>0</v>
      </c>
      <c r="S16" s="2103">
        <f>SUMIF('IS(M)'!$M$13:$ER$13,S$5,'IS(M)'!$M29:$ER29)/1000*$B16</f>
        <v>0</v>
      </c>
      <c r="T16" s="2103">
        <f>SUMIF('IS(M)'!$M$13:$ER$13,T$5,'IS(M)'!$M29:$ER29)/1000*$B16</f>
        <v>0</v>
      </c>
      <c r="U16" s="2103">
        <f>SUMIF('IS(M)'!$M$13:$ER$13,U$5,'IS(M)'!$M29:$ER29)/1000*$B16</f>
        <v>0</v>
      </c>
    </row>
    <row r="17" spans="2:21" ht="11.25" customHeight="1">
      <c r="B17" s="2583">
        <v>1</v>
      </c>
      <c r="C17" s="2100">
        <v>31</v>
      </c>
      <c r="D17" s="2092" t="s">
        <v>83</v>
      </c>
      <c r="E17" s="2104">
        <f t="shared" si="14"/>
        <v>1469.7237060000002</v>
      </c>
      <c r="F17" s="2584">
        <f>SUMIF('IS(M)'!$M$13:$ER$13,F$5,'IS(M)'!$M31:$ER31)/1000*$B17</f>
        <v>185.57117500000001</v>
      </c>
      <c r="G17" s="2103">
        <f>SUMIF('IS(M)'!$M$13:$ER$13,G$5,'IS(M)'!$M31:$ER31)/1000*$B17</f>
        <v>185.57117500000001</v>
      </c>
      <c r="H17" s="2103">
        <f>SUMIF('IS(M)'!$M$13:$ER$13,H$5,'IS(M)'!$M31:$ER31)/1000*$B17</f>
        <v>185.57117500000001</v>
      </c>
      <c r="I17" s="2103">
        <f>SUMIF('IS(M)'!$M$13:$ER$13,I$5,'IS(M)'!$M31:$ER31)/1000*$B17</f>
        <v>185.57117500000001</v>
      </c>
      <c r="J17" s="2103">
        <f>SUMIF('IS(M)'!$M$13:$ER$13,J$5,'IS(M)'!$M31:$ER31)/1000*$B17</f>
        <v>181.85975150000002</v>
      </c>
      <c r="K17" s="2103">
        <f>SUMIF('IS(M)'!$M$13:$ER$13,K$5,'IS(M)'!$M31:$ER31)/1000*$B17</f>
        <v>181.85975150000002</v>
      </c>
      <c r="L17" s="2103">
        <f>SUMIF('IS(M)'!$M$13:$ER$13,L$5,'IS(M)'!$M31:$ER31)/1000*$B17</f>
        <v>181.85975150000002</v>
      </c>
      <c r="M17" s="2103">
        <f>SUMIF('IS(M)'!$M$13:$ER$13,M$5,'IS(M)'!$M31:$ER31)/1000*$B17</f>
        <v>181.85975150000002</v>
      </c>
      <c r="N17" s="2103">
        <f>SUMIF('IS(M)'!$M$13:$ER$13,N$5,'IS(M)'!$M31:$ER31)/1000*$B17</f>
        <v>0</v>
      </c>
      <c r="O17" s="2103">
        <f>SUMIF('IS(M)'!$M$13:$ER$13,O$5,'IS(M)'!$M31:$ER31)/1000*$B17</f>
        <v>0</v>
      </c>
      <c r="P17" s="2103">
        <f>SUMIF('IS(M)'!$M$13:$ER$13,P$5,'IS(M)'!$M31:$ER31)/1000*$B17</f>
        <v>0</v>
      </c>
      <c r="Q17" s="2103">
        <f>SUMIF('IS(M)'!$M$13:$ER$13,Q$5,'IS(M)'!$M31:$ER31)/1000*$B17</f>
        <v>0</v>
      </c>
      <c r="R17" s="2103">
        <f>SUMIF('IS(M)'!$M$13:$ER$13,R$5,'IS(M)'!$M31:$ER31)/1000*$B17</f>
        <v>0</v>
      </c>
      <c r="S17" s="2103">
        <f>SUMIF('IS(M)'!$M$13:$ER$13,S$5,'IS(M)'!$M31:$ER31)/1000*$B17</f>
        <v>0</v>
      </c>
      <c r="T17" s="2103">
        <f>SUMIF('IS(M)'!$M$13:$ER$13,T$5,'IS(M)'!$M31:$ER31)/1000*$B17</f>
        <v>0</v>
      </c>
      <c r="U17" s="2103">
        <f>SUMIF('IS(M)'!$M$13:$ER$13,U$5,'IS(M)'!$M31:$ER31)/1000*$B17</f>
        <v>0</v>
      </c>
    </row>
    <row r="18" spans="2:21" ht="11.25" customHeight="1">
      <c r="B18" s="2583">
        <v>0</v>
      </c>
      <c r="C18" s="2100">
        <v>41</v>
      </c>
      <c r="D18" s="2092" t="s">
        <v>1216</v>
      </c>
      <c r="E18" s="2104">
        <f t="shared" si="14"/>
        <v>0</v>
      </c>
      <c r="F18" s="2103">
        <f>SUMIF('IS(M)'!$M$13:$ER$13,F$5,'IS(M)'!$M41:$ER41)/1000*$B18</f>
        <v>0</v>
      </c>
      <c r="G18" s="2103">
        <f>SUMIF('IS(M)'!$M$13:$ER$13,G$5,'IS(M)'!$M41:$ER41)/1000*$B18</f>
        <v>0</v>
      </c>
      <c r="H18" s="2103">
        <f>SUMIF('IS(M)'!$M$13:$ER$13,H$5,'IS(M)'!$M41:$ER41)/1000*$B18</f>
        <v>0</v>
      </c>
      <c r="I18" s="2103">
        <f>SUMIF('IS(M)'!$M$13:$ER$13,I$5,'IS(M)'!$M41:$ER41)/1000*$B18</f>
        <v>0</v>
      </c>
      <c r="J18" s="2103">
        <f>SUMIF('IS(M)'!$M$13:$ER$13,J$5,'IS(M)'!$M41:$ER41)/1000*$B18</f>
        <v>0</v>
      </c>
      <c r="K18" s="2103">
        <f>SUMIF('IS(M)'!$M$13:$ER$13,K$5,'IS(M)'!$M41:$ER41)/1000*$B18</f>
        <v>0</v>
      </c>
      <c r="L18" s="2103">
        <f>SUMIF('IS(M)'!$M$13:$ER$13,L$5,'IS(M)'!$M41:$ER41)/1000*$B18</f>
        <v>0</v>
      </c>
      <c r="M18" s="2103">
        <f>SUMIF('IS(M)'!$M$13:$ER$13,M$5,'IS(M)'!$M41:$ER41)/1000*$B18</f>
        <v>0</v>
      </c>
      <c r="N18" s="2103">
        <f>SUMIF('IS(M)'!$M$13:$ER$13,N$5,'IS(M)'!$M41:$ER41)/1000*$B18</f>
        <v>0</v>
      </c>
      <c r="O18" s="2103">
        <f>SUMIF('IS(M)'!$M$13:$ER$13,O$5,'IS(M)'!$M41:$ER41)/1000*$B18</f>
        <v>0</v>
      </c>
      <c r="P18" s="2103">
        <f>SUMIF('IS(M)'!$M$13:$ER$13,P$5,'IS(M)'!$M41:$ER41)/1000*$B18</f>
        <v>0</v>
      </c>
      <c r="Q18" s="2103">
        <f>SUMIF('IS(M)'!$M$13:$ER$13,Q$5,'IS(M)'!$M41:$ER41)/1000*$B18</f>
        <v>0</v>
      </c>
      <c r="R18" s="2103">
        <f>SUMIF('IS(M)'!$M$13:$ER$13,R$5,'IS(M)'!$M41:$ER41)/1000*$B18</f>
        <v>0</v>
      </c>
      <c r="S18" s="2103">
        <f>SUMIF('IS(M)'!$M$13:$ER$13,S$5,'IS(M)'!$M41:$ER41)/1000*$B18</f>
        <v>0</v>
      </c>
      <c r="T18" s="2103">
        <f>SUMIF('IS(M)'!$M$13:$ER$13,T$5,'IS(M)'!$M41:$ER41)/1000*$B18</f>
        <v>0</v>
      </c>
      <c r="U18" s="2103">
        <f>SUMIF('IS(M)'!$M$13:$ER$13,U$5,'IS(M)'!$M41:$ER41)/1000*$B18</f>
        <v>0</v>
      </c>
    </row>
    <row r="19" spans="2:21" ht="11.25" customHeight="1">
      <c r="B19" s="2583">
        <v>0</v>
      </c>
      <c r="C19" s="2100">
        <v>38</v>
      </c>
      <c r="D19" s="2092" t="s">
        <v>190</v>
      </c>
      <c r="E19" s="2104">
        <f t="shared" si="14"/>
        <v>0</v>
      </c>
      <c r="F19" s="2103">
        <f>SUMIF('IS(M)'!$M$13:$ER$13,F$5,'IS(M)'!$M38:$ER38)/1000*$B19</f>
        <v>0</v>
      </c>
      <c r="G19" s="2103">
        <f>SUMIF('IS(M)'!$M$13:$ER$13,G$5,'IS(M)'!$M38:$ER38)/1000*$B19</f>
        <v>0</v>
      </c>
      <c r="H19" s="2103">
        <f>SUMIF('IS(M)'!$M$13:$ER$13,H$5,'IS(M)'!$M38:$ER38)/1000*$B19</f>
        <v>0</v>
      </c>
      <c r="I19" s="2103">
        <f>SUMIF('IS(M)'!$M$13:$ER$13,I$5,'IS(M)'!$M38:$ER38)/1000*$B19</f>
        <v>0</v>
      </c>
      <c r="J19" s="2103">
        <f>SUMIF('IS(M)'!$M$13:$ER$13,J$5,'IS(M)'!$M38:$ER38)/1000*$B19</f>
        <v>0</v>
      </c>
      <c r="K19" s="2103">
        <f>SUMIF('IS(M)'!$M$13:$ER$13,K$5,'IS(M)'!$M38:$ER38)/1000*$B19</f>
        <v>0</v>
      </c>
      <c r="L19" s="2103">
        <f>SUMIF('IS(M)'!$M$13:$ER$13,L$5,'IS(M)'!$M38:$ER38)/1000*$B19</f>
        <v>0</v>
      </c>
      <c r="M19" s="2103">
        <f>SUMIF('IS(M)'!$M$13:$ER$13,M$5,'IS(M)'!$M38:$ER38)/1000*$B19</f>
        <v>0</v>
      </c>
      <c r="N19" s="2103">
        <f>SUMIF('IS(M)'!$M$13:$ER$13,N$5,'IS(M)'!$M38:$ER38)/1000*$B19</f>
        <v>0</v>
      </c>
      <c r="O19" s="2103">
        <f>SUMIF('IS(M)'!$M$13:$ER$13,O$5,'IS(M)'!$M38:$ER38)/1000*$B19</f>
        <v>0</v>
      </c>
      <c r="P19" s="2103">
        <f>SUMIF('IS(M)'!$M$13:$ER$13,P$5,'IS(M)'!$M38:$ER38)/1000*$B19</f>
        <v>0</v>
      </c>
      <c r="Q19" s="2103">
        <f>SUMIF('IS(M)'!$M$13:$ER$13,Q$5,'IS(M)'!$M38:$ER38)/1000*$B19</f>
        <v>0</v>
      </c>
      <c r="R19" s="2103">
        <f>SUMIF('IS(M)'!$M$13:$ER$13,R$5,'IS(M)'!$M38:$ER38)/1000*$B19</f>
        <v>0</v>
      </c>
      <c r="S19" s="2103">
        <f>SUMIF('IS(M)'!$M$13:$ER$13,S$5,'IS(M)'!$M38:$ER38)/1000*$B19</f>
        <v>0</v>
      </c>
      <c r="T19" s="2103">
        <f>SUMIF('IS(M)'!$M$13:$ER$13,T$5,'IS(M)'!$M38:$ER38)/1000*$B19</f>
        <v>0</v>
      </c>
      <c r="U19" s="2103">
        <f>SUMIF('IS(M)'!$M$13:$ER$13,U$5,'IS(M)'!$M38:$ER38)/1000*$B19</f>
        <v>0</v>
      </c>
    </row>
    <row r="20" spans="2:21" ht="11.25" customHeight="1">
      <c r="B20" s="2583">
        <v>0</v>
      </c>
      <c r="C20" s="2100" t="s">
        <v>1232</v>
      </c>
      <c r="D20" s="2092" t="s">
        <v>1217</v>
      </c>
      <c r="E20" s="2104">
        <f t="shared" si="14"/>
        <v>0</v>
      </c>
      <c r="F20" s="2103">
        <f>(SUMIF('IS(M)'!$M$13:$ER$13,F$5,'IS(M)'!$M39:$ER39)/1000+SUMIF('IS(M)'!$M$13:$ER$13,F$5,'IS(M)'!$M40:$ER40)/1000)*$B20</f>
        <v>0</v>
      </c>
      <c r="G20" s="2103">
        <f>(SUMIF('IS(M)'!$M$13:$ER$13,G$5,'IS(M)'!$M39:$ER39)/1000+SUMIF('IS(M)'!$M$13:$ER$13,G$5,'IS(M)'!$M40:$ER40)/1000)*$B20</f>
        <v>0</v>
      </c>
      <c r="H20" s="2103">
        <f>(SUMIF('IS(M)'!$M$13:$ER$13,H$5,'IS(M)'!$M39:$ER39)/1000+SUMIF('IS(M)'!$M$13:$ER$13,H$5,'IS(M)'!$M40:$ER40)/1000)*$B20</f>
        <v>0</v>
      </c>
      <c r="I20" s="2103">
        <f>(SUMIF('IS(M)'!$M$13:$ER$13,I$5,'IS(M)'!$M39:$ER39)/1000+SUMIF('IS(M)'!$M$13:$ER$13,I$5,'IS(M)'!$M40:$ER40)/1000)*$B20</f>
        <v>0</v>
      </c>
      <c r="J20" s="2103">
        <f>(SUMIF('IS(M)'!$M$13:$ER$13,J$5,'IS(M)'!$M39:$ER39)/1000+SUMIF('IS(M)'!$M$13:$ER$13,J$5,'IS(M)'!$M40:$ER40)/1000)*$B20</f>
        <v>0</v>
      </c>
      <c r="K20" s="2103">
        <f>(SUMIF('IS(M)'!$M$13:$ER$13,K$5,'IS(M)'!$M39:$ER39)/1000+SUMIF('IS(M)'!$M$13:$ER$13,K$5,'IS(M)'!$M40:$ER40)/1000)*$B20</f>
        <v>0</v>
      </c>
      <c r="L20" s="2103">
        <f>(SUMIF('IS(M)'!$M$13:$ER$13,L$5,'IS(M)'!$M39:$ER39)/1000+SUMIF('IS(M)'!$M$13:$ER$13,L$5,'IS(M)'!$M40:$ER40)/1000)*$B20</f>
        <v>0</v>
      </c>
      <c r="M20" s="2103">
        <f>(SUMIF('IS(M)'!$M$13:$ER$13,M$5,'IS(M)'!$M39:$ER39)/1000+SUMIF('IS(M)'!$M$13:$ER$13,M$5,'IS(M)'!$M40:$ER40)/1000)*$B20</f>
        <v>0</v>
      </c>
      <c r="N20" s="2103">
        <f>(SUMIF('IS(M)'!$M$13:$ER$13,N$5,'IS(M)'!$M39:$ER39)/1000+SUMIF('IS(M)'!$M$13:$ER$13,N$5,'IS(M)'!$M40:$ER40)/1000)*$B20</f>
        <v>0</v>
      </c>
      <c r="O20" s="2103">
        <f>(SUMIF('IS(M)'!$M$13:$ER$13,O$5,'IS(M)'!$M39:$ER39)/1000+SUMIF('IS(M)'!$M$13:$ER$13,O$5,'IS(M)'!$M40:$ER40)/1000)*$B20</f>
        <v>0</v>
      </c>
      <c r="P20" s="2103">
        <f>(SUMIF('IS(M)'!$M$13:$ER$13,P$5,'IS(M)'!$M39:$ER39)/1000+SUMIF('IS(M)'!$M$13:$ER$13,P$5,'IS(M)'!$M40:$ER40)/1000)*$B20</f>
        <v>0</v>
      </c>
      <c r="Q20" s="2103">
        <f>(SUMIF('IS(M)'!$M$13:$ER$13,Q$5,'IS(M)'!$M39:$ER39)/1000+SUMIF('IS(M)'!$M$13:$ER$13,Q$5,'IS(M)'!$M40:$ER40)/1000)*$B20</f>
        <v>0</v>
      </c>
      <c r="R20" s="2103">
        <f>(SUMIF('IS(M)'!$M$13:$ER$13,R$5,'IS(M)'!$M39:$ER39)/1000+SUMIF('IS(M)'!$M$13:$ER$13,R$5,'IS(M)'!$M40:$ER40)/1000)*$B20</f>
        <v>0</v>
      </c>
      <c r="S20" s="2103">
        <f>(SUMIF('IS(M)'!$M$13:$ER$13,S$5,'IS(M)'!$M39:$ER39)/1000+SUMIF('IS(M)'!$M$13:$ER$13,S$5,'IS(M)'!$M40:$ER40)/1000)*$B20</f>
        <v>0</v>
      </c>
      <c r="T20" s="2103">
        <f>(SUMIF('IS(M)'!$M$13:$ER$13,T$5,'IS(M)'!$M39:$ER39)/1000+SUMIF('IS(M)'!$M$13:$ER$13,T$5,'IS(M)'!$M40:$ER40)/1000)*$B20</f>
        <v>0</v>
      </c>
      <c r="U20" s="2103">
        <f>(SUMIF('IS(M)'!$M$13:$ER$13,U$5,'IS(M)'!$M39:$ER39)/1000+SUMIF('IS(M)'!$M$13:$ER$13,U$5,'IS(M)'!$M40:$ER40)/1000)*$B20</f>
        <v>0</v>
      </c>
    </row>
    <row r="21" spans="2:21" ht="11.25" customHeight="1">
      <c r="B21" s="2583">
        <v>1</v>
      </c>
      <c r="C21" s="2100">
        <v>37</v>
      </c>
      <c r="D21" s="2092" t="s">
        <v>1218</v>
      </c>
      <c r="E21" s="2104">
        <f t="shared" si="14"/>
        <v>10.87337</v>
      </c>
      <c r="F21" s="2587">
        <f>SUMIF('IS(M)'!$M$13:$ER$13,F$5,'IS(M)'!$M37:$ER37)/1000*$B21</f>
        <v>10.87337</v>
      </c>
      <c r="G21" s="2104">
        <f>SUMIF('IS(M)'!$M$13:$ER$13,G$5,'IS(M)'!$M37:$ER37)/1000*$B21</f>
        <v>0</v>
      </c>
      <c r="H21" s="2104">
        <f>SUMIF('IS(M)'!$M$13:$ER$13,H$5,'IS(M)'!$M37:$ER37)/1000*$B21</f>
        <v>0</v>
      </c>
      <c r="I21" s="2104">
        <f>SUMIF('IS(M)'!$M$13:$ER$13,I$5,'IS(M)'!$M37:$ER37)/1000*$B21</f>
        <v>0</v>
      </c>
      <c r="J21" s="2104">
        <f>SUMIF('IS(M)'!$M$13:$ER$13,J$5,'IS(M)'!$M37:$ER37)/1000*$B21</f>
        <v>0</v>
      </c>
      <c r="K21" s="2104">
        <f>SUMIF('IS(M)'!$M$13:$ER$13,K$5,'IS(M)'!$M37:$ER37)/1000*$B21</f>
        <v>0</v>
      </c>
      <c r="L21" s="2104">
        <f>SUMIF('IS(M)'!$M$13:$ER$13,L$5,'IS(M)'!$M37:$ER37)/1000*$B21</f>
        <v>0</v>
      </c>
      <c r="M21" s="2104">
        <f>SUMIF('IS(M)'!$M$13:$ER$13,M$5,'IS(M)'!$M37:$ER37)/1000*$B21</f>
        <v>0</v>
      </c>
      <c r="N21" s="2104">
        <f>SUMIF('IS(M)'!$M$13:$ER$13,N$5,'IS(M)'!$M37:$ER37)/1000*$B21</f>
        <v>0</v>
      </c>
      <c r="O21" s="2104">
        <f>SUMIF('IS(M)'!$M$13:$ER$13,O$5,'IS(M)'!$M37:$ER37)/1000*$B21</f>
        <v>0</v>
      </c>
      <c r="P21" s="2104">
        <f>SUMIF('IS(M)'!$M$13:$ER$13,P$5,'IS(M)'!$M37:$ER37)/1000*$B21</f>
        <v>0</v>
      </c>
      <c r="Q21" s="2104">
        <f>SUMIF('IS(M)'!$M$13:$ER$13,Q$5,'IS(M)'!$M37:$ER37)/1000*$B21</f>
        <v>0</v>
      </c>
      <c r="R21" s="2104">
        <f>SUMIF('IS(M)'!$M$13:$ER$13,R$5,'IS(M)'!$M37:$ER37)/1000*$B21</f>
        <v>0</v>
      </c>
      <c r="S21" s="2104">
        <f>SUMIF('IS(M)'!$M$13:$ER$13,S$5,'IS(M)'!$M37:$ER37)/1000*$B21</f>
        <v>0</v>
      </c>
      <c r="T21" s="2104">
        <f>SUMIF('IS(M)'!$M$13:$ER$13,T$5,'IS(M)'!$M37:$ER37)/1000*$B21</f>
        <v>0</v>
      </c>
      <c r="U21" s="2104">
        <f>SUMIF('IS(M)'!$M$13:$ER$13,U$5,'IS(M)'!$M37:$ER37)/1000*$B21</f>
        <v>0</v>
      </c>
    </row>
    <row r="22" spans="2:21" ht="11.25" customHeight="1">
      <c r="B22" s="2583">
        <v>1</v>
      </c>
      <c r="C22" s="2100" t="s">
        <v>1233</v>
      </c>
      <c r="D22" s="2092" t="s">
        <v>1219</v>
      </c>
      <c r="E22" s="2104">
        <f t="shared" si="14"/>
        <v>1407.641486729292</v>
      </c>
      <c r="F22" s="2584">
        <f>SUMIF('IS(M)'!$M$13:$ER$13,F$5,'IS(M)'!$M27:$ER27)/1000+SUMIF('IS(M)'!$M$13:$ER$13,F$5,'IS(M)'!$M28:$ER28)/1000*$B22</f>
        <v>174.25018400114999</v>
      </c>
      <c r="G22" s="2103">
        <f>SUMIF('IS(M)'!$M$13:$ER$13,G$5,'IS(M)'!$M27:$ER27)/1000+SUMIF('IS(M)'!$M$13:$ER$13,G$5,'IS(M)'!$M28:$ER28)/1000*$B22</f>
        <v>174.25018400114999</v>
      </c>
      <c r="H22" s="2103">
        <f>SUMIF('IS(M)'!$M$13:$ER$13,H$5,'IS(M)'!$M27:$ER27)/1000+SUMIF('IS(M)'!$M$13:$ER$13,H$5,'IS(M)'!$M28:$ER28)/1000*$B22</f>
        <v>174.25018400114999</v>
      </c>
      <c r="I22" s="2103">
        <f>SUMIF('IS(M)'!$M$13:$ER$13,I$5,'IS(M)'!$M27:$ER27)/1000+SUMIF('IS(M)'!$M$13:$ER$13,I$5,'IS(M)'!$M28:$ER28)/1000*$B22</f>
        <v>174.25018400114999</v>
      </c>
      <c r="J22" s="2103">
        <f>SUMIF('IS(M)'!$M$13:$ER$13,J$5,'IS(M)'!$M27:$ER27)/1000+SUMIF('IS(M)'!$M$13:$ER$13,J$5,'IS(M)'!$M28:$ER28)/1000*$B22</f>
        <v>177.66018768117297</v>
      </c>
      <c r="K22" s="2103">
        <f>SUMIF('IS(M)'!$M$13:$ER$13,K$5,'IS(M)'!$M27:$ER27)/1000+SUMIF('IS(M)'!$M$13:$ER$13,K$5,'IS(M)'!$M28:$ER28)/1000*$B22</f>
        <v>177.66018768117297</v>
      </c>
      <c r="L22" s="2103">
        <f>SUMIF('IS(M)'!$M$13:$ER$13,L$5,'IS(M)'!$M27:$ER27)/1000+SUMIF('IS(M)'!$M$13:$ER$13,L$5,'IS(M)'!$M28:$ER28)/1000*$B22</f>
        <v>177.66018768117297</v>
      </c>
      <c r="M22" s="2103">
        <f>SUMIF('IS(M)'!$M$13:$ER$13,M$5,'IS(M)'!$M27:$ER27)/1000+SUMIF('IS(M)'!$M$13:$ER$13,M$5,'IS(M)'!$M28:$ER28)/1000*$B22</f>
        <v>177.66018768117297</v>
      </c>
      <c r="N22" s="2103">
        <f>SUMIF('IS(M)'!$M$13:$ER$13,N$5,'IS(M)'!$M27:$ER27)/1000+SUMIF('IS(M)'!$M$13:$ER$13,N$5,'IS(M)'!$M28:$ER28)/1000*$B22</f>
        <v>0</v>
      </c>
      <c r="O22" s="2103">
        <f>SUMIF('IS(M)'!$M$13:$ER$13,O$5,'IS(M)'!$M27:$ER27)/1000+SUMIF('IS(M)'!$M$13:$ER$13,O$5,'IS(M)'!$M28:$ER28)/1000*$B22</f>
        <v>0</v>
      </c>
      <c r="P22" s="2103">
        <f>SUMIF('IS(M)'!$M$13:$ER$13,P$5,'IS(M)'!$M27:$ER27)/1000+SUMIF('IS(M)'!$M$13:$ER$13,P$5,'IS(M)'!$M28:$ER28)/1000*$B22</f>
        <v>0</v>
      </c>
      <c r="Q22" s="2103">
        <f>SUMIF('IS(M)'!$M$13:$ER$13,Q$5,'IS(M)'!$M27:$ER27)/1000+SUMIF('IS(M)'!$M$13:$ER$13,Q$5,'IS(M)'!$M28:$ER28)/1000*$B22</f>
        <v>0</v>
      </c>
      <c r="R22" s="2103">
        <f>SUMIF('IS(M)'!$M$13:$ER$13,R$5,'IS(M)'!$M27:$ER27)/1000+SUMIF('IS(M)'!$M$13:$ER$13,R$5,'IS(M)'!$M28:$ER28)/1000*$B22</f>
        <v>0</v>
      </c>
      <c r="S22" s="2103">
        <f>SUMIF('IS(M)'!$M$13:$ER$13,S$5,'IS(M)'!$M27:$ER27)/1000+SUMIF('IS(M)'!$M$13:$ER$13,S$5,'IS(M)'!$M28:$ER28)/1000*$B22</f>
        <v>0</v>
      </c>
      <c r="T22" s="2103">
        <f>SUMIF('IS(M)'!$M$13:$ER$13,T$5,'IS(M)'!$M27:$ER27)/1000+SUMIF('IS(M)'!$M$13:$ER$13,T$5,'IS(M)'!$M28:$ER28)/1000*$B22</f>
        <v>0</v>
      </c>
      <c r="U22" s="2103">
        <f>SUMIF('IS(M)'!$M$13:$ER$13,U$5,'IS(M)'!$M27:$ER27)/1000+SUMIF('IS(M)'!$M$13:$ER$13,U$5,'IS(M)'!$M28:$ER28)/1000*$B22</f>
        <v>0</v>
      </c>
    </row>
    <row r="23" spans="2:21" ht="11.25" customHeight="1">
      <c r="B23" s="2583">
        <v>1</v>
      </c>
      <c r="C23" s="2100">
        <v>0</v>
      </c>
      <c r="D23" s="2092" t="s">
        <v>1220</v>
      </c>
      <c r="E23" s="2104">
        <f t="shared" si="14"/>
        <v>0</v>
      </c>
      <c r="F23" s="2103">
        <v>0</v>
      </c>
      <c r="G23" s="2103">
        <v>0</v>
      </c>
      <c r="H23" s="2103">
        <v>0</v>
      </c>
      <c r="I23" s="2103">
        <v>0</v>
      </c>
      <c r="J23" s="2103">
        <v>0</v>
      </c>
      <c r="K23" s="2103">
        <v>0</v>
      </c>
      <c r="L23" s="2103">
        <v>0</v>
      </c>
      <c r="M23" s="2103">
        <v>0</v>
      </c>
      <c r="N23" s="2103">
        <v>0</v>
      </c>
      <c r="O23" s="2103">
        <v>0</v>
      </c>
      <c r="P23" s="2103">
        <v>0</v>
      </c>
      <c r="Q23" s="2103">
        <v>0</v>
      </c>
      <c r="R23" s="2103">
        <v>0</v>
      </c>
      <c r="S23" s="2103">
        <v>0</v>
      </c>
      <c r="T23" s="2103">
        <v>0</v>
      </c>
      <c r="U23" s="2103">
        <v>0</v>
      </c>
    </row>
    <row r="24" spans="2:21" ht="11.25" customHeight="1">
      <c r="C24" s="2788" t="s">
        <v>1221</v>
      </c>
      <c r="D24" s="2788"/>
      <c r="E24" s="2105">
        <f t="shared" si="14"/>
        <v>26567.151367611241</v>
      </c>
      <c r="F24" s="2106">
        <f t="shared" ref="F24:U24" si="24">F6-F10</f>
        <v>3125.9762084123004</v>
      </c>
      <c r="G24" s="2106">
        <f t="shared" si="24"/>
        <v>3217.0417975380801</v>
      </c>
      <c r="H24" s="2107">
        <f t="shared" si="24"/>
        <v>3303.8999666168315</v>
      </c>
      <c r="I24" s="2107">
        <f t="shared" si="24"/>
        <v>3458.447009179331</v>
      </c>
      <c r="J24" s="2107">
        <f t="shared" si="24"/>
        <v>3219.6813367037303</v>
      </c>
      <c r="K24" s="2107">
        <f t="shared" si="24"/>
        <v>3301.8783613076566</v>
      </c>
      <c r="L24" s="2107">
        <f t="shared" si="24"/>
        <v>3390.907984613375</v>
      </c>
      <c r="M24" s="2107">
        <f t="shared" si="24"/>
        <v>3549.3187032399373</v>
      </c>
      <c r="N24" s="2107">
        <f t="shared" si="24"/>
        <v>0</v>
      </c>
      <c r="O24" s="2107">
        <f t="shared" si="24"/>
        <v>0</v>
      </c>
      <c r="P24" s="2107">
        <f t="shared" si="24"/>
        <v>0</v>
      </c>
      <c r="Q24" s="2107">
        <f t="shared" si="24"/>
        <v>0</v>
      </c>
      <c r="R24" s="2107">
        <f t="shared" si="24"/>
        <v>0</v>
      </c>
      <c r="S24" s="2107">
        <f t="shared" si="24"/>
        <v>0</v>
      </c>
      <c r="T24" s="2107">
        <f t="shared" si="24"/>
        <v>0</v>
      </c>
      <c r="U24" s="2107">
        <f t="shared" si="24"/>
        <v>0</v>
      </c>
    </row>
    <row r="25" spans="2:21" ht="11.25" customHeight="1">
      <c r="C25" s="2787" t="s">
        <v>1222</v>
      </c>
      <c r="D25" s="2787"/>
      <c r="E25" s="2104">
        <f t="shared" ca="1" si="14"/>
        <v>0</v>
      </c>
      <c r="F25" s="2103">
        <f ca="1">F26</f>
        <v>0</v>
      </c>
      <c r="G25" s="2103">
        <f t="shared" ref="G25:M25" ca="1" si="25">G26</f>
        <v>0</v>
      </c>
      <c r="H25" s="2103">
        <f t="shared" ca="1" si="25"/>
        <v>0</v>
      </c>
      <c r="I25" s="2103">
        <f t="shared" ca="1" si="25"/>
        <v>0</v>
      </c>
      <c r="J25" s="2103">
        <f t="shared" ca="1" si="25"/>
        <v>0</v>
      </c>
      <c r="K25" s="2103">
        <f t="shared" ca="1" si="25"/>
        <v>0</v>
      </c>
      <c r="L25" s="2103">
        <f t="shared" ca="1" si="25"/>
        <v>0</v>
      </c>
      <c r="M25" s="2103">
        <f t="shared" ca="1" si="25"/>
        <v>0</v>
      </c>
      <c r="N25" s="2103">
        <f t="shared" ref="N25" si="26">N26</f>
        <v>0</v>
      </c>
      <c r="O25" s="2103">
        <f t="shared" ref="O25" si="27">O26</f>
        <v>0</v>
      </c>
      <c r="P25" s="2103">
        <f t="shared" ref="P25" si="28">P26</f>
        <v>0</v>
      </c>
      <c r="Q25" s="2103">
        <f t="shared" ref="Q25" si="29">Q26</f>
        <v>0</v>
      </c>
      <c r="R25" s="2103">
        <f t="shared" ref="R25" si="30">R26</f>
        <v>0</v>
      </c>
      <c r="S25" s="2103">
        <f t="shared" ref="S25" si="31">S26</f>
        <v>0</v>
      </c>
      <c r="T25" s="2103">
        <f t="shared" ref="T25" si="32">T26</f>
        <v>0</v>
      </c>
      <c r="U25" s="2103">
        <f t="shared" ref="U25" si="33">U26</f>
        <v>0</v>
      </c>
    </row>
    <row r="26" spans="2:21" ht="11.25" customHeight="1">
      <c r="B26" s="2583">
        <v>0</v>
      </c>
      <c r="C26" s="2100">
        <v>44</v>
      </c>
      <c r="D26" s="2091" t="s">
        <v>1022</v>
      </c>
      <c r="E26" s="2104">
        <f t="shared" ca="1" si="14"/>
        <v>0</v>
      </c>
      <c r="F26" s="2103">
        <f ca="1">SUMIF('IS(M)'!$M$13:$ER$13,F$5,'IS(M)'!$M44:$ER44)/1000*$B26</f>
        <v>0</v>
      </c>
      <c r="G26" s="2103">
        <f ca="1">SUMIF('IS(M)'!$M$13:$ER$13,G$5,'IS(M)'!$M44:$ER44)/1000*$B26</f>
        <v>0</v>
      </c>
      <c r="H26" s="2103">
        <f ca="1">SUMIF('IS(M)'!$M$13:$ER$13,H$5,'IS(M)'!$M44:$ER44)/1000*$B26</f>
        <v>0</v>
      </c>
      <c r="I26" s="2103">
        <f ca="1">SUMIF('IS(M)'!$M$13:$ER$13,I$5,'IS(M)'!$M44:$ER44)/1000*$B26</f>
        <v>0</v>
      </c>
      <c r="J26" s="2103">
        <f ca="1">SUMIF('IS(M)'!$M$13:$ER$13,J$5,'IS(M)'!$M44:$ER44)/1000*$B26</f>
        <v>0</v>
      </c>
      <c r="K26" s="2103">
        <f ca="1">SUMIF('IS(M)'!$M$13:$ER$13,K$5,'IS(M)'!$M44:$ER44)/1000*$B26</f>
        <v>0</v>
      </c>
      <c r="L26" s="2103">
        <f ca="1">SUMIF('IS(M)'!$M$13:$ER$13,L$5,'IS(M)'!$M44:$ER44)/1000*$B26</f>
        <v>0</v>
      </c>
      <c r="M26" s="2103">
        <f ca="1">SUMIF('IS(M)'!$M$13:$ER$13,M$5,'IS(M)'!$M44:$ER44)/1000*$B26</f>
        <v>0</v>
      </c>
      <c r="N26" s="2103">
        <f>SUMIF('IS(M)'!$M$13:$ER$13,N$5,'IS(M)'!$M44:$ER44)/1000*$B26</f>
        <v>0</v>
      </c>
      <c r="O26" s="2103">
        <f>SUMIF('IS(M)'!$M$13:$ER$13,O$5,'IS(M)'!$M44:$ER44)/1000*$B26</f>
        <v>0</v>
      </c>
      <c r="P26" s="2103">
        <f>SUMIF('IS(M)'!$M$13:$ER$13,P$5,'IS(M)'!$M44:$ER44)/1000*$B26</f>
        <v>0</v>
      </c>
      <c r="Q26" s="2103">
        <f>SUMIF('IS(M)'!$M$13:$ER$13,Q$5,'IS(M)'!$M44:$ER44)/1000*$B26</f>
        <v>0</v>
      </c>
      <c r="R26" s="2103">
        <f>SUMIF('IS(M)'!$M$13:$ER$13,R$5,'IS(M)'!$M44:$ER44)/1000*$B26</f>
        <v>0</v>
      </c>
      <c r="S26" s="2103">
        <f>SUMIF('IS(M)'!$M$13:$ER$13,S$5,'IS(M)'!$M44:$ER44)/1000*$B26</f>
        <v>0</v>
      </c>
      <c r="T26" s="2103">
        <f>SUMIF('IS(M)'!$M$13:$ER$13,T$5,'IS(M)'!$M44:$ER44)/1000*$B26</f>
        <v>0</v>
      </c>
      <c r="U26" s="2103">
        <f>SUMIF('IS(M)'!$M$13:$ER$13,U$5,'IS(M)'!$M44:$ER44)/1000*$B26</f>
        <v>0</v>
      </c>
    </row>
    <row r="27" spans="2:21" ht="11.25" customHeight="1">
      <c r="C27" s="2789" t="s">
        <v>1223</v>
      </c>
      <c r="D27" s="2789"/>
      <c r="E27" s="2104">
        <f t="shared" si="14"/>
        <v>0</v>
      </c>
      <c r="F27" s="2107">
        <f>F15</f>
        <v>0</v>
      </c>
      <c r="G27" s="2107">
        <f t="shared" ref="G27:M27" si="34">G15</f>
        <v>0</v>
      </c>
      <c r="H27" s="2107">
        <f t="shared" si="34"/>
        <v>0</v>
      </c>
      <c r="I27" s="2107">
        <f t="shared" si="34"/>
        <v>0</v>
      </c>
      <c r="J27" s="2107">
        <f t="shared" si="34"/>
        <v>0</v>
      </c>
      <c r="K27" s="2107">
        <f t="shared" si="34"/>
        <v>0</v>
      </c>
      <c r="L27" s="2107">
        <f t="shared" si="34"/>
        <v>0</v>
      </c>
      <c r="M27" s="2107">
        <f t="shared" si="34"/>
        <v>0</v>
      </c>
      <c r="N27" s="2107">
        <f t="shared" ref="N27:U27" si="35">N15</f>
        <v>0</v>
      </c>
      <c r="O27" s="2107">
        <f t="shared" si="35"/>
        <v>0</v>
      </c>
      <c r="P27" s="2107">
        <f t="shared" si="35"/>
        <v>0</v>
      </c>
      <c r="Q27" s="2107">
        <f t="shared" si="35"/>
        <v>0</v>
      </c>
      <c r="R27" s="2107">
        <f t="shared" si="35"/>
        <v>0</v>
      </c>
      <c r="S27" s="2107">
        <f t="shared" si="35"/>
        <v>0</v>
      </c>
      <c r="T27" s="2107">
        <f t="shared" si="35"/>
        <v>0</v>
      </c>
      <c r="U27" s="2107">
        <f t="shared" si="35"/>
        <v>0</v>
      </c>
    </row>
    <row r="28" spans="2:21" ht="11.25" customHeight="1">
      <c r="C28" s="2789" t="s">
        <v>1224</v>
      </c>
      <c r="D28" s="2789"/>
      <c r="E28" s="2104">
        <f t="shared" si="14"/>
        <v>0</v>
      </c>
      <c r="F28" s="2107">
        <v>0</v>
      </c>
      <c r="G28" s="2107">
        <v>0</v>
      </c>
      <c r="H28" s="2107">
        <v>0</v>
      </c>
      <c r="I28" s="2107">
        <v>0</v>
      </c>
      <c r="J28" s="2107">
        <v>0</v>
      </c>
      <c r="K28" s="2107">
        <v>0</v>
      </c>
      <c r="L28" s="2107">
        <v>0</v>
      </c>
      <c r="M28" s="2107">
        <v>0</v>
      </c>
      <c r="N28" s="2107">
        <v>0</v>
      </c>
      <c r="O28" s="2107">
        <v>0</v>
      </c>
      <c r="P28" s="2107">
        <v>0</v>
      </c>
      <c r="Q28" s="2107">
        <v>0</v>
      </c>
      <c r="R28" s="2107">
        <v>0</v>
      </c>
      <c r="S28" s="2107">
        <v>0</v>
      </c>
      <c r="T28" s="2107">
        <v>0</v>
      </c>
      <c r="U28" s="2107">
        <v>0</v>
      </c>
    </row>
    <row r="29" spans="2:21" ht="11.25" customHeight="1">
      <c r="C29" s="2790" t="s">
        <v>1225</v>
      </c>
      <c r="D29" s="2790"/>
      <c r="E29" s="2104">
        <f t="shared" si="14"/>
        <v>26567.151367611241</v>
      </c>
      <c r="F29" s="2107">
        <f>F24+F27+F28</f>
        <v>3125.9762084123004</v>
      </c>
      <c r="G29" s="2107">
        <f t="shared" ref="G29:M29" si="36">G24+G27+G28</f>
        <v>3217.0417975380801</v>
      </c>
      <c r="H29" s="2107">
        <f t="shared" si="36"/>
        <v>3303.8999666168315</v>
      </c>
      <c r="I29" s="2107">
        <f t="shared" si="36"/>
        <v>3458.447009179331</v>
      </c>
      <c r="J29" s="2107">
        <f t="shared" si="36"/>
        <v>3219.6813367037303</v>
      </c>
      <c r="K29" s="2107">
        <f t="shared" si="36"/>
        <v>3301.8783613076566</v>
      </c>
      <c r="L29" s="2107">
        <f t="shared" si="36"/>
        <v>3390.907984613375</v>
      </c>
      <c r="M29" s="2107">
        <f t="shared" si="36"/>
        <v>3549.3187032399373</v>
      </c>
      <c r="N29" s="2107">
        <f t="shared" ref="N29" si="37">N24+N27+N28</f>
        <v>0</v>
      </c>
      <c r="O29" s="2107">
        <f t="shared" ref="O29" si="38">O24+O27+O28</f>
        <v>0</v>
      </c>
      <c r="P29" s="2107">
        <f t="shared" ref="P29" si="39">P24+P27+P28</f>
        <v>0</v>
      </c>
      <c r="Q29" s="2107">
        <f t="shared" ref="Q29" si="40">Q24+Q27+Q28</f>
        <v>0</v>
      </c>
      <c r="R29" s="2107">
        <f t="shared" ref="R29" si="41">R24+R27+R28</f>
        <v>0</v>
      </c>
      <c r="S29" s="2107">
        <f t="shared" ref="S29" si="42">S24+S27+S28</f>
        <v>0</v>
      </c>
      <c r="T29" s="2107">
        <f t="shared" ref="T29" si="43">T24+T27+T28</f>
        <v>0</v>
      </c>
      <c r="U29" s="2107">
        <f t="shared" ref="U29" si="44">U24+U27+U28</f>
        <v>0</v>
      </c>
    </row>
    <row r="30" spans="2:21" ht="11.25" customHeight="1">
      <c r="C30" s="2789" t="s">
        <v>1269</v>
      </c>
      <c r="D30" s="2789"/>
      <c r="E30" s="2104">
        <f t="shared" si="14"/>
        <v>15280</v>
      </c>
      <c r="F30" s="2107">
        <f>SUMIF('IS(M)'!$M$13:$ER$13,F$5,'IS(M)'!$M47:$ER47)/1000</f>
        <v>1910</v>
      </c>
      <c r="G30" s="2107">
        <f>SUMIF('IS(M)'!$M$13:$ER$13,G$5,'IS(M)'!$M47:$ER47)/1000</f>
        <v>1910</v>
      </c>
      <c r="H30" s="2107">
        <f>SUMIF('IS(M)'!$M$13:$ER$13,H$5,'IS(M)'!$M47:$ER47)/1000</f>
        <v>1910</v>
      </c>
      <c r="I30" s="2107">
        <f>SUMIF('IS(M)'!$M$13:$ER$13,I$5,'IS(M)'!$M47:$ER47)/1000</f>
        <v>1910</v>
      </c>
      <c r="J30" s="2107">
        <f>SUMIF('IS(M)'!$M$13:$ER$13,J$5,'IS(M)'!$M47:$ER47)/1000</f>
        <v>1910</v>
      </c>
      <c r="K30" s="2107">
        <f>SUMIF('IS(M)'!$M$13:$ER$13,K$5,'IS(M)'!$M47:$ER47)/1000</f>
        <v>1910</v>
      </c>
      <c r="L30" s="2107">
        <f>SUMIF('IS(M)'!$M$13:$ER$13,L$5,'IS(M)'!$M47:$ER47)/1000</f>
        <v>1910</v>
      </c>
      <c r="M30" s="2107">
        <f>SUMIF('IS(M)'!$M$13:$ER$13,M$5,'IS(M)'!$M47:$ER47)/1000</f>
        <v>1910</v>
      </c>
      <c r="N30" s="2107">
        <f>SUMIF('IS(M)'!$M$13:$ER$13,N$5,'IS(M)'!$M47:$ER47)/1000</f>
        <v>0</v>
      </c>
      <c r="O30" s="2107">
        <f>SUMIF('IS(M)'!$M$13:$ER$13,O$5,'IS(M)'!$M47:$ER47)/1000</f>
        <v>0</v>
      </c>
      <c r="P30" s="2107">
        <f>SUMIF('IS(M)'!$M$13:$ER$13,P$5,'IS(M)'!$M47:$ER47)/1000</f>
        <v>0</v>
      </c>
      <c r="Q30" s="2107">
        <f>SUMIF('IS(M)'!$M$13:$ER$13,Q$5,'IS(M)'!$M47:$ER47)/1000</f>
        <v>0</v>
      </c>
      <c r="R30" s="2107">
        <f>SUMIF('IS(M)'!$M$13:$ER$13,R$5,'IS(M)'!$M47:$ER47)/1000</f>
        <v>0</v>
      </c>
      <c r="S30" s="2107">
        <f>SUMIF('IS(M)'!$M$13:$ER$13,S$5,'IS(M)'!$M47:$ER47)/1000</f>
        <v>0</v>
      </c>
      <c r="T30" s="2107">
        <f>SUMIF('IS(M)'!$M$13:$ER$13,T$5,'IS(M)'!$M47:$ER47)/1000</f>
        <v>0</v>
      </c>
      <c r="U30" s="2107">
        <f>SUMIF('IS(M)'!$M$13:$ER$13,U$5,'IS(M)'!$M47:$ER47)/1000</f>
        <v>0</v>
      </c>
    </row>
    <row r="31" spans="2:21" ht="11.25" customHeight="1">
      <c r="C31" s="2789" t="s">
        <v>1270</v>
      </c>
      <c r="D31" s="2789"/>
      <c r="E31" s="2104">
        <f t="shared" si="14"/>
        <v>4560</v>
      </c>
      <c r="F31" s="2107">
        <f>SUMIF('IS(M)'!$M$13:$ER$13,F$5,'IS(M)'!$M50:$ER50)/1000</f>
        <v>570</v>
      </c>
      <c r="G31" s="2107">
        <f>SUMIF('IS(M)'!$M$13:$ER$13,G$5,'IS(M)'!$M50:$ER50)/1000</f>
        <v>570</v>
      </c>
      <c r="H31" s="2107">
        <f>SUMIF('IS(M)'!$M$13:$ER$13,H$5,'IS(M)'!$M50:$ER50)/1000</f>
        <v>570</v>
      </c>
      <c r="I31" s="2107">
        <f>SUMIF('IS(M)'!$M$13:$ER$13,I$5,'IS(M)'!$M50:$ER50)/1000</f>
        <v>570</v>
      </c>
      <c r="J31" s="2107">
        <f>SUMIF('IS(M)'!$M$13:$ER$13,J$5,'IS(M)'!$M50:$ER50)/1000</f>
        <v>570</v>
      </c>
      <c r="K31" s="2107">
        <f>SUMIF('IS(M)'!$M$13:$ER$13,K$5,'IS(M)'!$M50:$ER50)/1000</f>
        <v>570</v>
      </c>
      <c r="L31" s="2107">
        <f>SUMIF('IS(M)'!$M$13:$ER$13,L$5,'IS(M)'!$M50:$ER50)/1000</f>
        <v>570</v>
      </c>
      <c r="M31" s="2107">
        <f>SUMIF('IS(M)'!$M$13:$ER$13,M$5,'IS(M)'!$M50:$ER50)/1000</f>
        <v>570</v>
      </c>
      <c r="N31" s="2107">
        <f>SUMIF('IS(M)'!$M$13:$ER$13,N$5,'IS(M)'!$M50:$ER50)/1000</f>
        <v>0</v>
      </c>
      <c r="O31" s="2107">
        <f>SUMIF('IS(M)'!$M$13:$ER$13,O$5,'IS(M)'!$M50:$ER50)/1000</f>
        <v>0</v>
      </c>
      <c r="P31" s="2107">
        <f>SUMIF('IS(M)'!$M$13:$ER$13,P$5,'IS(M)'!$M50:$ER50)/1000</f>
        <v>0</v>
      </c>
      <c r="Q31" s="2107">
        <f>SUMIF('IS(M)'!$M$13:$ER$13,Q$5,'IS(M)'!$M50:$ER50)/1000</f>
        <v>0</v>
      </c>
      <c r="R31" s="2107">
        <f>SUMIF('IS(M)'!$M$13:$ER$13,R$5,'IS(M)'!$M50:$ER50)/1000</f>
        <v>0</v>
      </c>
      <c r="S31" s="2107">
        <f>SUMIF('IS(M)'!$M$13:$ER$13,S$5,'IS(M)'!$M50:$ER50)/1000</f>
        <v>0</v>
      </c>
      <c r="T31" s="2107">
        <f>SUMIF('IS(M)'!$M$13:$ER$13,T$5,'IS(M)'!$M50:$ER50)/1000</f>
        <v>0</v>
      </c>
      <c r="U31" s="2107">
        <f>SUMIF('IS(M)'!$M$13:$ER$13,U$5,'IS(M)'!$M50:$ER50)/1000</f>
        <v>0</v>
      </c>
    </row>
    <row r="32" spans="2:21" ht="11.25" customHeight="1">
      <c r="C32" s="2789" t="s">
        <v>1226</v>
      </c>
      <c r="D32" s="2789"/>
      <c r="E32" s="2104">
        <f t="shared" si="14"/>
        <v>19840</v>
      </c>
      <c r="F32" s="2107">
        <f>SUMIF('IS(M)'!$M$13:$ER$13,F$5,'IS(M)'!$M47:$ER47)/1000+SUMIF('IS(M)'!$M$13:$ER$13,F$5,'IS(M)'!$M50:$ER50)/1000</f>
        <v>2480</v>
      </c>
      <c r="G32" s="2107">
        <f>SUMIF('IS(M)'!$M$13:$ER$13,G$5,'IS(M)'!$M47:$ER47)/1000+SUMIF('IS(M)'!$M$13:$ER$13,G$5,'IS(M)'!$M50:$ER50)/1000</f>
        <v>2480</v>
      </c>
      <c r="H32" s="2107">
        <f>SUMIF('IS(M)'!$M$13:$ER$13,H$5,'IS(M)'!$M47:$ER47)/1000+SUMIF('IS(M)'!$M$13:$ER$13,H$5,'IS(M)'!$M50:$ER50)/1000</f>
        <v>2480</v>
      </c>
      <c r="I32" s="2107">
        <f>SUMIF('IS(M)'!$M$13:$ER$13,I$5,'IS(M)'!$M47:$ER47)/1000+SUMIF('IS(M)'!$M$13:$ER$13,I$5,'IS(M)'!$M50:$ER50)/1000</f>
        <v>2480</v>
      </c>
      <c r="J32" s="2107">
        <f>SUMIF('IS(M)'!$M$13:$ER$13,J$5,'IS(M)'!$M47:$ER47)/1000+SUMIF('IS(M)'!$M$13:$ER$13,J$5,'IS(M)'!$M50:$ER50)/1000</f>
        <v>2480</v>
      </c>
      <c r="K32" s="2107">
        <f>SUMIF('IS(M)'!$M$13:$ER$13,K$5,'IS(M)'!$M47:$ER47)/1000+SUMIF('IS(M)'!$M$13:$ER$13,K$5,'IS(M)'!$M50:$ER50)/1000</f>
        <v>2480</v>
      </c>
      <c r="L32" s="2107">
        <f>SUMIF('IS(M)'!$M$13:$ER$13,L$5,'IS(M)'!$M47:$ER47)/1000+SUMIF('IS(M)'!$M$13:$ER$13,L$5,'IS(M)'!$M50:$ER50)/1000</f>
        <v>2480</v>
      </c>
      <c r="M32" s="2107">
        <f>SUMIF('IS(M)'!$M$13:$ER$13,M$5,'IS(M)'!$M47:$ER47)/1000+SUMIF('IS(M)'!$M$13:$ER$13,M$5,'IS(M)'!$M50:$ER50)/1000</f>
        <v>2480</v>
      </c>
      <c r="N32" s="2107">
        <f>SUMIF('IS(M)'!$M$13:$ER$13,N$5,'IS(M)'!$M47:$ER47)/1000+SUMIF('IS(M)'!$M$13:$ER$13,N$5,'IS(M)'!$M50:$ER50)/1000</f>
        <v>0</v>
      </c>
      <c r="O32" s="2107">
        <f>SUMIF('IS(M)'!$M$13:$ER$13,O$5,'IS(M)'!$M47:$ER47)/1000+SUMIF('IS(M)'!$M$13:$ER$13,O$5,'IS(M)'!$M50:$ER50)/1000</f>
        <v>0</v>
      </c>
      <c r="P32" s="2107">
        <f>SUMIF('IS(M)'!$M$13:$ER$13,P$5,'IS(M)'!$M47:$ER47)/1000+SUMIF('IS(M)'!$M$13:$ER$13,P$5,'IS(M)'!$M50:$ER50)/1000</f>
        <v>0</v>
      </c>
      <c r="Q32" s="2107">
        <f>SUMIF('IS(M)'!$M$13:$ER$13,Q$5,'IS(M)'!$M47:$ER47)/1000+SUMIF('IS(M)'!$M$13:$ER$13,Q$5,'IS(M)'!$M50:$ER50)/1000</f>
        <v>0</v>
      </c>
      <c r="R32" s="2107">
        <f>SUMIF('IS(M)'!$M$13:$ER$13,R$5,'IS(M)'!$M47:$ER47)/1000+SUMIF('IS(M)'!$M$13:$ER$13,R$5,'IS(M)'!$M50:$ER50)/1000</f>
        <v>0</v>
      </c>
      <c r="S32" s="2107">
        <f>SUMIF('IS(M)'!$M$13:$ER$13,S$5,'IS(M)'!$M47:$ER47)/1000+SUMIF('IS(M)'!$M$13:$ER$13,S$5,'IS(M)'!$M50:$ER50)/1000</f>
        <v>0</v>
      </c>
      <c r="T32" s="2107">
        <f>SUMIF('IS(M)'!$M$13:$ER$13,T$5,'IS(M)'!$M47:$ER47)/1000+SUMIF('IS(M)'!$M$13:$ER$13,T$5,'IS(M)'!$M50:$ER50)/1000</f>
        <v>0</v>
      </c>
      <c r="U32" s="2107">
        <f>SUMIF('IS(M)'!$M$13:$ER$13,U$5,'IS(M)'!$M47:$ER47)/1000+SUMIF('IS(M)'!$M$13:$ER$13,U$5,'IS(M)'!$M50:$ER50)/1000</f>
        <v>0</v>
      </c>
    </row>
    <row r="33" spans="3:22" ht="11.25" customHeight="1">
      <c r="C33" s="2785" t="s">
        <v>1271</v>
      </c>
      <c r="D33" s="2785"/>
      <c r="E33" s="2094">
        <f>E29/E30</f>
        <v>1.7386879167284843</v>
      </c>
      <c r="F33" s="2094">
        <f>IFERROR(F29/F30,)</f>
        <v>1.6366367583310473</v>
      </c>
      <c r="G33" s="2094">
        <f t="shared" ref="G33:U33" si="45">IFERROR(G29/G30,)</f>
        <v>1.6843150772450681</v>
      </c>
      <c r="H33" s="2094">
        <f t="shared" si="45"/>
        <v>1.7297905584381317</v>
      </c>
      <c r="I33" s="2094">
        <f t="shared" si="45"/>
        <v>1.8107052404080266</v>
      </c>
      <c r="J33" s="2094">
        <f t="shared" si="45"/>
        <v>1.685697034923419</v>
      </c>
      <c r="K33" s="2094">
        <f t="shared" si="45"/>
        <v>1.7287321263390873</v>
      </c>
      <c r="L33" s="2094">
        <f t="shared" si="45"/>
        <v>1.7753444945619765</v>
      </c>
      <c r="M33" s="2094">
        <f t="shared" si="45"/>
        <v>1.8582820435811189</v>
      </c>
      <c r="N33" s="2094">
        <f t="shared" si="45"/>
        <v>0</v>
      </c>
      <c r="O33" s="2094">
        <f t="shared" si="45"/>
        <v>0</v>
      </c>
      <c r="P33" s="2094">
        <f t="shared" si="45"/>
        <v>0</v>
      </c>
      <c r="Q33" s="2094">
        <f t="shared" si="45"/>
        <v>0</v>
      </c>
      <c r="R33" s="2094">
        <f t="shared" si="45"/>
        <v>0</v>
      </c>
      <c r="S33" s="2094">
        <f t="shared" si="45"/>
        <v>0</v>
      </c>
      <c r="T33" s="2094">
        <f t="shared" si="45"/>
        <v>0</v>
      </c>
      <c r="U33" s="2094">
        <f t="shared" si="45"/>
        <v>0</v>
      </c>
      <c r="V33" s="2108" t="s">
        <v>1235</v>
      </c>
    </row>
    <row r="34" spans="3:22" ht="11.25" customHeight="1">
      <c r="C34" s="2785" t="s">
        <v>1272</v>
      </c>
      <c r="D34" s="2785"/>
      <c r="E34" s="2094">
        <f ca="1">AVERAGEIF($F$34:$U$34,"&gt;0",$F$34:$U$34)</f>
        <v>6.8915849153289503</v>
      </c>
      <c r="F34" s="2094">
        <f ca="1">IFERROR((SUMIF('CF(M)'!$L$5:$EQ$5,F$4,'CF(M)'!$L$121:$EQ$121)/1000+F29)/F30,)</f>
        <v>7.902162792168415</v>
      </c>
      <c r="G34" s="2094">
        <f ca="1">IFERROR((SUMIF('CF(M)'!$L$5:$EQ$5,G$4,'CF(M)'!$L$121:$EQ$121)/1000+G29)/G30,)</f>
        <v>8.3007725083967205</v>
      </c>
      <c r="H34" s="2094">
        <f ca="1">IFERROR((SUMIF('CF(M)'!$L$5:$EQ$5,H$4,'CF(M)'!$L$121:$EQ$121)/1000+H29)/H30,)</f>
        <v>7.137030163419837</v>
      </c>
      <c r="I34" s="2094">
        <f ca="1">IFERROR((SUMIF('CF(M)'!$L$5:$EQ$5,I$4,'CF(M)'!$L$121:$EQ$121)/1000+I29)/I30,)</f>
        <v>7.6555363899264082</v>
      </c>
      <c r="J34" s="2094">
        <f ca="1">IFERROR((SUMIF('CF(M)'!$L$5:$EQ$5,J$4,'CF(M)'!$L$121:$EQ$121)/1000+J29)/J30,)</f>
        <v>5.9378340894770929</v>
      </c>
      <c r="K34" s="2094">
        <f ca="1">IFERROR((SUMIF('CF(M)'!$L$5:$EQ$5,K$4,'CF(M)'!$L$121:$EQ$121)/1000+K29)/K30,)</f>
        <v>6.4591008714835532</v>
      </c>
      <c r="L34" s="2094">
        <f ca="1">IFERROR((SUMIF('CF(M)'!$L$5:$EQ$5,L$4,'CF(M)'!$L$121:$EQ$121)/1000+L29)/L30,)</f>
        <v>5.6151603536920911</v>
      </c>
      <c r="M34" s="2094">
        <f ca="1">IFERROR((SUMIF('CF(M)'!$L$5:$EQ$5,M$4,'CF(M)'!$L$121:$EQ$121)/1000+M29)/M30,)</f>
        <v>6.1250821540674849</v>
      </c>
      <c r="N34" s="2094">
        <f ca="1">IFERROR((SUMIF('CF(M)'!$L$5:$EQ$5,N$4,'CF(M)'!$L$121:$EQ$121)/1000+N29)/N30,)</f>
        <v>0</v>
      </c>
      <c r="O34" s="2094">
        <f ca="1">IFERROR((SUMIF('CF(M)'!$L$5:$EQ$5,O$4,'CF(M)'!$L$121:$EQ$121)/1000+O29)/O30,)</f>
        <v>0</v>
      </c>
      <c r="P34" s="2094">
        <f ca="1">IFERROR((SUMIF('CF(M)'!$L$5:$EQ$5,P$4,'CF(M)'!$L$121:$EQ$121)/1000+P29)/P30,)</f>
        <v>0</v>
      </c>
      <c r="Q34" s="2094">
        <f ca="1">IFERROR((SUMIF('CF(M)'!$L$5:$EQ$5,Q$4,'CF(M)'!$L$121:$EQ$121)/1000+Q29)/Q30,)</f>
        <v>0</v>
      </c>
      <c r="R34" s="2094">
        <f ca="1">IFERROR((SUMIF('CF(M)'!$L$5:$EQ$5,R$4,'CF(M)'!$L$121:$EQ$121)/1000+R29)/R30,)</f>
        <v>0</v>
      </c>
      <c r="S34" s="2094">
        <f ca="1">IFERROR((SUMIF('CF(M)'!$L$5:$EQ$5,S$4,'CF(M)'!$L$121:$EQ$121)/1000+S29)/S30,)</f>
        <v>0</v>
      </c>
      <c r="T34" s="2094">
        <f ca="1">IFERROR((SUMIF('CF(M)'!$L$5:$EQ$5,T$4,'CF(M)'!$L$121:$EQ$121)/1000+T29)/T30,)</f>
        <v>0</v>
      </c>
      <c r="U34" s="2094">
        <f ca="1">IFERROR((SUMIF('CF(M)'!$L$5:$EQ$5,U$4,'CF(M)'!$L$121:$EQ$121)/1000+U29)/U30,)</f>
        <v>0</v>
      </c>
      <c r="V34" s="1" t="s">
        <v>1234</v>
      </c>
    </row>
    <row r="35" spans="3:22" ht="11.25" customHeight="1">
      <c r="C35" s="2785" t="s">
        <v>1273</v>
      </c>
      <c r="D35" s="2785"/>
      <c r="E35" s="2094">
        <f>IFERROR(AVERAGEIF($F35:$U35,"&gt;0",$F35:$U35),)</f>
        <v>1.3390701294158891</v>
      </c>
      <c r="F35" s="2094">
        <f>IFERROR(F29/F32,)</f>
        <v>1.260474277585605</v>
      </c>
      <c r="G35" s="2094">
        <f t="shared" ref="G35:U35" si="46">IFERROR(G29/G32,)</f>
        <v>1.2971942732008388</v>
      </c>
      <c r="H35" s="2094">
        <f t="shared" si="46"/>
        <v>1.3322177284745289</v>
      </c>
      <c r="I35" s="2094">
        <f t="shared" si="46"/>
        <v>1.3945350843465045</v>
      </c>
      <c r="J35" s="2094">
        <f t="shared" si="46"/>
        <v>1.2982586035095687</v>
      </c>
      <c r="K35" s="2094">
        <f t="shared" si="46"/>
        <v>1.33140256504341</v>
      </c>
      <c r="L35" s="2094">
        <f t="shared" si="46"/>
        <v>1.3673016066989416</v>
      </c>
      <c r="M35" s="2094">
        <f t="shared" si="46"/>
        <v>1.4311768964677167</v>
      </c>
      <c r="N35" s="2094">
        <f t="shared" si="46"/>
        <v>0</v>
      </c>
      <c r="O35" s="2094">
        <f t="shared" si="46"/>
        <v>0</v>
      </c>
      <c r="P35" s="2094">
        <f t="shared" si="46"/>
        <v>0</v>
      </c>
      <c r="Q35" s="2094">
        <f t="shared" si="46"/>
        <v>0</v>
      </c>
      <c r="R35" s="2094">
        <f t="shared" si="46"/>
        <v>0</v>
      </c>
      <c r="S35" s="2094">
        <f t="shared" si="46"/>
        <v>0</v>
      </c>
      <c r="T35" s="2094">
        <f t="shared" si="46"/>
        <v>0</v>
      </c>
      <c r="U35" s="2094">
        <f t="shared" si="46"/>
        <v>0</v>
      </c>
      <c r="V35" s="1"/>
    </row>
    <row r="36" spans="3:22" ht="11.25" customHeight="1">
      <c r="C36" s="2785" t="s">
        <v>1274</v>
      </c>
      <c r="D36" s="2785"/>
      <c r="E36" s="2094">
        <f t="shared" ref="E36" ca="1" si="47">IFERROR(AVERAGEIF($F36:$U36,"&gt;0",$F36:$U36),)</f>
        <v>5.3076319307573776</v>
      </c>
      <c r="F36" s="2094">
        <f ca="1">IFERROR((SUMIF('CF(M)'!$L$5:$EQ$5,F$4,'CF(M)'!$L$121:$EQ$121)/1000+F29)/F32,)</f>
        <v>6.0859398923555137</v>
      </c>
      <c r="G36" s="2094">
        <f ca="1">IFERROR((SUMIF('CF(M)'!$L$5:$EQ$5,G$4,'CF(M)'!$L$121:$EQ$121)/1000+G29)/G32,)</f>
        <v>6.3929336657410234</v>
      </c>
      <c r="H36" s="2094">
        <f ca="1">IFERROR((SUMIF('CF(M)'!$L$5:$EQ$5,H$4,'CF(M)'!$L$121:$EQ$121)/1000+H29)/H32,)</f>
        <v>5.4966643597306</v>
      </c>
      <c r="I36" s="2094">
        <f ca="1">IFERROR((SUMIF('CF(M)'!$L$5:$EQ$5,I$4,'CF(M)'!$L$121:$EQ$121)/1000+I29)/I32,)</f>
        <v>5.8959977841771929</v>
      </c>
      <c r="J36" s="2094">
        <f ca="1">IFERROR((SUMIF('CF(M)'!$L$5:$EQ$5,J$4,'CF(M)'!$L$121:$EQ$121)/1000+J29)/J32,)</f>
        <v>4.573089964073084</v>
      </c>
      <c r="K36" s="2094">
        <f ca="1">IFERROR((SUMIF('CF(M)'!$L$5:$EQ$5,K$4,'CF(M)'!$L$121:$EQ$121)/1000+K29)/K32,)</f>
        <v>4.9745494615054788</v>
      </c>
      <c r="L36" s="2094">
        <f ca="1">IFERROR((SUMIF('CF(M)'!$L$5:$EQ$5,L$4,'CF(M)'!$L$121:$EQ$121)/1000+L29)/L32,)</f>
        <v>4.324579143367699</v>
      </c>
      <c r="M36" s="2094">
        <f ca="1">IFERROR((SUMIF('CF(M)'!$L$5:$EQ$5,M$4,'CF(M)'!$L$121:$EQ$121)/1000+M29)/M32,)</f>
        <v>4.7173011751084264</v>
      </c>
      <c r="N36" s="2094">
        <f ca="1">IFERROR((SUMIF('CF(M)'!$L$5:$EQ$5,N$4,'CF(M)'!$L$121:$EQ$121)/1000+N29)/N32,)</f>
        <v>0</v>
      </c>
      <c r="O36" s="2094">
        <f ca="1">IFERROR((SUMIF('CF(M)'!$L$5:$EQ$5,O$4,'CF(M)'!$L$121:$EQ$121)/1000+O29)/O32,)</f>
        <v>0</v>
      </c>
      <c r="P36" s="2094">
        <f ca="1">IFERROR((SUMIF('CF(M)'!$L$5:$EQ$5,P$4,'CF(M)'!$L$121:$EQ$121)/1000+P29)/P32,)</f>
        <v>0</v>
      </c>
      <c r="Q36" s="2094">
        <f ca="1">IFERROR((SUMIF('CF(M)'!$L$5:$EQ$5,Q$4,'CF(M)'!$L$121:$EQ$121)/1000+Q29)/Q32,)</f>
        <v>0</v>
      </c>
      <c r="R36" s="2094">
        <f ca="1">IFERROR((SUMIF('CF(M)'!$L$5:$EQ$5,R$4,'CF(M)'!$L$121:$EQ$121)/1000+R29)/R32,)</f>
        <v>0</v>
      </c>
      <c r="S36" s="2094">
        <f ca="1">IFERROR((SUMIF('CF(M)'!$L$5:$EQ$5,S$4,'CF(M)'!$L$121:$EQ$121)/1000+S29)/S32,)</f>
        <v>0</v>
      </c>
      <c r="T36" s="2094">
        <f ca="1">IFERROR((SUMIF('CF(M)'!$L$5:$EQ$5,T$4,'CF(M)'!$L$121:$EQ$121)/1000+T29)/T32,)</f>
        <v>0</v>
      </c>
      <c r="U36" s="2094">
        <f ca="1">IFERROR((SUMIF('CF(M)'!$L$5:$EQ$5,U$4,'CF(M)'!$L$121:$EQ$121)/1000+U29)/U32,)</f>
        <v>0</v>
      </c>
      <c r="V36" s="1"/>
    </row>
    <row r="37" spans="3:22" ht="11.25" customHeight="1">
      <c r="C37" s="2095" t="s">
        <v>1227</v>
      </c>
    </row>
    <row r="38" spans="3:22" ht="11.25" customHeight="1">
      <c r="C38" s="2095" t="s">
        <v>1228</v>
      </c>
    </row>
    <row r="39" spans="3:22" ht="11.25" customHeight="1">
      <c r="C39" s="2095" t="s">
        <v>1236</v>
      </c>
      <c r="F39" s="2193"/>
      <c r="G39" s="2193"/>
      <c r="H39" s="2193"/>
      <c r="I39" s="2193"/>
      <c r="J39" s="2193"/>
      <c r="K39" s="2193"/>
      <c r="L39" s="2193"/>
      <c r="M39" s="2193"/>
    </row>
    <row r="40" spans="3:22" ht="11.25" customHeight="1">
      <c r="F40" s="2589"/>
      <c r="G40" s="2193"/>
      <c r="H40" s="2193"/>
      <c r="I40" s="2193"/>
      <c r="J40" s="2193"/>
      <c r="K40" s="2193"/>
      <c r="L40" s="2193"/>
      <c r="M40" s="2193"/>
    </row>
    <row r="41" spans="3:22" ht="11.25" customHeight="1">
      <c r="F41" s="2588"/>
      <c r="G41" s="2193"/>
      <c r="H41" s="2193"/>
      <c r="I41" s="2193"/>
      <c r="J41" s="2193"/>
      <c r="K41" s="2193"/>
      <c r="L41" s="2193"/>
      <c r="M41" s="2193"/>
    </row>
    <row r="42" spans="3:22" ht="11.25" customHeight="1">
      <c r="F42" s="2193"/>
      <c r="G42" s="2193"/>
      <c r="H42" s="2193"/>
      <c r="I42" s="2193"/>
      <c r="J42" s="2193"/>
      <c r="K42" s="2193"/>
      <c r="L42" s="2193"/>
      <c r="M42" s="2193"/>
    </row>
    <row r="45" spans="3:22" ht="11.25" customHeight="1">
      <c r="C45" s="2789" t="s">
        <v>1277</v>
      </c>
      <c r="D45" s="2789"/>
      <c r="E45" s="2104">
        <f t="shared" ref="E45:E46" ca="1" si="48">SUM(F45:U45)</f>
        <v>3360.0000000000005</v>
      </c>
      <c r="F45" s="2107">
        <f ca="1">SUMIF('IS(M)'!$M$13:$ER$13,F$5,'IS(M)'!$M75:$ER75)/1000</f>
        <v>0</v>
      </c>
      <c r="G45" s="2107">
        <f ca="1">SUMIF('IS(M)'!$M$13:$ER$13,G$5,'IS(M)'!$M75:$ER75)/1000</f>
        <v>840.00000000000011</v>
      </c>
      <c r="H45" s="2107">
        <f ca="1">SUMIF('IS(M)'!$M$13:$ER$13,H$5,'IS(M)'!$M75:$ER75)/1000</f>
        <v>0</v>
      </c>
      <c r="I45" s="2107">
        <f ca="1">SUMIF('IS(M)'!$M$13:$ER$13,I$5,'IS(M)'!$M75:$ER75)/1000</f>
        <v>840.00000000000011</v>
      </c>
      <c r="J45" s="2107">
        <f ca="1">SUMIF('IS(M)'!$M$13:$ER$13,J$5,'IS(M)'!$M75:$ER75)/1000</f>
        <v>0</v>
      </c>
      <c r="K45" s="2107">
        <f ca="1">SUMIF('IS(M)'!$M$13:$ER$13,K$5,'IS(M)'!$M75:$ER75)/1000</f>
        <v>840.00000000000011</v>
      </c>
      <c r="L45" s="2107">
        <f ca="1">SUMIF('IS(M)'!$M$13:$ER$13,L$5,'IS(M)'!$M75:$ER75)/1000</f>
        <v>0</v>
      </c>
      <c r="M45" s="2107">
        <f ca="1">SUMIF('IS(M)'!$M$13:$ER$13,M$5,'IS(M)'!$M75:$ER75)/1000</f>
        <v>840.00000000000011</v>
      </c>
      <c r="N45" s="2107">
        <f>SUMIF('IS(M)'!$M$13:$ER$13,N$5,'IS(M)'!$M75:$ER75)/1000</f>
        <v>0</v>
      </c>
      <c r="O45" s="2107">
        <f>SUMIF('IS(M)'!$M$13:$ER$13,O$5,'IS(M)'!$M75:$ER75)/1000</f>
        <v>0</v>
      </c>
      <c r="P45" s="2107">
        <f>SUMIF('IS(M)'!$M$13:$ER$13,P$5,'IS(M)'!$M75:$ER75)/1000</f>
        <v>0</v>
      </c>
      <c r="Q45" s="2107">
        <f>SUMIF('IS(M)'!$M$13:$ER$13,Q$5,'IS(M)'!$M75:$ER75)/1000</f>
        <v>0</v>
      </c>
      <c r="R45" s="2107">
        <f>SUMIF('IS(M)'!$M$13:$ER$13,R$5,'IS(M)'!$M75:$ER75)/1000</f>
        <v>0</v>
      </c>
      <c r="S45" s="2107">
        <f>SUMIF('IS(M)'!$M$13:$ER$13,S$5,'IS(M)'!$M75:$ER75)/1000</f>
        <v>0</v>
      </c>
      <c r="T45" s="2107">
        <f>SUMIF('IS(M)'!$M$13:$ER$13,T$5,'IS(M)'!$M75:$ER75)/1000</f>
        <v>0</v>
      </c>
      <c r="U45" s="2107">
        <f>SUMIF('IS(M)'!$M$13:$ER$13,U$5,'IS(M)'!$M75:$ER75)/1000</f>
        <v>0</v>
      </c>
    </row>
    <row r="46" spans="3:22" ht="11.25" customHeight="1">
      <c r="C46" s="2789" t="s">
        <v>1276</v>
      </c>
      <c r="D46" s="2789"/>
      <c r="E46" s="2104">
        <f t="shared" ca="1" si="48"/>
        <v>7500</v>
      </c>
      <c r="F46" s="2107">
        <f ca="1">SUMIF('IS(M)'!$M$13:$ER$13,F$5,'IS(M)'!$M80:$ER80)/1000</f>
        <v>0</v>
      </c>
      <c r="G46" s="2107">
        <f ca="1">SUMIF('IS(M)'!$M$13:$ER$13,G$5,'IS(M)'!$M80:$ER80)/1000</f>
        <v>1875</v>
      </c>
      <c r="H46" s="2107">
        <f ca="1">SUMIF('IS(M)'!$M$13:$ER$13,H$5,'IS(M)'!$M80:$ER80)/1000</f>
        <v>0</v>
      </c>
      <c r="I46" s="2107">
        <f ca="1">SUMIF('IS(M)'!$M$13:$ER$13,I$5,'IS(M)'!$M80:$ER80)/1000</f>
        <v>1875</v>
      </c>
      <c r="J46" s="2107">
        <f ca="1">SUMIF('IS(M)'!$M$13:$ER$13,J$5,'IS(M)'!$M80:$ER80)/1000</f>
        <v>0</v>
      </c>
      <c r="K46" s="2107">
        <f ca="1">SUMIF('IS(M)'!$M$13:$ER$13,K$5,'IS(M)'!$M80:$ER80)/1000</f>
        <v>1875</v>
      </c>
      <c r="L46" s="2107">
        <f ca="1">SUMIF('IS(M)'!$M$13:$ER$13,L$5,'IS(M)'!$M80:$ER80)/1000</f>
        <v>0</v>
      </c>
      <c r="M46" s="2107">
        <f ca="1">SUMIF('IS(M)'!$M$13:$ER$13,M$5,'IS(M)'!$M80:$ER80)/1000</f>
        <v>1875</v>
      </c>
      <c r="N46" s="2107">
        <f>SUMIF('IS(M)'!$M$13:$ER$13,N$5,'IS(M)'!$M80:$ER80)/1000</f>
        <v>0</v>
      </c>
      <c r="O46" s="2107">
        <f>SUMIF('IS(M)'!$M$13:$ER$13,O$5,'IS(M)'!$M80:$ER80)/1000</f>
        <v>0</v>
      </c>
      <c r="P46" s="2107">
        <f>SUMIF('IS(M)'!$M$13:$ER$13,P$5,'IS(M)'!$M80:$ER80)/1000</f>
        <v>0</v>
      </c>
      <c r="Q46" s="2107">
        <f>SUMIF('IS(M)'!$M$13:$ER$13,Q$5,'IS(M)'!$M80:$ER80)/1000</f>
        <v>0</v>
      </c>
      <c r="R46" s="2107">
        <f>SUMIF('IS(M)'!$M$13:$ER$13,R$5,'IS(M)'!$M80:$ER80)/1000</f>
        <v>0</v>
      </c>
      <c r="S46" s="2107">
        <f>SUMIF('IS(M)'!$M$13:$ER$13,S$5,'IS(M)'!$M80:$ER80)/1000</f>
        <v>0</v>
      </c>
      <c r="T46" s="2107">
        <f>SUMIF('IS(M)'!$M$13:$ER$13,T$5,'IS(M)'!$M80:$ER80)/1000</f>
        <v>0</v>
      </c>
      <c r="U46" s="2107">
        <f>SUMIF('IS(M)'!$M$13:$ER$13,U$5,'IS(M)'!$M80:$ER80)/1000</f>
        <v>0</v>
      </c>
    </row>
    <row r="47" spans="3:22" ht="11.25" customHeight="1">
      <c r="C47" s="2793" t="s">
        <v>1278</v>
      </c>
      <c r="D47" s="2794"/>
      <c r="E47" s="2094">
        <f t="shared" ref="E47:E48" ca="1" si="49">IFERROR(AVERAGEIF($F47:$U47,"&gt;0",$F47:$U47),)</f>
        <v>4.6124565936833193</v>
      </c>
      <c r="F47" s="2094">
        <f ca="1">IFERROR((SUMIF('CF(M)'!$L$5:$EQ$5,F$4,'CF(M)'!$L$121:$EQ$121)/1000+F29)/(F32+F45),)</f>
        <v>6.0859398923555137</v>
      </c>
      <c r="G47" s="2094">
        <f ca="1">IFERROR((SUMIF('CF(M)'!$L$5:$EQ$5,G$4,'CF(M)'!$L$121:$EQ$121)/1000+G29)/(G32+G45),)</f>
        <v>4.7754444250113668</v>
      </c>
      <c r="H47" s="2094">
        <f ca="1">IFERROR((SUMIF('CF(M)'!$L$5:$EQ$5,H$4,'CF(M)'!$L$121:$EQ$121)/1000+H29)/(H32+H45),)</f>
        <v>5.4966643597306</v>
      </c>
      <c r="I47" s="2094">
        <f ca="1">IFERROR((SUMIF('CF(M)'!$L$5:$EQ$5,I$4,'CF(M)'!$L$121:$EQ$121)/1000+I29)/(I32+I45),)</f>
        <v>4.4042393086624818</v>
      </c>
      <c r="J47" s="2094">
        <f ca="1">IFERROR((SUMIF('CF(M)'!$L$5:$EQ$5,J$4,'CF(M)'!$L$121:$EQ$121)/1000+J29)/(J32+J45),)</f>
        <v>4.573089964073084</v>
      </c>
      <c r="K47" s="2094">
        <f ca="1">IFERROR((SUMIF('CF(M)'!$L$5:$EQ$5,K$4,'CF(M)'!$L$121:$EQ$121)/1000+K29)/(K32+K45),)</f>
        <v>3.715928513413731</v>
      </c>
      <c r="L47" s="2094">
        <f ca="1">IFERROR((SUMIF('CF(M)'!$L$5:$EQ$5,L$4,'CF(M)'!$L$121:$EQ$121)/1000+L29)/(L32+L45),)</f>
        <v>4.324579143367699</v>
      </c>
      <c r="M47" s="2094">
        <f ca="1">IFERROR((SUMIF('CF(M)'!$L$5:$EQ$5,M$4,'CF(M)'!$L$121:$EQ$121)/1000+M29)/(M32+M45),)</f>
        <v>3.5237671428520771</v>
      </c>
      <c r="N47" s="2094">
        <f ca="1">IFERROR((SUMIF('CF(M)'!$L$5:$EQ$5,N$4,'CF(M)'!$L$121:$EQ$121)/1000+N29)/(N32+N45),)</f>
        <v>0</v>
      </c>
      <c r="O47" s="2094">
        <f ca="1">IFERROR((SUMIF('CF(M)'!$L$5:$EQ$5,O$4,'CF(M)'!$L$121:$EQ$121)/1000+O29)/(O32+O45),)</f>
        <v>0</v>
      </c>
      <c r="P47" s="2094">
        <f ca="1">IFERROR((SUMIF('CF(M)'!$L$5:$EQ$5,P$4,'CF(M)'!$L$121:$EQ$121)/1000+P29)/(P32+P45),)</f>
        <v>0</v>
      </c>
      <c r="Q47" s="2094">
        <f ca="1">IFERROR((SUMIF('CF(M)'!$L$5:$EQ$5,Q$4,'CF(M)'!$L$121:$EQ$121)/1000+Q29)/(Q32+Q45),)</f>
        <v>0</v>
      </c>
      <c r="R47" s="2094">
        <f ca="1">IFERROR((SUMIF('CF(M)'!$L$5:$EQ$5,R$4,'CF(M)'!$L$121:$EQ$121)/1000+R29)/(R32+R45),)</f>
        <v>0</v>
      </c>
      <c r="S47" s="2094">
        <f ca="1">IFERROR((SUMIF('CF(M)'!$L$5:$EQ$5,S$4,'CF(M)'!$L$121:$EQ$121)/1000+S29)/(S32+S45),)</f>
        <v>0</v>
      </c>
      <c r="T47" s="2094">
        <f ca="1">IFERROR((SUMIF('CF(M)'!$L$5:$EQ$5,T$4,'CF(M)'!$L$121:$EQ$121)/1000+T29)/(T32+T45),)</f>
        <v>0</v>
      </c>
      <c r="U47" s="2094">
        <f ca="1">IFERROR((SUMIF('CF(M)'!$L$5:$EQ$5,U$4,'CF(M)'!$L$121:$EQ$121)/1000+U29)/(U32+U45),)</f>
        <v>0</v>
      </c>
    </row>
    <row r="48" spans="3:22" ht="11.25" customHeight="1">
      <c r="C48" s="2793" t="s">
        <v>1279</v>
      </c>
      <c r="D48" s="2794"/>
      <c r="E48" s="2094">
        <f t="shared" ca="1" si="49"/>
        <v>3.871688153930267</v>
      </c>
      <c r="F48" s="2094">
        <f ca="1">IFERROR((SUMIF('CF(M)'!$L$5:$EQ$5,F$4,'CF(M)'!$L$121:$EQ$121)/1000+F29)/(F32+F45+F46),)</f>
        <v>6.0859398923555137</v>
      </c>
      <c r="G48" s="2094">
        <f ca="1">IFERROR((SUMIF('CF(M)'!$L$5:$EQ$5,G$4,'CF(M)'!$L$121:$EQ$121)/1000+G29)/(G32+G45+G46),)</f>
        <v>3.0518720868215086</v>
      </c>
      <c r="H48" s="2094">
        <f ca="1">IFERROR((SUMIF('CF(M)'!$L$5:$EQ$5,H$4,'CF(M)'!$L$121:$EQ$121)/1000+H29)/(H32+H45+H46),)</f>
        <v>5.4966643597306</v>
      </c>
      <c r="I48" s="2094">
        <f ca="1">IFERROR((SUMIF('CF(M)'!$L$5:$EQ$5,I$4,'CF(M)'!$L$121:$EQ$121)/1000+I29)/(I32+I45+I46),)</f>
        <v>2.8146437930239538</v>
      </c>
      <c r="J48" s="2094">
        <f ca="1">IFERROR((SUMIF('CF(M)'!$L$5:$EQ$5,J$4,'CF(M)'!$L$121:$EQ$121)/1000+J29)/(J32+J45+J46),)</f>
        <v>4.573089964073084</v>
      </c>
      <c r="K48" s="2094">
        <f ca="1">IFERROR((SUMIF('CF(M)'!$L$5:$EQ$5,K$4,'CF(M)'!$L$121:$EQ$121)/1000+K29)/(K32+K45+K46),)</f>
        <v>2.3747608593904883</v>
      </c>
      <c r="L48" s="2094">
        <f ca="1">IFERROR((SUMIF('CF(M)'!$L$5:$EQ$5,L$4,'CF(M)'!$L$121:$EQ$121)/1000+L29)/(L32+L45+L46),)</f>
        <v>4.324579143367699</v>
      </c>
      <c r="M48" s="2094">
        <f ca="1">IFERROR((SUMIF('CF(M)'!$L$5:$EQ$5,M$4,'CF(M)'!$L$121:$EQ$121)/1000+M29)/(M32+M45+M46),)</f>
        <v>2.2519551326792873</v>
      </c>
      <c r="N48" s="2094">
        <f ca="1">IFERROR((SUMIF('CF(M)'!$L$5:$EQ$5,N$4,'CF(M)'!$L$121:$EQ$121)/1000+N29)/(N32+N45+N46),)</f>
        <v>0</v>
      </c>
      <c r="O48" s="2094">
        <f ca="1">IFERROR((SUMIF('CF(M)'!$L$5:$EQ$5,O$4,'CF(M)'!$L$121:$EQ$121)/1000+O29)/(O32+O45+O46),)</f>
        <v>0</v>
      </c>
      <c r="P48" s="2094">
        <f ca="1">IFERROR((SUMIF('CF(M)'!$L$5:$EQ$5,P$4,'CF(M)'!$L$121:$EQ$121)/1000+P29)/(P32+P45+P46),)</f>
        <v>0</v>
      </c>
      <c r="Q48" s="2094">
        <f ca="1">IFERROR((SUMIF('CF(M)'!$L$5:$EQ$5,Q$4,'CF(M)'!$L$121:$EQ$121)/1000+Q29)/(Q32+Q45+Q46),)</f>
        <v>0</v>
      </c>
      <c r="R48" s="2094">
        <f ca="1">IFERROR((SUMIF('CF(M)'!$L$5:$EQ$5,R$4,'CF(M)'!$L$121:$EQ$121)/1000+R29)/(R32+R45+R46),)</f>
        <v>0</v>
      </c>
      <c r="S48" s="2094">
        <f ca="1">IFERROR((SUMIF('CF(M)'!$L$5:$EQ$5,S$4,'CF(M)'!$L$121:$EQ$121)/1000+S29)/(S32+S45+S46),)</f>
        <v>0</v>
      </c>
      <c r="T48" s="2094">
        <f ca="1">IFERROR((SUMIF('CF(M)'!$L$5:$EQ$5,T$4,'CF(M)'!$L$121:$EQ$121)/1000+T29)/(T32+T45+T46),)</f>
        <v>0</v>
      </c>
      <c r="U48" s="2094">
        <f ca="1">IFERROR((SUMIF('CF(M)'!$L$5:$EQ$5,U$4,'CF(M)'!$L$121:$EQ$121)/1000+U29)/(U32+U45+U46),)</f>
        <v>0</v>
      </c>
    </row>
  </sheetData>
  <mergeCells count="19">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 ref="C32:D32"/>
    <mergeCell ref="C33:D33"/>
    <mergeCell ref="C34:D34"/>
    <mergeCell ref="C45:D45"/>
    <mergeCell ref="C46:D46"/>
  </mergeCells>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zoomScaleNormal="100" workbookViewId="0">
      <selection activeCell="D27" sqref="D27"/>
    </sheetView>
  </sheetViews>
  <sheetFormatPr defaultColWidth="6.875" defaultRowHeight="12"/>
  <cols>
    <col min="1" max="1" width="6.875" style="2234"/>
    <col min="2" max="2" width="26.25" style="2234" customWidth="1"/>
    <col min="3" max="21" width="11.125" style="2234" customWidth="1"/>
    <col min="22" max="23" width="11.875" style="2234" customWidth="1"/>
    <col min="24" max="24" width="9.875" style="2234" customWidth="1"/>
    <col min="25" max="16384" width="6.875" style="2234"/>
  </cols>
  <sheetData>
    <row r="2" spans="2:6" ht="12.75" thickBot="1"/>
    <row r="3" spans="2:6" ht="12.75" thickBot="1">
      <c r="B3" s="2235" t="s">
        <v>620</v>
      </c>
      <c r="C3" s="2235" t="s">
        <v>680</v>
      </c>
      <c r="D3" s="2235" t="s">
        <v>620</v>
      </c>
      <c r="E3" s="2236" t="s">
        <v>680</v>
      </c>
    </row>
    <row r="4" spans="2:6" ht="12.75" thickBot="1">
      <c r="B4" s="2237" t="s">
        <v>1508</v>
      </c>
      <c r="C4" s="2238">
        <f>TIC!J15/1000</f>
        <v>270000</v>
      </c>
      <c r="D4" s="2239" t="s">
        <v>1434</v>
      </c>
      <c r="E4" s="2240">
        <f>'A&amp;R'!P31/1000</f>
        <v>2100</v>
      </c>
    </row>
    <row r="5" spans="2:6" ht="12.75" thickBot="1">
      <c r="B5" s="2237" t="s">
        <v>1509</v>
      </c>
      <c r="C5" s="2238">
        <f>(TIC!J18+TIC!J20+TIC!J27)/1000</f>
        <v>14274.615225132002</v>
      </c>
      <c r="D5" s="2239" t="s">
        <v>1562</v>
      </c>
      <c r="E5" s="2240">
        <f>'A&amp;R'!P32/1000</f>
        <v>160000</v>
      </c>
    </row>
    <row r="6" spans="2:6" ht="12.75" thickBot="1">
      <c r="B6" s="2237" t="s">
        <v>1510</v>
      </c>
      <c r="C6" s="2238">
        <f>TIC!J32/1000</f>
        <v>4390</v>
      </c>
      <c r="D6" s="2239" t="s">
        <v>1564</v>
      </c>
      <c r="E6" s="2240">
        <f>'A&amp;R'!P35/1000</f>
        <v>38000</v>
      </c>
    </row>
    <row r="7" spans="2:6" ht="12.75" thickBot="1">
      <c r="B7" s="2237" t="s">
        <v>1560</v>
      </c>
      <c r="C7" s="2238">
        <f>TIC!J34/1000</f>
        <v>235.38477486795188</v>
      </c>
      <c r="D7" s="2239" t="s">
        <v>1565</v>
      </c>
      <c r="E7" s="2240">
        <f>'A&amp;R'!Q41/1000</f>
        <v>24000</v>
      </c>
    </row>
    <row r="8" spans="2:6" ht="12.75" thickBot="1">
      <c r="B8" s="2237" t="s">
        <v>68</v>
      </c>
      <c r="C8" s="2238">
        <f>'A&amp;R'!Q43/1000</f>
        <v>10000</v>
      </c>
      <c r="D8" s="2239" t="s">
        <v>1566</v>
      </c>
      <c r="E8" s="2240">
        <f>'A&amp;R'!Q42/1000</f>
        <v>50000</v>
      </c>
    </row>
    <row r="9" spans="2:6" ht="12.75" thickBot="1">
      <c r="B9" s="2237"/>
      <c r="C9" s="2238"/>
      <c r="D9" s="2239" t="s">
        <v>1567</v>
      </c>
      <c r="E9" s="2240">
        <f>'A&amp;R'!Q43/1000</f>
        <v>10000</v>
      </c>
    </row>
    <row r="10" spans="2:6" ht="12.75" thickBot="1">
      <c r="B10" s="2237"/>
      <c r="C10" s="2238"/>
      <c r="D10" s="2239" t="s">
        <v>19</v>
      </c>
      <c r="E10" s="2240">
        <f>'A&amp;R'!Q44/1000</f>
        <v>14800</v>
      </c>
    </row>
    <row r="11" spans="2:6" ht="12.75" thickBot="1">
      <c r="B11" s="2241" t="s">
        <v>1435</v>
      </c>
      <c r="C11" s="2242">
        <f>SUM(C4:C10)</f>
        <v>298899.99999999994</v>
      </c>
      <c r="D11" s="2243" t="s">
        <v>1511</v>
      </c>
      <c r="E11" s="2244">
        <f>SUM(E4:E10)</f>
        <v>298900</v>
      </c>
      <c r="F11" s="2234" t="b">
        <f>C11=E11</f>
        <v>1</v>
      </c>
    </row>
    <row r="13" spans="2:6" ht="12.75" thickBot="1"/>
    <row r="14" spans="2:6" ht="12.75" thickBot="1">
      <c r="B14" s="2823" t="s">
        <v>620</v>
      </c>
      <c r="C14" s="2824"/>
      <c r="D14" s="2235" t="s">
        <v>680</v>
      </c>
      <c r="E14" s="2236" t="s">
        <v>669</v>
      </c>
    </row>
    <row r="15" spans="2:6" ht="12.75" thickBot="1">
      <c r="B15" s="2245" t="s">
        <v>249</v>
      </c>
      <c r="C15" s="2243"/>
      <c r="D15" s="2238">
        <f>TIC!J18/1000</f>
        <v>1350</v>
      </c>
      <c r="E15" s="2246" t="str">
        <f>"부동산매입금액 x "&amp;TEXT(F15,"0.000%")</f>
        <v>부동산매입금액 x 0.500%</v>
      </c>
      <c r="F15" s="2247">
        <f>TIC!H19</f>
        <v>5.0000000000000001E-3</v>
      </c>
    </row>
    <row r="16" spans="2:6" ht="12.75" hidden="1" thickBot="1">
      <c r="B16" s="2818" t="s">
        <v>1436</v>
      </c>
      <c r="C16" s="2239" t="s">
        <v>1486</v>
      </c>
      <c r="D16" s="2238">
        <v>0</v>
      </c>
      <c r="E16" s="2248"/>
    </row>
    <row r="17" spans="2:5" ht="12.75" thickBot="1">
      <c r="B17" s="2819"/>
      <c r="C17" s="2239" t="s">
        <v>1487</v>
      </c>
      <c r="D17" s="2238">
        <f>TIC!J21/1000</f>
        <v>85.315100000000001</v>
      </c>
      <c r="E17" s="2248"/>
    </row>
    <row r="18" spans="2:5" ht="12.75" thickBot="1">
      <c r="B18" s="2819"/>
      <c r="C18" s="2239" t="s">
        <v>1488</v>
      </c>
      <c r="D18" s="2238">
        <f>TIC!J22/1000</f>
        <v>80</v>
      </c>
      <c r="E18" s="2248"/>
    </row>
    <row r="19" spans="2:5" ht="12.75" thickBot="1">
      <c r="B19" s="2819"/>
      <c r="C19" s="2239" t="s">
        <v>1489</v>
      </c>
      <c r="D19" s="2238">
        <f>TIC!J23/1000</f>
        <v>40</v>
      </c>
      <c r="E19" s="2248"/>
    </row>
    <row r="20" spans="2:5" ht="12.75" thickBot="1">
      <c r="B20" s="2819"/>
      <c r="C20" s="2239" t="s">
        <v>1490</v>
      </c>
      <c r="D20" s="2238">
        <f>TIC!J24/1000</f>
        <v>40</v>
      </c>
      <c r="E20" s="2248"/>
    </row>
    <row r="21" spans="2:5" ht="12.75" thickBot="1">
      <c r="B21" s="2819"/>
      <c r="C21" s="2239" t="s">
        <v>1491</v>
      </c>
      <c r="D21" s="2238">
        <f>TIC!J25/1000</f>
        <v>25</v>
      </c>
      <c r="E21" s="2248"/>
    </row>
    <row r="22" spans="2:5" ht="12.75" hidden="1" thickBot="1">
      <c r="B22" s="2819"/>
      <c r="C22" s="2239" t="s">
        <v>1492</v>
      </c>
      <c r="D22" s="2238">
        <v>0</v>
      </c>
      <c r="E22" s="2248"/>
    </row>
    <row r="23" spans="2:5" ht="12.75" hidden="1" thickBot="1">
      <c r="B23" s="2819"/>
      <c r="C23" s="2239" t="s">
        <v>1220</v>
      </c>
      <c r="D23" s="2238">
        <v>0</v>
      </c>
      <c r="E23" s="2248"/>
    </row>
    <row r="24" spans="2:5" ht="12.75" hidden="1" thickBot="1">
      <c r="B24" s="2819"/>
      <c r="C24" s="2239" t="s">
        <v>1493</v>
      </c>
      <c r="D24" s="2238">
        <v>0</v>
      </c>
      <c r="E24" s="2248"/>
    </row>
    <row r="25" spans="2:5" ht="12.75" hidden="1" thickBot="1">
      <c r="B25" s="2819"/>
      <c r="C25" s="2239" t="s">
        <v>1494</v>
      </c>
      <c r="D25" s="2238">
        <v>0</v>
      </c>
      <c r="E25" s="2248"/>
    </row>
    <row r="26" spans="2:5" ht="12.75" thickBot="1">
      <c r="B26" s="2819"/>
      <c r="C26" s="2239" t="s">
        <v>245</v>
      </c>
      <c r="D26" s="2238">
        <f>TIC!J26/1000</f>
        <v>76</v>
      </c>
      <c r="E26" s="2248"/>
    </row>
    <row r="27" spans="2:5" ht="36.75" thickBot="1">
      <c r="B27" s="2819"/>
      <c r="C27" s="2239" t="s">
        <v>1495</v>
      </c>
      <c r="D27" s="2238">
        <f>TIC!J29/1000</f>
        <v>80.269630531999994</v>
      </c>
      <c r="E27" s="2248" t="s">
        <v>1437</v>
      </c>
    </row>
    <row r="28" spans="2:5" ht="24.75" hidden="1" thickBot="1">
      <c r="B28" s="2819"/>
      <c r="C28" s="2239" t="s">
        <v>1496</v>
      </c>
      <c r="D28" s="2238">
        <v>0</v>
      </c>
      <c r="E28" s="2248" t="s">
        <v>1438</v>
      </c>
    </row>
    <row r="29" spans="2:5" ht="12.75" thickBot="1">
      <c r="B29" s="2820"/>
      <c r="C29" s="2250" t="s">
        <v>1439</v>
      </c>
      <c r="D29" s="2242">
        <f>SUM(D16:D28)</f>
        <v>426.58473053200004</v>
      </c>
      <c r="E29" s="2251"/>
    </row>
    <row r="30" spans="2:5" ht="24.75" hidden="1" thickBot="1">
      <c r="B30" s="2818" t="s">
        <v>1440</v>
      </c>
      <c r="C30" s="2239" t="s">
        <v>1441</v>
      </c>
      <c r="D30" s="2238">
        <v>0</v>
      </c>
      <c r="E30" s="2248" t="s">
        <v>1442</v>
      </c>
    </row>
    <row r="31" spans="2:5" ht="24.75" hidden="1" thickBot="1">
      <c r="B31" s="2819"/>
      <c r="C31" s="2239" t="s">
        <v>1443</v>
      </c>
      <c r="D31" s="2238">
        <v>0</v>
      </c>
      <c r="E31" s="2248" t="s">
        <v>1444</v>
      </c>
    </row>
    <row r="32" spans="2:5" ht="12.75" hidden="1" thickBot="1">
      <c r="B32" s="2819"/>
      <c r="C32" s="2239" t="s">
        <v>1445</v>
      </c>
      <c r="D32" s="2238">
        <v>0</v>
      </c>
      <c r="E32" s="2248"/>
    </row>
    <row r="33" spans="2:8" ht="12.75" hidden="1" thickBot="1">
      <c r="B33" s="2820"/>
      <c r="C33" s="2250" t="s">
        <v>1439</v>
      </c>
      <c r="D33" s="2242">
        <f>SUM(D30:D32)</f>
        <v>0</v>
      </c>
      <c r="E33" s="2251"/>
    </row>
    <row r="34" spans="2:8" ht="12.75" thickBot="1">
      <c r="B34" s="2827" t="s">
        <v>683</v>
      </c>
      <c r="C34" s="2828"/>
      <c r="D34" s="2238">
        <f>TIC!J28/1000</f>
        <v>12498.030494600001</v>
      </c>
      <c r="E34" s="2252"/>
    </row>
    <row r="35" spans="2:8" ht="12.75" thickBot="1">
      <c r="B35" s="2829" t="s">
        <v>1446</v>
      </c>
      <c r="C35" s="2830"/>
      <c r="D35" s="2242">
        <f>D15+D29+D33+D34</f>
        <v>14274.615225132002</v>
      </c>
      <c r="E35" s="2251"/>
    </row>
    <row r="36" spans="2:8">
      <c r="D36" s="2253">
        <f>D35-C5</f>
        <v>0</v>
      </c>
    </row>
    <row r="38" spans="2:8" ht="12.75" thickBot="1"/>
    <row r="39" spans="2:8" ht="12.75" thickBot="1">
      <c r="B39" s="2823" t="s">
        <v>620</v>
      </c>
      <c r="C39" s="2824"/>
      <c r="D39" s="2235" t="s">
        <v>680</v>
      </c>
      <c r="E39" s="2236" t="s">
        <v>669</v>
      </c>
    </row>
    <row r="40" spans="2:8" ht="12.75" thickBot="1">
      <c r="B40" s="2818" t="s">
        <v>1447</v>
      </c>
      <c r="C40" s="2239" t="str">
        <f t="shared" ref="C40:D42" si="0">D4</f>
        <v>임대보증금</v>
      </c>
      <c r="D40" s="2238">
        <f t="shared" si="0"/>
        <v>2100</v>
      </c>
      <c r="E40" s="2248"/>
    </row>
    <row r="41" spans="2:8" ht="12.75" thickBot="1">
      <c r="B41" s="2819"/>
      <c r="C41" s="2239" t="str">
        <f t="shared" si="0"/>
        <v>담보차입금(선순위)</v>
      </c>
      <c r="D41" s="2238">
        <f t="shared" si="0"/>
        <v>160000</v>
      </c>
      <c r="E41" s="2246" t="str">
        <f>"이자율 "&amp;TEXT(F41,"0.00%")&amp;", All-in "&amp;TEXT(G41,"0.00%")</f>
        <v>이자율 4.78%, All-in 5.50%</v>
      </c>
      <c r="F41" s="2254">
        <f>'A&amp;R'!Q32</f>
        <v>4.7750000000000001E-2</v>
      </c>
      <c r="G41" s="2254">
        <f>'A&amp;R'!S32</f>
        <v>5.5E-2</v>
      </c>
    </row>
    <row r="42" spans="2:8" ht="12.75" thickBot="1">
      <c r="B42" s="2819"/>
      <c r="C42" s="2239" t="str">
        <f t="shared" si="0"/>
        <v>담보차입금(중순위)</v>
      </c>
      <c r="D42" s="2238">
        <f t="shared" si="0"/>
        <v>38000</v>
      </c>
      <c r="E42" s="2246" t="str">
        <f>"이자율 "&amp;TEXT(F42,"0.00%")&amp;", All-in "&amp;TEXT(G42,"0.00%")</f>
        <v>이자율 6.00%, All-in 6.50%</v>
      </c>
      <c r="F42" s="2254">
        <f>'A&amp;R'!Q35</f>
        <v>0.06</v>
      </c>
      <c r="G42" s="2254">
        <f>'A&amp;R'!S35</f>
        <v>6.5000000000000002E-2</v>
      </c>
    </row>
    <row r="43" spans="2:8" ht="12.75" thickBot="1">
      <c r="B43" s="2820"/>
      <c r="C43" s="2250" t="s">
        <v>44</v>
      </c>
      <c r="D43" s="2238">
        <f>SUM(D40:D42)</f>
        <v>200100</v>
      </c>
      <c r="E43" s="2252"/>
    </row>
    <row r="44" spans="2:8" ht="24.75" thickBot="1">
      <c r="B44" s="2818" t="s">
        <v>1448</v>
      </c>
      <c r="C44" s="2239" t="str">
        <f t="shared" ref="C44:D47" si="1">D7</f>
        <v>우선주(1종)</v>
      </c>
      <c r="D44" s="2238">
        <f t="shared" si="1"/>
        <v>24000</v>
      </c>
      <c r="E44" s="2255" t="str">
        <f>"확정배당 "&amp;TEXT(F44,"0.00%")</f>
        <v>확정배당 7.00%</v>
      </c>
      <c r="F44" s="2254">
        <f>'A&amp;R'!S41</f>
        <v>7.0000000000000007E-2</v>
      </c>
      <c r="H44" s="2254"/>
    </row>
    <row r="45" spans="2:8" ht="36.75" thickBot="1">
      <c r="B45" s="2819"/>
      <c r="C45" s="2239" t="str">
        <f t="shared" si="1"/>
        <v>우선주(2종)</v>
      </c>
      <c r="D45" s="2238">
        <f t="shared" si="1"/>
        <v>50000</v>
      </c>
      <c r="E45" s="2255" t="str">
        <f>"확정배당 "&amp;TEXT(F45,"0.00%")&amp;", C.G 20%"</f>
        <v>확정배당 7.50%, C.G 20%</v>
      </c>
      <c r="F45" s="2254">
        <f>'A&amp;R'!S42</f>
        <v>7.4999999999999997E-2</v>
      </c>
      <c r="H45" s="2254"/>
    </row>
    <row r="46" spans="2:8" ht="24.75" thickBot="1">
      <c r="B46" s="2819"/>
      <c r="C46" s="2239" t="str">
        <f t="shared" si="1"/>
        <v>우선주(3종)</v>
      </c>
      <c r="D46" s="2238">
        <f t="shared" si="1"/>
        <v>10000</v>
      </c>
      <c r="E46" s="2255" t="s">
        <v>1512</v>
      </c>
      <c r="F46" s="2254"/>
      <c r="H46" s="2254"/>
    </row>
    <row r="47" spans="2:8" ht="24.75" thickBot="1">
      <c r="B47" s="2819"/>
      <c r="C47" s="2239" t="str">
        <f t="shared" si="1"/>
        <v>보통주</v>
      </c>
      <c r="D47" s="2238">
        <f t="shared" si="1"/>
        <v>14800</v>
      </c>
      <c r="E47" s="2255" t="s">
        <v>1513</v>
      </c>
      <c r="F47" s="2254"/>
      <c r="H47" s="2254"/>
    </row>
    <row r="48" spans="2:8" ht="12.75" thickBot="1">
      <c r="B48" s="2820"/>
      <c r="C48" s="2250" t="s">
        <v>44</v>
      </c>
      <c r="D48" s="2238">
        <f>SUM(D44:D47)</f>
        <v>98800</v>
      </c>
      <c r="E48" s="2252"/>
    </row>
    <row r="49" spans="2:9" ht="12.75" thickBot="1">
      <c r="B49" s="2821" t="s">
        <v>1511</v>
      </c>
      <c r="C49" s="2822"/>
      <c r="D49" s="2238">
        <f>D43+D48</f>
        <v>298900</v>
      </c>
      <c r="E49" s="2252"/>
    </row>
    <row r="55" spans="2:9">
      <c r="B55" s="2256" t="s">
        <v>1449</v>
      </c>
      <c r="C55" s="2257" t="s">
        <v>1450</v>
      </c>
      <c r="D55" s="2257" t="s">
        <v>1519</v>
      </c>
      <c r="E55" s="2257" t="s">
        <v>1451</v>
      </c>
      <c r="F55" s="2257" t="s">
        <v>1452</v>
      </c>
      <c r="G55" s="2257" t="s">
        <v>1434</v>
      </c>
      <c r="H55" s="2257" t="s">
        <v>1453</v>
      </c>
      <c r="I55" s="2258" t="s">
        <v>1454</v>
      </c>
    </row>
    <row r="56" spans="2:9">
      <c r="B56" s="2259" t="s">
        <v>1520</v>
      </c>
      <c r="C56" s="2374">
        <f>'Rentroll(개시시점 기준)'!W62</f>
        <v>49064</v>
      </c>
      <c r="D56" s="2410">
        <f>'Rentroll(개시시점 기준)'!I61+SUM('Rentroll(개시시점 기준)'!I62:I65)+'Rentroll(개시시점 기준)'!I67+'Rentroll(개시시점 기준)'!I73</f>
        <v>13247.689999999999</v>
      </c>
      <c r="E56" s="2373">
        <f>'Rentroll(개시시점 기준)'!P62</f>
        <v>60000</v>
      </c>
      <c r="F56" s="2373">
        <f>'Rentroll(개시시점 기준)'!S62</f>
        <v>3000</v>
      </c>
      <c r="G56" s="2373">
        <f>'Rentroll(개시시점 기준)'!N62</f>
        <v>360000</v>
      </c>
      <c r="H56" s="2260">
        <v>2.5000000000000001E-2</v>
      </c>
      <c r="I56" s="2261"/>
    </row>
    <row r="57" spans="2:9">
      <c r="B57" s="2259" t="s">
        <v>1521</v>
      </c>
      <c r="C57" s="2374">
        <f>'Rentroll(개시시점 기준)'!W66</f>
        <v>47328</v>
      </c>
      <c r="D57" s="2410">
        <f>'Rentroll(개시시점 기준)'!I66</f>
        <v>2185.56</v>
      </c>
      <c r="E57" s="2373">
        <f>'Rentroll(개시시점 기준)'!P66</f>
        <v>49000</v>
      </c>
      <c r="F57" s="2373">
        <f>'Rentroll(개시시점 기준)'!S66</f>
        <v>3000</v>
      </c>
      <c r="G57" s="2373">
        <f>'Rentroll(개시시점 기준)'!N66</f>
        <v>294000</v>
      </c>
      <c r="H57" s="2260">
        <v>2.5000000000000001E-2</v>
      </c>
      <c r="I57" s="2261"/>
    </row>
    <row r="58" spans="2:9">
      <c r="B58" s="2259" t="s">
        <v>1522</v>
      </c>
      <c r="C58" s="2374">
        <f>'Rentroll(개시시점 기준)'!W68</f>
        <v>49340</v>
      </c>
      <c r="D58" s="2410">
        <f>'Rentroll(개시시점 기준)'!I68</f>
        <v>1092.94</v>
      </c>
      <c r="E58" s="2373">
        <f>'Rentroll(개시시점 기준)'!P68</f>
        <v>60000</v>
      </c>
      <c r="F58" s="2373">
        <f>'Rentroll(개시시점 기준)'!S68</f>
        <v>3000</v>
      </c>
      <c r="G58" s="2373">
        <f>'Rentroll(개시시점 기준)'!N68</f>
        <v>360000</v>
      </c>
      <c r="H58" s="2260"/>
      <c r="I58" s="2372"/>
    </row>
    <row r="59" spans="2:9">
      <c r="B59" s="2259" t="s">
        <v>1523</v>
      </c>
      <c r="C59" s="2374">
        <f>'Rentroll(개시시점 기준)'!W69</f>
        <v>47514</v>
      </c>
      <c r="D59" s="2410">
        <f>'Rentroll(개시시점 기준)'!I69</f>
        <v>856.05</v>
      </c>
      <c r="E59" s="2373">
        <f>'Rentroll(개시시점 기준)'!P69</f>
        <v>60000</v>
      </c>
      <c r="F59" s="2373">
        <f>'Rentroll(개시시점 기준)'!S69</f>
        <v>3000</v>
      </c>
      <c r="G59" s="2373">
        <f>'Rentroll(개시시점 기준)'!N69</f>
        <v>360000</v>
      </c>
      <c r="H59" s="2260"/>
      <c r="I59" s="2372"/>
    </row>
    <row r="60" spans="2:9">
      <c r="B60" s="2259" t="s">
        <v>429</v>
      </c>
      <c r="C60" s="2374">
        <f>'Rentroll(개시시점 기준)'!W49</f>
        <v>47483</v>
      </c>
      <c r="D60" s="2410">
        <f>'Rentroll(개시시점 기준)'!I49</f>
        <v>479.38</v>
      </c>
      <c r="E60" s="2373">
        <f>'Rentroll(개시시점 기준)'!P49</f>
        <v>40000</v>
      </c>
      <c r="F60" s="2373">
        <f>'Rentroll(개시시점 기준)'!S49</f>
        <v>3000</v>
      </c>
      <c r="G60" s="2373">
        <f>'Rentroll(개시시점 기준)'!N49</f>
        <v>208600</v>
      </c>
      <c r="H60" s="2260"/>
      <c r="I60" s="2372"/>
    </row>
    <row r="61" spans="2:9">
      <c r="B61" s="2259" t="s">
        <v>1524</v>
      </c>
      <c r="C61" s="2374" t="s">
        <v>1249</v>
      </c>
      <c r="D61" s="2410">
        <f>'Rentroll(개시시점 기준)'!I75-SUM(D56:D60)</f>
        <v>3028.4599999999991</v>
      </c>
      <c r="E61" s="2373" t="s">
        <v>1249</v>
      </c>
      <c r="F61" s="2373" t="s">
        <v>1249</v>
      </c>
      <c r="G61" s="2373" t="s">
        <v>1249</v>
      </c>
      <c r="H61" s="2260"/>
      <c r="I61" s="2372"/>
    </row>
    <row r="63" spans="2:9" ht="12.75" hidden="1" thickBot="1">
      <c r="B63" s="2262" t="s">
        <v>620</v>
      </c>
      <c r="C63" s="2262" t="s">
        <v>1455</v>
      </c>
      <c r="D63" s="2262" t="s">
        <v>1456</v>
      </c>
      <c r="E63" s="2262" t="s">
        <v>236</v>
      </c>
      <c r="F63" s="2263" t="s">
        <v>264</v>
      </c>
    </row>
    <row r="64" spans="2:9" ht="14.25" hidden="1" thickBot="1">
      <c r="B64" s="2264" t="s">
        <v>187</v>
      </c>
      <c r="C64" s="2265">
        <f>IM!C7</f>
        <v>142.943214904</v>
      </c>
      <c r="D64" s="2266" t="s">
        <v>1517</v>
      </c>
      <c r="E64" s="2267">
        <v>0</v>
      </c>
      <c r="F64" s="2268" t="s">
        <v>1518</v>
      </c>
    </row>
    <row r="67" spans="2:13">
      <c r="D67" s="2253">
        <v>14979.043749999999</v>
      </c>
    </row>
    <row r="68" spans="2:13">
      <c r="B68" s="2283" t="s">
        <v>620</v>
      </c>
      <c r="C68" s="2284" t="s">
        <v>1582</v>
      </c>
      <c r="D68" s="2284" t="s">
        <v>1583</v>
      </c>
      <c r="E68" s="2284" t="s">
        <v>236</v>
      </c>
      <c r="F68" s="2382" t="s">
        <v>669</v>
      </c>
    </row>
    <row r="69" spans="2:13">
      <c r="B69" s="2384" t="s">
        <v>73</v>
      </c>
      <c r="C69" s="2408">
        <f>'A&amp;R'!P68/1000</f>
        <v>60</v>
      </c>
      <c r="D69" s="2408">
        <f>'A&amp;R'!N68</f>
        <v>173.12381880702196</v>
      </c>
      <c r="E69" s="2405">
        <f>'A&amp;R'!Q68</f>
        <v>1.4999999999999999E-2</v>
      </c>
      <c r="F69" s="2383"/>
    </row>
    <row r="70" spans="2:13">
      <c r="B70" s="2384" t="s">
        <v>75</v>
      </c>
      <c r="C70" s="2408">
        <f>'A&amp;R'!P69/1000</f>
        <v>637.00073600459996</v>
      </c>
      <c r="D70" s="2408">
        <f>'A&amp;R'!N69</f>
        <v>1838</v>
      </c>
      <c r="E70" s="2405">
        <f>'A&amp;R'!Q69</f>
        <v>0.02</v>
      </c>
      <c r="F70" s="2383"/>
    </row>
    <row r="71" spans="2:13" ht="12.75" customHeight="1">
      <c r="B71" s="2384" t="s">
        <v>78</v>
      </c>
      <c r="C71" s="2408">
        <f>'A&amp;R'!P70/1000</f>
        <v>31.191548553000001</v>
      </c>
      <c r="D71" s="2408">
        <f>'A&amp;R'!N70</f>
        <v>90</v>
      </c>
      <c r="E71" s="2405">
        <f>'A&amp;R'!Q70</f>
        <v>0.02</v>
      </c>
      <c r="F71" s="2383"/>
    </row>
    <row r="72" spans="2:13">
      <c r="B72" s="2384" t="s">
        <v>80</v>
      </c>
      <c r="C72" s="2408">
        <f>'A&amp;R'!P71/1000</f>
        <v>0</v>
      </c>
      <c r="D72" s="2408">
        <f>'A&amp;R'!N71</f>
        <v>0</v>
      </c>
      <c r="E72" s="2405">
        <f>'A&amp;R'!Q71</f>
        <v>0.02</v>
      </c>
      <c r="F72" s="2383" t="s">
        <v>1584</v>
      </c>
    </row>
    <row r="73" spans="2:13">
      <c r="B73" s="2384" t="s">
        <v>83</v>
      </c>
      <c r="C73" s="2408">
        <f>'A&amp;R'!P72/1000</f>
        <v>742.28470000000004</v>
      </c>
      <c r="D73" s="2408">
        <f>'A&amp;R'!N72</f>
        <v>2141.7860317670779</v>
      </c>
      <c r="E73" s="2405">
        <f>'A&amp;R'!Q72</f>
        <v>-0.02</v>
      </c>
      <c r="F73" s="2404" t="s">
        <v>1585</v>
      </c>
    </row>
    <row r="74" spans="2:13">
      <c r="B74" s="2384" t="s">
        <v>1497</v>
      </c>
      <c r="C74" s="2408">
        <f>'A&amp;R'!P73/1000</f>
        <v>206.25172000000001</v>
      </c>
      <c r="D74" s="2408">
        <f>'A&amp;R'!N73</f>
        <v>595.11809003194378</v>
      </c>
      <c r="E74" s="2405">
        <f>'A&amp;R'!Q73</f>
        <v>0.02</v>
      </c>
      <c r="F74" s="2383" t="s">
        <v>1586</v>
      </c>
    </row>
    <row r="75" spans="2:13">
      <c r="B75" s="2384" t="s">
        <v>138</v>
      </c>
      <c r="C75" s="2408">
        <f>'A&amp;R'!P74/1000</f>
        <v>129.04410999999999</v>
      </c>
      <c r="D75" s="2408">
        <f>'A&amp;R'!N74</f>
        <v>372.34348529589016</v>
      </c>
      <c r="E75" s="2405">
        <f>'A&amp;R'!Q74</f>
        <v>0.02</v>
      </c>
      <c r="F75" s="2383" t="s">
        <v>1586</v>
      </c>
      <c r="J75" s="2234">
        <v>-12.815380950250001</v>
      </c>
      <c r="K75" s="2234">
        <v>0</v>
      </c>
      <c r="L75" s="2234">
        <v>0</v>
      </c>
      <c r="M75" s="2234">
        <v>0</v>
      </c>
    </row>
    <row r="76" spans="2:13">
      <c r="B76" s="2384" t="s">
        <v>1498</v>
      </c>
      <c r="C76" s="2408">
        <f>'A&amp;R'!P75/1000</f>
        <v>394.19421999999997</v>
      </c>
      <c r="D76" s="2408">
        <f>'A&amp;R'!N75</f>
        <v>1137.4068119675892</v>
      </c>
      <c r="E76" s="2405">
        <v>0</v>
      </c>
      <c r="F76" s="2404" t="s">
        <v>1587</v>
      </c>
    </row>
    <row r="77" spans="2:13" ht="12" customHeight="1">
      <c r="B77" s="2384" t="s">
        <v>99</v>
      </c>
      <c r="C77" s="2408">
        <f>'A&amp;R'!P77/1000</f>
        <v>22.335855935800002</v>
      </c>
      <c r="D77" s="2408">
        <f>'A&amp;R'!N77</f>
        <v>64.447811265486436</v>
      </c>
      <c r="E77" s="2405">
        <v>0</v>
      </c>
      <c r="F77" s="2383"/>
    </row>
    <row r="78" spans="2:13" ht="12" customHeight="1">
      <c r="B78" s="2384" t="s">
        <v>1589</v>
      </c>
      <c r="C78" s="2408">
        <f>'A&amp;R'!Y52/1000</f>
        <v>10.87337</v>
      </c>
      <c r="D78" s="2408" t="s">
        <v>1249</v>
      </c>
      <c r="E78" s="2403" t="s">
        <v>1249</v>
      </c>
      <c r="F78" s="2383" t="s">
        <v>1588</v>
      </c>
    </row>
    <row r="79" spans="2:13" ht="12" customHeight="1">
      <c r="B79" s="2392" t="s">
        <v>1457</v>
      </c>
      <c r="C79" s="2409">
        <f>SUM(C69:C78)</f>
        <v>2233.1762604933997</v>
      </c>
      <c r="D79" s="2409">
        <f>'A&amp;R'!N78</f>
        <v>6412.2260491350098</v>
      </c>
      <c r="E79" s="2406"/>
      <c r="F79" s="2407"/>
    </row>
    <row r="80" spans="2:13" ht="12.75" hidden="1" customHeight="1" thickBot="1">
      <c r="B80" s="2249"/>
      <c r="C80" s="2238"/>
      <c r="D80" s="2238"/>
      <c r="E80" s="2269"/>
      <c r="F80" s="2248"/>
    </row>
    <row r="83" spans="2:7" ht="12.75" thickBot="1"/>
    <row r="84" spans="2:7" ht="12.75" thickBot="1">
      <c r="B84" s="2823" t="s">
        <v>620</v>
      </c>
      <c r="C84" s="2824"/>
      <c r="D84" s="2235" t="s">
        <v>1582</v>
      </c>
      <c r="E84" s="2236" t="s">
        <v>669</v>
      </c>
    </row>
    <row r="85" spans="2:7" ht="24.75" thickBot="1">
      <c r="B85" s="2237" t="s">
        <v>1022</v>
      </c>
      <c r="C85" s="2239" t="s">
        <v>1590</v>
      </c>
      <c r="D85" s="2402">
        <f ca="1">SUM('IS(FY)'!N38:O38)/1000</f>
        <v>359.90236084050326</v>
      </c>
      <c r="E85" s="2248" t="s">
        <v>1594</v>
      </c>
    </row>
    <row r="86" spans="2:7" ht="24.75" thickBot="1">
      <c r="B86" s="2237" t="s">
        <v>1477</v>
      </c>
      <c r="C86" s="2239" t="s">
        <v>1561</v>
      </c>
      <c r="D86" s="2402">
        <f>'A&amp;R'!P32*'A&amp;R'!Q32/1000</f>
        <v>7640</v>
      </c>
      <c r="E86" s="2248" t="s">
        <v>1675</v>
      </c>
      <c r="F86" s="2253"/>
      <c r="G86" s="2254"/>
    </row>
    <row r="87" spans="2:7" ht="24.75" thickBot="1">
      <c r="B87" s="2237" t="s">
        <v>1477</v>
      </c>
      <c r="C87" s="2239" t="s">
        <v>1563</v>
      </c>
      <c r="D87" s="2402">
        <f>'A&amp;R'!P35*'A&amp;R'!Q35/1000</f>
        <v>2280</v>
      </c>
      <c r="E87" s="2248" t="s">
        <v>1595</v>
      </c>
      <c r="F87" s="2253"/>
      <c r="G87" s="2254"/>
    </row>
    <row r="88" spans="2:7" ht="12.75" thickBot="1">
      <c r="B88" s="2237" t="s">
        <v>1477</v>
      </c>
      <c r="C88" s="2239" t="s">
        <v>1593</v>
      </c>
      <c r="D88" s="2402">
        <f>'A&amp;R'!P38*'A&amp;R'!Q38*'A&amp;R'!O38/12/1000</f>
        <v>144.63753334348496</v>
      </c>
      <c r="E88" s="2248" t="s">
        <v>1596</v>
      </c>
      <c r="F88" s="2253"/>
      <c r="G88" s="2254"/>
    </row>
    <row r="89" spans="2:7">
      <c r="E89" s="2270"/>
    </row>
    <row r="91" spans="2:7" ht="12.75" thickBot="1"/>
    <row r="92" spans="2:7" ht="12.75" thickBot="1">
      <c r="B92" s="2235" t="s">
        <v>24</v>
      </c>
      <c r="C92" s="2235" t="s">
        <v>1514</v>
      </c>
      <c r="D92" s="2271" t="s">
        <v>843</v>
      </c>
    </row>
    <row r="93" spans="2:7" ht="12.75" thickBot="1">
      <c r="B93" s="2237" t="s">
        <v>148</v>
      </c>
      <c r="C93" s="2402">
        <f>'A&amp;R'!R82/1000</f>
        <v>666.54700000000014</v>
      </c>
      <c r="D93" s="2246" t="s">
        <v>1597</v>
      </c>
      <c r="F93" s="2247"/>
    </row>
    <row r="94" spans="2:7" ht="12.75" thickBot="1">
      <c r="B94" s="2237" t="s">
        <v>150</v>
      </c>
      <c r="C94" s="2402">
        <f>'A&amp;R'!R83/1000</f>
        <v>12</v>
      </c>
      <c r="D94" s="2246" t="s">
        <v>1641</v>
      </c>
      <c r="F94" s="2247"/>
    </row>
    <row r="95" spans="2:7" ht="12.75" thickBot="1">
      <c r="B95" s="2237" t="s">
        <v>152</v>
      </c>
      <c r="C95" s="2402">
        <f>'A&amp;R'!R84/1000</f>
        <v>26.034840871021778</v>
      </c>
      <c r="D95" s="2246" t="s">
        <v>1677</v>
      </c>
      <c r="F95" s="2247"/>
    </row>
    <row r="96" spans="2:7" ht="12.75" thickBot="1">
      <c r="B96" s="2237" t="s">
        <v>1515</v>
      </c>
      <c r="C96" s="2402">
        <f>'A&amp;R'!R80/1000</f>
        <v>24</v>
      </c>
      <c r="D96" s="2246" t="s">
        <v>1591</v>
      </c>
      <c r="F96" s="2247"/>
    </row>
    <row r="97" spans="1:24" ht="12.75" thickBot="1">
      <c r="B97" s="2237" t="s">
        <v>533</v>
      </c>
      <c r="C97" s="2402">
        <f>'A&amp;R'!R81/1000</f>
        <v>72</v>
      </c>
      <c r="D97" s="2246" t="s">
        <v>1592</v>
      </c>
    </row>
    <row r="98" spans="1:24" ht="12.75" thickBot="1">
      <c r="B98" s="2241" t="s">
        <v>1516</v>
      </c>
      <c r="C98" s="2411">
        <f>SUM(C93:C97)</f>
        <v>800.58184087102188</v>
      </c>
      <c r="D98" s="2251"/>
    </row>
    <row r="102" spans="1:24" ht="12.75" thickBot="1"/>
    <row r="103" spans="1:24" ht="12.75" thickBot="1">
      <c r="B103" s="2262" t="s">
        <v>1449</v>
      </c>
      <c r="C103" s="2272" t="s">
        <v>1459</v>
      </c>
      <c r="D103" s="2263" t="s">
        <v>1458</v>
      </c>
    </row>
    <row r="104" spans="1:24" ht="12.75" thickBot="1">
      <c r="B104" s="2273" t="s">
        <v>1499</v>
      </c>
      <c r="C104" s="2275">
        <f>'A&amp;R'!AJ54/1000</f>
        <v>18283.95353630856</v>
      </c>
      <c r="D104" s="2276" t="s">
        <v>1598</v>
      </c>
    </row>
    <row r="105" spans="1:24" ht="12.75" thickBot="1">
      <c r="B105" s="2273" t="s">
        <v>1500</v>
      </c>
      <c r="C105" s="2277">
        <f>'A&amp;R'!AJ55</f>
        <v>4.8918868912827713E-2</v>
      </c>
      <c r="D105" s="2274"/>
    </row>
    <row r="106" spans="1:24" ht="12.75" thickBot="1">
      <c r="B106" s="2273" t="s">
        <v>1501</v>
      </c>
      <c r="C106" s="2275">
        <f>'A&amp;R'!P31/1000</f>
        <v>2100</v>
      </c>
      <c r="D106" s="2274"/>
    </row>
    <row r="107" spans="1:24" ht="12.75" thickBot="1">
      <c r="B107" s="2278" t="s">
        <v>1502</v>
      </c>
      <c r="C107" s="2279">
        <f>'A&amp;R'!AJ57/1000</f>
        <v>375860.75822378765</v>
      </c>
      <c r="D107" s="2274" t="s">
        <v>1601</v>
      </c>
      <c r="E107" s="2253"/>
    </row>
    <row r="108" spans="1:24" ht="12.75" customHeight="1" thickBot="1">
      <c r="B108" s="2273" t="s">
        <v>1602</v>
      </c>
      <c r="C108" s="2275">
        <f>-('A&amp;R'!AJ62+'A&amp;R'!AJ63)/1000</f>
        <v>-3758.6075822378771</v>
      </c>
      <c r="D108" s="2246" t="s">
        <v>1599</v>
      </c>
      <c r="E108" s="2254"/>
      <c r="P108" s="2280"/>
      <c r="Q108" s="2280"/>
      <c r="R108" s="2280"/>
      <c r="S108" s="2280"/>
      <c r="T108" s="2280"/>
      <c r="W108" s="2280"/>
      <c r="X108" s="2280"/>
    </row>
    <row r="109" spans="1:24" ht="12.75" customHeight="1" thickBot="1">
      <c r="B109" s="2273" t="s">
        <v>1603</v>
      </c>
      <c r="C109" s="2275">
        <f>-'A&amp;R'!AJ64/1000</f>
        <v>-12480.322596232469</v>
      </c>
      <c r="D109" s="2246" t="s">
        <v>1600</v>
      </c>
      <c r="E109" s="2254"/>
      <c r="Q109" s="2280"/>
      <c r="R109" s="2280"/>
      <c r="S109" s="2280"/>
      <c r="T109" s="2280"/>
      <c r="W109" s="2280"/>
      <c r="X109" s="2280"/>
    </row>
    <row r="110" spans="1:24" ht="12.75" customHeight="1" thickBot="1">
      <c r="B110" s="2278" t="s">
        <v>1503</v>
      </c>
      <c r="C110" s="2279">
        <f>('A&amp;R'!AJ57-SUM('A&amp;R'!AJ62:AJ64))/1000</f>
        <v>359621.82804531732</v>
      </c>
      <c r="D110" s="2274"/>
      <c r="P110"/>
      <c r="Q110" s="2280"/>
      <c r="R110" s="2280"/>
      <c r="S110" s="2280"/>
      <c r="T110" s="2280"/>
      <c r="W110" s="2280"/>
      <c r="X110" s="2280"/>
    </row>
    <row r="111" spans="1:24" ht="12.75" customHeight="1">
      <c r="B111" s="2414"/>
      <c r="C111" s="2415"/>
      <c r="D111" s="2416"/>
      <c r="P111" s="2400"/>
      <c r="Q111" s="2280"/>
      <c r="R111" s="2280"/>
      <c r="S111" s="2280"/>
      <c r="T111" s="2280"/>
      <c r="W111" s="2280"/>
      <c r="X111" s="2280"/>
    </row>
    <row r="112" spans="1:24" ht="12.75" customHeight="1">
      <c r="A112" s="2234" t="s">
        <v>1539</v>
      </c>
      <c r="E112" s="2417">
        <f>D113+1</f>
        <v>46327</v>
      </c>
      <c r="F112" s="2417">
        <f t="shared" ref="F112:N112" si="2">E113+1</f>
        <v>46692</v>
      </c>
      <c r="G112" s="2417">
        <f t="shared" si="2"/>
        <v>47058</v>
      </c>
      <c r="H112" s="2417">
        <f t="shared" si="2"/>
        <v>47423</v>
      </c>
      <c r="I112" s="2417">
        <f t="shared" si="2"/>
        <v>47788</v>
      </c>
      <c r="J112" s="2417">
        <f t="shared" si="2"/>
        <v>48153</v>
      </c>
      <c r="K112" s="2417">
        <f t="shared" si="2"/>
        <v>48519</v>
      </c>
      <c r="L112" s="2417">
        <f t="shared" si="2"/>
        <v>48884</v>
      </c>
      <c r="M112" s="2417">
        <f t="shared" si="2"/>
        <v>49249</v>
      </c>
      <c r="N112" s="2417">
        <f t="shared" si="2"/>
        <v>49614</v>
      </c>
      <c r="P112" s="2400"/>
      <c r="Q112" s="2280"/>
      <c r="R112" s="2280"/>
      <c r="S112" s="2280"/>
      <c r="T112" s="2280"/>
      <c r="W112" s="2280"/>
      <c r="X112" s="2280"/>
    </row>
    <row r="113" spans="2:24" ht="12.75" customHeight="1">
      <c r="D113" s="2381">
        <f>'IS(FY)'!M6</f>
        <v>46326</v>
      </c>
      <c r="E113" s="2417">
        <f>EOMONTH(D113,12)</f>
        <v>46691</v>
      </c>
      <c r="F113" s="2417">
        <f t="shared" ref="F113:N113" si="3">EOMONTH(E113,12)</f>
        <v>47057</v>
      </c>
      <c r="G113" s="2417">
        <f t="shared" si="3"/>
        <v>47422</v>
      </c>
      <c r="H113" s="2417">
        <f t="shared" si="3"/>
        <v>47787</v>
      </c>
      <c r="I113" s="2417">
        <f t="shared" si="3"/>
        <v>48152</v>
      </c>
      <c r="J113" s="2417">
        <f t="shared" si="3"/>
        <v>48518</v>
      </c>
      <c r="K113" s="2417">
        <f t="shared" si="3"/>
        <v>48883</v>
      </c>
      <c r="L113" s="2417">
        <f t="shared" si="3"/>
        <v>49248</v>
      </c>
      <c r="M113" s="2417">
        <f t="shared" si="3"/>
        <v>49613</v>
      </c>
      <c r="N113" s="2417">
        <f t="shared" si="3"/>
        <v>49979</v>
      </c>
      <c r="P113" s="2400"/>
      <c r="Q113" s="2280"/>
      <c r="R113" s="2280"/>
      <c r="S113" s="2280"/>
      <c r="T113" s="2280"/>
      <c r="W113" s="2280"/>
      <c r="X113" s="2280"/>
    </row>
    <row r="114" spans="2:24" ht="12.75" customHeight="1">
      <c r="B114" s="2808" t="s">
        <v>1449</v>
      </c>
      <c r="C114" s="2810" t="s">
        <v>1460</v>
      </c>
      <c r="D114" s="2418" t="str">
        <f t="shared" ref="D114:N114" si="4">TEXT(D113,"yy.mm")</f>
        <v>26.10</v>
      </c>
      <c r="E114" s="2418" t="str">
        <f t="shared" si="4"/>
        <v>27.10</v>
      </c>
      <c r="F114" s="2418" t="str">
        <f t="shared" si="4"/>
        <v>28.10</v>
      </c>
      <c r="G114" s="2418" t="str">
        <f t="shared" si="4"/>
        <v>29.10</v>
      </c>
      <c r="H114" s="2418" t="str">
        <f t="shared" si="4"/>
        <v>30.10</v>
      </c>
      <c r="I114" s="2418" t="str">
        <f t="shared" si="4"/>
        <v>31.10</v>
      </c>
      <c r="J114" s="2418" t="str">
        <f t="shared" si="4"/>
        <v>32.10</v>
      </c>
      <c r="K114" s="2418" t="str">
        <f t="shared" si="4"/>
        <v>33.10</v>
      </c>
      <c r="L114" s="2418" t="str">
        <f t="shared" si="4"/>
        <v>34.10</v>
      </c>
      <c r="M114" s="2418" t="str">
        <f t="shared" si="4"/>
        <v>35.10</v>
      </c>
      <c r="N114" s="2419" t="str">
        <f t="shared" si="4"/>
        <v>36.10</v>
      </c>
      <c r="P114" s="2400"/>
      <c r="Q114" s="2280"/>
      <c r="R114" s="2280"/>
      <c r="S114" s="2280"/>
      <c r="T114" s="2280"/>
      <c r="W114" s="2280"/>
      <c r="X114" s="2280"/>
    </row>
    <row r="115" spans="2:24" ht="12.75" customHeight="1" thickBot="1">
      <c r="B115" s="2809"/>
      <c r="C115" s="2811"/>
      <c r="D115" s="2287" t="s">
        <v>1461</v>
      </c>
      <c r="E115" s="2287">
        <v>1</v>
      </c>
      <c r="F115" s="2287">
        <f t="shared" ref="F115:N115" si="5">E115+1</f>
        <v>2</v>
      </c>
      <c r="G115" s="2287">
        <f t="shared" si="5"/>
        <v>3</v>
      </c>
      <c r="H115" s="2287">
        <f t="shared" si="5"/>
        <v>4</v>
      </c>
      <c r="I115" s="2287">
        <f t="shared" si="5"/>
        <v>5</v>
      </c>
      <c r="J115" s="2287">
        <f t="shared" si="5"/>
        <v>6</v>
      </c>
      <c r="K115" s="2287">
        <f t="shared" si="5"/>
        <v>7</v>
      </c>
      <c r="L115" s="2287">
        <f t="shared" si="5"/>
        <v>8</v>
      </c>
      <c r="M115" s="2287">
        <f t="shared" si="5"/>
        <v>9</v>
      </c>
      <c r="N115" s="2288">
        <f t="shared" si="5"/>
        <v>10</v>
      </c>
      <c r="P115" s="2400"/>
      <c r="Q115" s="2280"/>
      <c r="R115" s="2280"/>
      <c r="S115" s="2280"/>
      <c r="T115" s="2280"/>
      <c r="W115" s="2280"/>
      <c r="X115" s="2280"/>
    </row>
    <row r="116" spans="2:24" ht="12.75" customHeight="1" thickBot="1">
      <c r="B116" s="2289" t="s">
        <v>1504</v>
      </c>
      <c r="C116" s="2304">
        <f t="shared" ref="C116:C135" si="6">SUM(D116:N116)</f>
        <v>173411.61493373633</v>
      </c>
      <c r="D116" s="2304">
        <f t="shared" ref="D116:N116" si="7">SUM(D117:D119)</f>
        <v>0</v>
      </c>
      <c r="E116" s="2304">
        <f t="shared" si="7"/>
        <v>15337.100219276344</v>
      </c>
      <c r="F116" s="2304">
        <f t="shared" si="7"/>
        <v>15682.85940838565</v>
      </c>
      <c r="G116" s="2304">
        <f t="shared" si="7"/>
        <v>11366.672111531518</v>
      </c>
      <c r="H116" s="2304">
        <f t="shared" si="7"/>
        <v>17482.77127927</v>
      </c>
      <c r="I116" s="2304">
        <f t="shared" si="7"/>
        <v>17924.190017740351</v>
      </c>
      <c r="J116" s="2304">
        <f t="shared" si="7"/>
        <v>18366.754183811259</v>
      </c>
      <c r="K116" s="2304">
        <f t="shared" si="7"/>
        <v>18820.382454033945</v>
      </c>
      <c r="L116" s="2304">
        <f t="shared" si="7"/>
        <v>19064.401477767031</v>
      </c>
      <c r="M116" s="2304">
        <f t="shared" si="7"/>
        <v>19442.248085734569</v>
      </c>
      <c r="N116" s="2305">
        <f t="shared" si="7"/>
        <v>19924.235696185679</v>
      </c>
      <c r="P116" s="2400"/>
      <c r="Q116" s="2280"/>
      <c r="R116" s="2280"/>
      <c r="S116" s="2280"/>
      <c r="T116" s="2280"/>
      <c r="W116" s="2280"/>
      <c r="X116" s="2280"/>
    </row>
    <row r="117" spans="2:24" ht="12.75" customHeight="1">
      <c r="B117" s="2292" t="s">
        <v>656</v>
      </c>
      <c r="C117" s="2293">
        <f t="shared" si="6"/>
        <v>163345.51848045687</v>
      </c>
      <c r="D117" s="2293">
        <f>'IS(FY)'!M13/1000</f>
        <v>0</v>
      </c>
      <c r="E117" s="2293">
        <f>SUM('IS(FY)'!N13:O13)/1000</f>
        <v>14414.80211658125</v>
      </c>
      <c r="F117" s="2293">
        <f>SUM('IS(FY)'!P13:Q13)/1000</f>
        <v>14743.044437495779</v>
      </c>
      <c r="G117" s="2293">
        <f>SUM('IS(FY)'!R13:S13)/1000</f>
        <v>10408.902350741999</v>
      </c>
      <c r="H117" s="2293">
        <f>SUM('IS(FY)'!T13:U13)/1000</f>
        <v>16506.597858833346</v>
      </c>
      <c r="I117" s="2293">
        <f>SUM('IS(FY)'!V13:W13)/1000</f>
        <v>16929.15284616538</v>
      </c>
      <c r="J117" s="2293">
        <f>SUM('IS(FY)'!X13:Y13)/1000</f>
        <v>17352.381667319514</v>
      </c>
      <c r="K117" s="2293">
        <f>SUM('IS(FY)'!Z13:AA13)/1000</f>
        <v>17786.191209002503</v>
      </c>
      <c r="L117" s="2293">
        <f>SUM('IS(FY)'!AB13:AC13)/1000</f>
        <v>18009.907148620186</v>
      </c>
      <c r="M117" s="2293">
        <f>SUM('IS(FY)'!AD13:AE13)/1000</f>
        <v>18366.946594082259</v>
      </c>
      <c r="N117" s="2294">
        <f>SUM('IS(FY)'!AF13:AG13)/1000</f>
        <v>18827.592251614664</v>
      </c>
      <c r="P117" s="2400"/>
      <c r="Q117" s="2280"/>
      <c r="R117" s="2280"/>
      <c r="S117" s="2280"/>
      <c r="T117" s="2280"/>
      <c r="W117" s="2280"/>
      <c r="X117" s="2280"/>
    </row>
    <row r="118" spans="2:24" ht="12.75" customHeight="1">
      <c r="B118" s="2295" t="s">
        <v>64</v>
      </c>
      <c r="C118" s="2296">
        <f t="shared" si="6"/>
        <v>8636.6643042394644</v>
      </c>
      <c r="D118" s="2296">
        <f>'IS(FY)'!M14/1000</f>
        <v>0</v>
      </c>
      <c r="E118" s="2296">
        <f>SUM('IS(FY)'!N14:O14)/1000</f>
        <v>779.3548877910938</v>
      </c>
      <c r="F118" s="2296">
        <f>SUM('IS(FY)'!P14:Q14)/1000</f>
        <v>796.871755985871</v>
      </c>
      <c r="G118" s="2296">
        <f>SUM('IS(FY)'!R14:S14)/1000</f>
        <v>814.82654588551782</v>
      </c>
      <c r="H118" s="2296">
        <f>SUM('IS(FY)'!T14:U14)/1000</f>
        <v>833.23020553265565</v>
      </c>
      <c r="I118" s="2296">
        <f>SUM('IS(FY)'!V14:W14)/1000</f>
        <v>852.09395667097203</v>
      </c>
      <c r="J118" s="2296">
        <f>SUM('IS(FY)'!X14:Y14)/1000</f>
        <v>871.42930158774629</v>
      </c>
      <c r="K118" s="2296">
        <f>SUM('IS(FY)'!Z14:AA14)/1000</f>
        <v>891.24803012743985</v>
      </c>
      <c r="L118" s="2296">
        <f>SUM('IS(FY)'!AB14:AC14)/1000</f>
        <v>911.55111424284314</v>
      </c>
      <c r="M118" s="2296">
        <f>SUM('IS(FY)'!AD14:AE14)/1000</f>
        <v>932.35827674830819</v>
      </c>
      <c r="N118" s="2297">
        <f>SUM('IS(FY)'!AF14:AG14)/1000</f>
        <v>953.70022966701606</v>
      </c>
      <c r="P118" s="2400"/>
      <c r="Q118" s="2280"/>
      <c r="R118" s="2280"/>
      <c r="S118" s="2280"/>
      <c r="T118" s="2280"/>
      <c r="W118" s="2280"/>
      <c r="X118" s="2280"/>
    </row>
    <row r="119" spans="2:24" ht="12.75" customHeight="1" thickBot="1">
      <c r="B119" s="2298" t="s">
        <v>1674</v>
      </c>
      <c r="C119" s="2299">
        <f t="shared" si="6"/>
        <v>1429.4321490399998</v>
      </c>
      <c r="D119" s="2299">
        <f>'IS(FY)'!M15/1000</f>
        <v>0</v>
      </c>
      <c r="E119" s="2299">
        <f>SUM('IS(FY)'!N15:O15)/1000</f>
        <v>142.943214904</v>
      </c>
      <c r="F119" s="2299">
        <f>SUM('IS(FY)'!P15:Q15)/1000</f>
        <v>142.943214904</v>
      </c>
      <c r="G119" s="2299">
        <f>SUM('IS(FY)'!R15:S15)/1000</f>
        <v>142.943214904</v>
      </c>
      <c r="H119" s="2299">
        <f>SUM('IS(FY)'!T15:U15)/1000</f>
        <v>142.943214904</v>
      </c>
      <c r="I119" s="2299">
        <f>SUM('IS(FY)'!V15:W15)/1000</f>
        <v>142.943214904</v>
      </c>
      <c r="J119" s="2299">
        <f>SUM('IS(FY)'!X15:Y15)/1000</f>
        <v>142.943214904</v>
      </c>
      <c r="K119" s="2299">
        <f>SUM('IS(FY)'!Z15:AA15)/1000</f>
        <v>142.943214904</v>
      </c>
      <c r="L119" s="2299">
        <f>SUM('IS(FY)'!AB15:AC15)/1000</f>
        <v>142.943214904</v>
      </c>
      <c r="M119" s="2299">
        <f>SUM('IS(FY)'!AD15:AE15)/1000</f>
        <v>142.943214904</v>
      </c>
      <c r="N119" s="2300">
        <f>SUM('IS(FY)'!AF15:AG15)/1000</f>
        <v>142.943214904</v>
      </c>
      <c r="P119" s="2400"/>
      <c r="Q119" s="2280"/>
      <c r="R119" s="2280"/>
      <c r="S119" s="2280"/>
      <c r="T119" s="2280"/>
      <c r="W119" s="2280"/>
      <c r="X119" s="2280"/>
    </row>
    <row r="120" spans="2:24" ht="12.75" customHeight="1" thickBot="1">
      <c r="B120" s="2289" t="s">
        <v>1212</v>
      </c>
      <c r="C120" s="2304">
        <f t="shared" si="6"/>
        <v>23206.747133190529</v>
      </c>
      <c r="D120" s="2304">
        <f t="shared" ref="D120:N120" si="8">SUM(D121:D129)</f>
        <v>0</v>
      </c>
      <c r="E120" s="2304">
        <f t="shared" si="8"/>
        <v>2231.7352375297996</v>
      </c>
      <c r="F120" s="2304">
        <f t="shared" si="8"/>
        <v>2221.0730225209518</v>
      </c>
      <c r="G120" s="2304">
        <f t="shared" si="8"/>
        <v>2290.4830728595962</v>
      </c>
      <c r="H120" s="2304">
        <f t="shared" si="8"/>
        <v>2267.6533000131235</v>
      </c>
      <c r="I120" s="2304">
        <f t="shared" si="8"/>
        <v>2226.5136536508744</v>
      </c>
      <c r="J120" s="2304">
        <f t="shared" si="8"/>
        <v>2229.9338001252654</v>
      </c>
      <c r="K120" s="2304">
        <f t="shared" si="8"/>
        <v>2234.1601126608634</v>
      </c>
      <c r="L120" s="2304">
        <f t="shared" si="8"/>
        <v>2916.7330396408911</v>
      </c>
      <c r="M120" s="2304">
        <f t="shared" si="8"/>
        <v>2336.7625702514897</v>
      </c>
      <c r="N120" s="2305">
        <f t="shared" si="8"/>
        <v>2251.6993239376752</v>
      </c>
      <c r="P120" s="2400"/>
      <c r="Q120" s="2280"/>
      <c r="R120" s="2280"/>
      <c r="S120" s="2280"/>
      <c r="T120" s="2280"/>
      <c r="W120" s="2280"/>
      <c r="X120" s="2280"/>
    </row>
    <row r="121" spans="2:24" ht="12.75" customHeight="1">
      <c r="B121" s="2292" t="s">
        <v>73</v>
      </c>
      <c r="C121" s="2293">
        <f t="shared" si="6"/>
        <v>642.16330010060005</v>
      </c>
      <c r="D121" s="2293">
        <f>'IS(FY)'!M21/1000</f>
        <v>0</v>
      </c>
      <c r="E121" s="2293">
        <f>SUM('IS(FY)'!N21:O21)/1000</f>
        <v>60</v>
      </c>
      <c r="F121" s="2293">
        <f>SUM('IS(FY)'!P21:Q21)/1000</f>
        <v>60.899999999999991</v>
      </c>
      <c r="G121" s="2293">
        <f>SUM('IS(FY)'!R21:S21)/1000</f>
        <v>61.813499999999983</v>
      </c>
      <c r="H121" s="2293">
        <f>SUM('IS(FY)'!T21:U21)/1000</f>
        <v>62.740702499999976</v>
      </c>
      <c r="I121" s="2293">
        <f>SUM('IS(FY)'!V21:W21)/1000</f>
        <v>63.681813037499964</v>
      </c>
      <c r="J121" s="2293">
        <f>SUM('IS(FY)'!X21:Y21)/1000</f>
        <v>64.63704023306245</v>
      </c>
      <c r="K121" s="2293">
        <f>SUM('IS(FY)'!Z21:AA21)/1000</f>
        <v>65.606595836558384</v>
      </c>
      <c r="L121" s="2293">
        <f>SUM('IS(FY)'!AB21:AC21)/1000</f>
        <v>66.590694774106737</v>
      </c>
      <c r="M121" s="2293">
        <f>SUM('IS(FY)'!AD21:AE21)/1000</f>
        <v>67.589555195718347</v>
      </c>
      <c r="N121" s="2294">
        <f>SUM('IS(FY)'!AF21:AG21)/1000</f>
        <v>68.603398523654107</v>
      </c>
      <c r="P121" s="2400"/>
      <c r="Q121" s="2280"/>
      <c r="R121" s="2280"/>
      <c r="S121" s="2280"/>
      <c r="T121" s="2280"/>
      <c r="W121" s="2280"/>
      <c r="X121" s="2280"/>
    </row>
    <row r="122" spans="2:24" ht="12.75" customHeight="1">
      <c r="B122" s="2295" t="s">
        <v>75</v>
      </c>
      <c r="C122" s="2296">
        <f t="shared" si="6"/>
        <v>6974.9803358780382</v>
      </c>
      <c r="D122" s="2296">
        <f>'IS(FY)'!M22/1000</f>
        <v>0</v>
      </c>
      <c r="E122" s="2296">
        <f>SUM('IS(FY)'!N22:O22)/1000</f>
        <v>637.00073600459996</v>
      </c>
      <c r="F122" s="2296">
        <f>SUM('IS(FY)'!P22:Q22)/1000</f>
        <v>649.74075072469191</v>
      </c>
      <c r="G122" s="2296">
        <f>SUM('IS(FY)'!R22:S22)/1000</f>
        <v>662.73556573918574</v>
      </c>
      <c r="H122" s="2296">
        <f>SUM('IS(FY)'!T22:U22)/1000</f>
        <v>675.99027705396941</v>
      </c>
      <c r="I122" s="2296">
        <f>SUM('IS(FY)'!V22:W22)/1000</f>
        <v>689.51008259504874</v>
      </c>
      <c r="J122" s="2296">
        <f>SUM('IS(FY)'!X22:Y22)/1000</f>
        <v>703.30028424694979</v>
      </c>
      <c r="K122" s="2296">
        <f>SUM('IS(FY)'!Z22:AA22)/1000</f>
        <v>717.36628993188879</v>
      </c>
      <c r="L122" s="2296">
        <f>SUM('IS(FY)'!AB22:AC22)/1000</f>
        <v>731.71361573052661</v>
      </c>
      <c r="M122" s="2296">
        <f>SUM('IS(FY)'!AD22:AE22)/1000</f>
        <v>746.34788804513721</v>
      </c>
      <c r="N122" s="2297">
        <f>SUM('IS(FY)'!AF22:AG22)/1000</f>
        <v>761.27484580603971</v>
      </c>
      <c r="P122" s="2400"/>
      <c r="Q122" s="2280"/>
      <c r="R122" s="2280"/>
      <c r="S122" s="2280"/>
      <c r="T122" s="2280"/>
      <c r="W122" s="2280"/>
      <c r="X122" s="2280"/>
    </row>
    <row r="123" spans="2:24" ht="12.75" hidden="1" customHeight="1">
      <c r="B123" s="2295" t="s">
        <v>80</v>
      </c>
      <c r="C123" s="2296">
        <f t="shared" si="6"/>
        <v>0</v>
      </c>
      <c r="D123" s="2296">
        <f>'IS(FY)'!M24/1000</f>
        <v>0</v>
      </c>
      <c r="E123" s="2296">
        <f>SUM('IS(FY)'!N24:O24)/1000</f>
        <v>0</v>
      </c>
      <c r="F123" s="2296">
        <f>SUM('IS(FY)'!P24:Q24)/1000</f>
        <v>0</v>
      </c>
      <c r="G123" s="2296">
        <f>SUM('IS(FY)'!R24:S24)/1000</f>
        <v>0</v>
      </c>
      <c r="H123" s="2296">
        <f>SUM('IS(FY)'!T24:U24)/1000</f>
        <v>0</v>
      </c>
      <c r="I123" s="2296">
        <f>SUM('IS(FY)'!V24:W24)/1000</f>
        <v>0</v>
      </c>
      <c r="J123" s="2296">
        <f>SUM('IS(FY)'!X24:Y24)/1000</f>
        <v>0</v>
      </c>
      <c r="K123" s="2296">
        <f>SUM('IS(FY)'!Z24:AA24)/1000</f>
        <v>0</v>
      </c>
      <c r="L123" s="2296">
        <f>SUM('IS(FY)'!AB24:AC24)/1000</f>
        <v>0</v>
      </c>
      <c r="M123" s="2296">
        <f>SUM('IS(FY)'!AD24:AE24)/1000</f>
        <v>0</v>
      </c>
      <c r="N123" s="2297">
        <f>SUM('IS(FY)'!AF24:AG24)/1000</f>
        <v>0</v>
      </c>
      <c r="P123" s="2400"/>
      <c r="Q123" s="2280"/>
      <c r="R123" s="2280"/>
      <c r="S123" s="2280"/>
      <c r="T123" s="2280"/>
      <c r="W123" s="2280"/>
      <c r="X123" s="2280"/>
    </row>
    <row r="124" spans="2:24" ht="12.75" customHeight="1">
      <c r="B124" s="2295" t="s">
        <v>83</v>
      </c>
      <c r="C124" s="2296">
        <f t="shared" si="6"/>
        <v>6789.2028330659659</v>
      </c>
      <c r="D124" s="2296">
        <f>'IS(FY)'!M25/1000</f>
        <v>0</v>
      </c>
      <c r="E124" s="2296">
        <f>SUM('IS(FY)'!N25:O25)/1000</f>
        <v>742.28470000000004</v>
      </c>
      <c r="F124" s="2296">
        <f>SUM('IS(FY)'!P25:Q25)/1000</f>
        <v>727.43900600000006</v>
      </c>
      <c r="G124" s="2296">
        <f>SUM('IS(FY)'!R25:S25)/1000</f>
        <v>712.89022588</v>
      </c>
      <c r="H124" s="2296">
        <f>SUM('IS(FY)'!T25:U25)/1000</f>
        <v>698.63242136240001</v>
      </c>
      <c r="I124" s="2296">
        <f>SUM('IS(FY)'!V25:W25)/1000</f>
        <v>684.65977293515198</v>
      </c>
      <c r="J124" s="2296">
        <f>SUM('IS(FY)'!X25:Y25)/1000</f>
        <v>670.96657747644895</v>
      </c>
      <c r="K124" s="2296">
        <f>SUM('IS(FY)'!Z25:AA25)/1000</f>
        <v>657.54724592692003</v>
      </c>
      <c r="L124" s="2296">
        <f>SUM('IS(FY)'!AB25:AC25)/1000</f>
        <v>644.39630100838167</v>
      </c>
      <c r="M124" s="2296">
        <f>SUM('IS(FY)'!AD25:AE25)/1000</f>
        <v>631.50837498821386</v>
      </c>
      <c r="N124" s="2297">
        <f>SUM('IS(FY)'!AF25:AG25)/1000</f>
        <v>618.87820748844968</v>
      </c>
      <c r="P124" s="2400"/>
      <c r="Q124" s="2280"/>
      <c r="R124" s="2280"/>
      <c r="S124" s="2280"/>
      <c r="T124" s="2280"/>
      <c r="W124" s="2280"/>
      <c r="X124" s="2280"/>
    </row>
    <row r="125" spans="2:24" ht="12.75" customHeight="1">
      <c r="B125" s="2295" t="s">
        <v>78</v>
      </c>
      <c r="C125" s="2296">
        <f t="shared" si="6"/>
        <v>341.53875420512702</v>
      </c>
      <c r="D125" s="2296">
        <f>'IS(FY)'!M23/1000</f>
        <v>0</v>
      </c>
      <c r="E125" s="2296">
        <f>SUM('IS(FY)'!N23:O23)/1000</f>
        <v>31.191548552999997</v>
      </c>
      <c r="F125" s="2296">
        <f>SUM('IS(FY)'!P23:Q23)/1000</f>
        <v>31.815379524059995</v>
      </c>
      <c r="G125" s="2296">
        <f>SUM('IS(FY)'!R23:S23)/1000</f>
        <v>32.451687114541194</v>
      </c>
      <c r="H125" s="2296">
        <f>SUM('IS(FY)'!T23:U23)/1000</f>
        <v>33.100720856832019</v>
      </c>
      <c r="I125" s="2296">
        <f>SUM('IS(FY)'!V23:W23)/1000</f>
        <v>33.762735273968659</v>
      </c>
      <c r="J125" s="2296">
        <f>SUM('IS(FY)'!X23:Y23)/1000</f>
        <v>34.437989979448034</v>
      </c>
      <c r="K125" s="2296">
        <f>SUM('IS(FY)'!Z23:AA23)/1000</f>
        <v>35.126749779036999</v>
      </c>
      <c r="L125" s="2296">
        <f>SUM('IS(FY)'!AB23:AC23)/1000</f>
        <v>35.829284774617733</v>
      </c>
      <c r="M125" s="2296">
        <f>SUM('IS(FY)'!AD23:AE23)/1000</f>
        <v>36.545870470110088</v>
      </c>
      <c r="N125" s="2297">
        <f>SUM('IS(FY)'!AF23:AG23)/1000</f>
        <v>37.276787879512291</v>
      </c>
      <c r="P125" s="2400"/>
      <c r="Q125" s="2280"/>
      <c r="R125" s="2280"/>
      <c r="S125" s="2280"/>
      <c r="T125" s="2280"/>
      <c r="W125" s="2280"/>
      <c r="X125" s="2280"/>
    </row>
    <row r="126" spans="2:24" ht="12.75" customHeight="1">
      <c r="B126" s="2295" t="s">
        <v>1540</v>
      </c>
      <c r="C126" s="2296">
        <f t="shared" si="6"/>
        <v>208.94832972200001</v>
      </c>
      <c r="D126" s="2296">
        <f>'IS(FY)'!M30/1000</f>
        <v>0</v>
      </c>
      <c r="E126" s="2296">
        <f>SUM('IS(FY)'!N30:O30)/1000</f>
        <v>20.894832972200003</v>
      </c>
      <c r="F126" s="2296">
        <f>SUM('IS(FY)'!P30:Q30)/1000</f>
        <v>20.894832972200003</v>
      </c>
      <c r="G126" s="2296">
        <f>SUM('IS(FY)'!R30:S30)/1000</f>
        <v>20.894832972200003</v>
      </c>
      <c r="H126" s="2296">
        <f>SUM('IS(FY)'!T30:U30)/1000</f>
        <v>20.894832972200003</v>
      </c>
      <c r="I126" s="2296">
        <f>SUM('IS(FY)'!V30:W30)/1000</f>
        <v>20.894832972200003</v>
      </c>
      <c r="J126" s="2296">
        <f>SUM('IS(FY)'!X30:Y30)/1000</f>
        <v>20.894832972200003</v>
      </c>
      <c r="K126" s="2296">
        <f>SUM('IS(FY)'!Z30:AA30)/1000</f>
        <v>20.894832972200003</v>
      </c>
      <c r="L126" s="2296">
        <f>SUM('IS(FY)'!AB30:AC30)/1000</f>
        <v>20.894832972200003</v>
      </c>
      <c r="M126" s="2296">
        <f>SUM('IS(FY)'!AD30:AE30)/1000</f>
        <v>20.894832972200003</v>
      </c>
      <c r="N126" s="2297">
        <f>SUM('IS(FY)'!AF30:AG30)/1000</f>
        <v>20.894832972200003</v>
      </c>
      <c r="P126" s="2400"/>
      <c r="Q126" s="2280"/>
      <c r="R126" s="2280"/>
      <c r="S126" s="2280"/>
      <c r="T126" s="2280"/>
      <c r="W126" s="2280"/>
      <c r="X126" s="2280"/>
    </row>
    <row r="127" spans="2:24" ht="12.75" customHeight="1">
      <c r="B127" s="2295" t="s">
        <v>659</v>
      </c>
      <c r="C127" s="2296">
        <f t="shared" si="6"/>
        <v>7357.625717769005</v>
      </c>
      <c r="D127" s="2296">
        <f>SUM('IS(FY)'!M26:M29)/1000</f>
        <v>0</v>
      </c>
      <c r="E127" s="2296">
        <f>SUM('IS(FY)'!N26:O29)/1000</f>
        <v>729.49005</v>
      </c>
      <c r="F127" s="2296">
        <f>SUM('IS(FY)'!P26:Q29)/1000</f>
        <v>730.28305330000001</v>
      </c>
      <c r="G127" s="2296">
        <f>SUM('IS(FY)'!R26:S29)/1000</f>
        <v>731.2988686315</v>
      </c>
      <c r="H127" s="2296">
        <f>SUM('IS(FY)'!T26:U29)/1000</f>
        <v>732.5388479556475</v>
      </c>
      <c r="I127" s="2296">
        <f>SUM('IS(FY)'!V26:W29)/1000</f>
        <v>734.00441683700512</v>
      </c>
      <c r="J127" s="2296">
        <f>SUM('IS(FY)'!X26:Y29)/1000</f>
        <v>735.69707521715645</v>
      </c>
      <c r="K127" s="2296">
        <f>SUM('IS(FY)'!Z26:AA29)/1000</f>
        <v>737.6183982142594</v>
      </c>
      <c r="L127" s="2296">
        <f>SUM('IS(FY)'!AB26:AC29)/1000</f>
        <v>739.770036948913</v>
      </c>
      <c r="M127" s="2296">
        <f>SUM('IS(FY)'!AD26:AE29)/1000</f>
        <v>742.15371939670433</v>
      </c>
      <c r="N127" s="2297">
        <f>SUM('IS(FY)'!AF26:AG29)/1000</f>
        <v>744.77125126781925</v>
      </c>
      <c r="P127" s="2400"/>
      <c r="Q127" s="2280"/>
      <c r="R127" s="2280"/>
      <c r="S127" s="2280"/>
      <c r="T127" s="2280"/>
      <c r="W127" s="2280"/>
      <c r="X127" s="2280"/>
    </row>
    <row r="128" spans="2:24" ht="12.75" customHeight="1" thickBot="1">
      <c r="B128" s="2295" t="s">
        <v>468</v>
      </c>
      <c r="C128" s="2296">
        <f t="shared" si="6"/>
        <v>892.28786244979403</v>
      </c>
      <c r="D128" s="2296">
        <f>'IS(FY)'!M31/1000</f>
        <v>0</v>
      </c>
      <c r="E128" s="2296">
        <f>SUM('IS(FY)'!N31:O31)/1000</f>
        <v>10.87337</v>
      </c>
      <c r="F128" s="2296">
        <f>SUM('IS(FY)'!P31:Q31)/1000</f>
        <v>0</v>
      </c>
      <c r="G128" s="2296">
        <f>SUM('IS(FY)'!R31:S31)/1000</f>
        <v>68.398392522169118</v>
      </c>
      <c r="H128" s="2296">
        <f>SUM('IS(FY)'!T31:U31)/1000</f>
        <v>43.755497312074368</v>
      </c>
      <c r="I128" s="2296">
        <f>SUM('IS(FY)'!V31:W31)/1000</f>
        <v>0</v>
      </c>
      <c r="J128" s="2296">
        <f>SUM('IS(FY)'!X31:Y31)/1000</f>
        <v>0</v>
      </c>
      <c r="K128" s="2296">
        <f>SUM('IS(FY)'!Z31:AA31)/1000</f>
        <v>0</v>
      </c>
      <c r="L128" s="2296">
        <f>SUM('IS(FY)'!AB31:AC31)/1000</f>
        <v>677.53827343214505</v>
      </c>
      <c r="M128" s="2296">
        <f>SUM('IS(FY)'!AD31:AE31)/1000</f>
        <v>91.722329183405492</v>
      </c>
      <c r="N128" s="2297">
        <f>SUM('IS(FY)'!AF31:AG31)/1000</f>
        <v>0</v>
      </c>
      <c r="P128" s="2400"/>
      <c r="Q128" s="2280"/>
      <c r="R128" s="2280"/>
      <c r="S128" s="2280"/>
      <c r="T128" s="2280"/>
      <c r="W128" s="2280"/>
      <c r="X128" s="2280"/>
    </row>
    <row r="129" spans="2:24" ht="12.75" hidden="1" customHeight="1" thickBot="1">
      <c r="B129" s="2298" t="s">
        <v>462</v>
      </c>
      <c r="C129" s="2299">
        <f t="shared" si="6"/>
        <v>0</v>
      </c>
      <c r="D129" s="2299">
        <v>0</v>
      </c>
      <c r="E129" s="2299">
        <v>0</v>
      </c>
      <c r="F129" s="2299">
        <v>0</v>
      </c>
      <c r="G129" s="2299">
        <v>0</v>
      </c>
      <c r="H129" s="2299">
        <v>0</v>
      </c>
      <c r="I129" s="2299">
        <v>0</v>
      </c>
      <c r="J129" s="2299">
        <v>0</v>
      </c>
      <c r="K129" s="2299">
        <v>0</v>
      </c>
      <c r="L129" s="2299">
        <v>0</v>
      </c>
      <c r="M129" s="2299">
        <v>0</v>
      </c>
      <c r="N129" s="2300">
        <v>0</v>
      </c>
      <c r="P129" s="2400"/>
      <c r="Q129" s="2280"/>
      <c r="R129" s="2280"/>
      <c r="S129" s="2280"/>
      <c r="T129" s="2280"/>
      <c r="W129" s="2280"/>
      <c r="X129" s="2280"/>
    </row>
    <row r="130" spans="2:24" ht="12.75" customHeight="1" thickBot="1">
      <c r="B130" s="2289" t="s">
        <v>1476</v>
      </c>
      <c r="C130" s="2304">
        <f t="shared" si="6"/>
        <v>150204.86780054582</v>
      </c>
      <c r="D130" s="2304">
        <f t="shared" ref="D130:N130" si="9">D116-D120</f>
        <v>0</v>
      </c>
      <c r="E130" s="2304">
        <f t="shared" si="9"/>
        <v>13105.364981746545</v>
      </c>
      <c r="F130" s="2304">
        <f t="shared" si="9"/>
        <v>13461.786385864698</v>
      </c>
      <c r="G130" s="2304">
        <f t="shared" si="9"/>
        <v>9076.1890386719206</v>
      </c>
      <c r="H130" s="2304">
        <f t="shared" si="9"/>
        <v>15215.117979256876</v>
      </c>
      <c r="I130" s="2304">
        <f t="shared" si="9"/>
        <v>15697.676364089477</v>
      </c>
      <c r="J130" s="2304">
        <f t="shared" si="9"/>
        <v>16136.820383685994</v>
      </c>
      <c r="K130" s="2304">
        <f t="shared" si="9"/>
        <v>16586.222341373083</v>
      </c>
      <c r="L130" s="2304">
        <f t="shared" si="9"/>
        <v>16147.66843812614</v>
      </c>
      <c r="M130" s="2304">
        <f t="shared" si="9"/>
        <v>17105.48551548308</v>
      </c>
      <c r="N130" s="2305">
        <f t="shared" si="9"/>
        <v>17672.536372248003</v>
      </c>
      <c r="P130" s="2400"/>
      <c r="Q130" s="2280"/>
      <c r="R130" s="2280"/>
      <c r="S130" s="2280"/>
      <c r="T130" s="2280"/>
      <c r="W130" s="2280"/>
      <c r="X130" s="2280"/>
    </row>
    <row r="131" spans="2:24" ht="12.75" customHeight="1" thickBot="1">
      <c r="B131" s="2289" t="s">
        <v>1505</v>
      </c>
      <c r="C131" s="2304">
        <f t="shared" ca="1" si="6"/>
        <v>-26122.341401419835</v>
      </c>
      <c r="D131" s="2304">
        <f t="shared" ref="D131:N131" si="10">SUM(D132:D137)</f>
        <v>0</v>
      </c>
      <c r="E131" s="2304">
        <f t="shared" ca="1" si="10"/>
        <v>-13122.42217250298</v>
      </c>
      <c r="F131" s="2304">
        <f t="shared" ca="1" si="10"/>
        <v>-13095.548193296103</v>
      </c>
      <c r="G131" s="2304">
        <f t="shared" ca="1" si="10"/>
        <v>-13327.479456133218</v>
      </c>
      <c r="H131" s="2304">
        <f t="shared" ca="1" si="10"/>
        <v>-13532.159041966128</v>
      </c>
      <c r="I131" s="2304">
        <f t="shared" ca="1" si="10"/>
        <v>-13563.462015904975</v>
      </c>
      <c r="J131" s="2304">
        <f t="shared" ca="1" si="10"/>
        <v>-12927.975173083239</v>
      </c>
      <c r="K131" s="2304">
        <f t="shared" ca="1" si="10"/>
        <v>-12912.007465717246</v>
      </c>
      <c r="L131" s="2304">
        <f t="shared" ca="1" si="10"/>
        <v>-12885.37538272229</v>
      </c>
      <c r="M131" s="2304">
        <f t="shared" ca="1" si="10"/>
        <v>-12857.644510038572</v>
      </c>
      <c r="N131" s="2305">
        <f t="shared" ca="1" si="10"/>
        <v>92101.732009944913</v>
      </c>
      <c r="P131" s="2400"/>
      <c r="Q131" s="2280"/>
      <c r="R131" s="2280"/>
      <c r="S131" s="2280"/>
      <c r="T131" s="2280"/>
      <c r="W131" s="2280"/>
      <c r="X131" s="2280"/>
    </row>
    <row r="132" spans="2:24" ht="12.75" customHeight="1">
      <c r="B132" s="2292" t="s">
        <v>1022</v>
      </c>
      <c r="C132" s="2293">
        <f t="shared" ca="1" si="6"/>
        <v>1737.4680866062995</v>
      </c>
      <c r="D132" s="2293">
        <f>'IS(FY)'!M38/1000</f>
        <v>0</v>
      </c>
      <c r="E132" s="2293">
        <f ca="1">SUM('IS(FY)'!N38:O38)/1000</f>
        <v>359.90236084050326</v>
      </c>
      <c r="F132" s="2293">
        <f ca="1">SUM('IS(FY)'!P38:Q38)/1000</f>
        <v>242.13880670389608</v>
      </c>
      <c r="G132" s="2293">
        <f ca="1">SUM('IS(FY)'!R38:S38)/1000</f>
        <v>314.20754386678146</v>
      </c>
      <c r="H132" s="2293">
        <f ca="1">SUM('IS(FY)'!T38:U38)/1000</f>
        <v>109.5279580338718</v>
      </c>
      <c r="I132" s="2293">
        <f ca="1">SUM('IS(FY)'!V38:W38)/1000</f>
        <v>78.224984095024524</v>
      </c>
      <c r="J132" s="2293">
        <f ca="1">SUM('IS(FY)'!X38:Y38)/1000</f>
        <v>74.711826916761282</v>
      </c>
      <c r="K132" s="2293">
        <f ca="1">SUM('IS(FY)'!Z38:AA38)/1000</f>
        <v>90.679534282754204</v>
      </c>
      <c r="L132" s="2293">
        <f ca="1">SUM('IS(FY)'!AB38:AC38)/1000</f>
        <v>117.31161727770936</v>
      </c>
      <c r="M132" s="2293">
        <f ca="1">SUM('IS(FY)'!AD38:AE38)/1000</f>
        <v>145.04248996142823</v>
      </c>
      <c r="N132" s="2294">
        <f ca="1">SUM('IS(FY)'!AF38:AG38)/1000</f>
        <v>205.72096462756954</v>
      </c>
      <c r="P132" s="2400"/>
      <c r="Q132" s="2280"/>
      <c r="R132" s="2280"/>
      <c r="S132" s="2280"/>
      <c r="T132" s="2280"/>
      <c r="W132" s="2280"/>
      <c r="X132" s="2280"/>
    </row>
    <row r="133" spans="2:24" ht="12.75" customHeight="1">
      <c r="B133" s="2295" t="s">
        <v>1607</v>
      </c>
      <c r="C133" s="2296">
        <f t="shared" si="6"/>
        <v>-93877</v>
      </c>
      <c r="D133" s="2296">
        <f>-('IS(FY)'!M41+'IS(FY)'!M42+'IS(FY)'!M43)/1000</f>
        <v>0</v>
      </c>
      <c r="E133" s="2296">
        <f>-(SUM('IS(FY)'!N41:O41)+SUM('IS(FY)'!N42:O42)+SUM('IS(FY)'!N43:O43))/1000</f>
        <v>-7639.9999999999991</v>
      </c>
      <c r="F133" s="2296">
        <f>-(SUM('IS(FY)'!P41:Q41)+SUM('IS(FY)'!P42:Q42)+SUM('IS(FY)'!P43:Q43))/1000</f>
        <v>-7639.9999999999991</v>
      </c>
      <c r="G133" s="2296">
        <f>-(SUM('IS(FY)'!R41:S41)+SUM('IS(FY)'!R42:S42)+SUM('IS(FY)'!R43:S43))/1000</f>
        <v>-10224</v>
      </c>
      <c r="H133" s="2296">
        <f>-(SUM('IS(FY)'!T41:U41)+SUM('IS(FY)'!T42:U42)+SUM('IS(FY)'!T43:U43))/1000</f>
        <v>-10224</v>
      </c>
      <c r="I133" s="2296">
        <f>-(SUM('IS(FY)'!V41:W41)+SUM('IS(FY)'!V42:W42)+SUM('IS(FY)'!V43:W43))/1000</f>
        <v>-10224</v>
      </c>
      <c r="J133" s="2296">
        <f>-(SUM('IS(FY)'!X41:Y41)+SUM('IS(FY)'!X42:Y42)+SUM('IS(FY)'!X43:Y43))/1000</f>
        <v>-9585</v>
      </c>
      <c r="K133" s="2296">
        <f>-(SUM('IS(FY)'!Z41:AA41)+SUM('IS(FY)'!Z42:AA42)+SUM('IS(FY)'!Z43:AA43))/1000</f>
        <v>-9585</v>
      </c>
      <c r="L133" s="2296">
        <f>-(SUM('IS(FY)'!AB41:AC41)+SUM('IS(FY)'!AB42:AC42)+SUM('IS(FY)'!AB43:AC43))/1000</f>
        <v>-9585</v>
      </c>
      <c r="M133" s="2296">
        <f>-(SUM('IS(FY)'!AD41:AE41)+SUM('IS(FY)'!AD42:AE42)+SUM('IS(FY)'!AD43:AE43))/1000</f>
        <v>-9585</v>
      </c>
      <c r="N133" s="2297">
        <f>-(SUM('IS(FY)'!AF41:AG41)+SUM('IS(FY)'!AF42:AG42)+SUM('IS(FY)'!AF43:AG43))/1000</f>
        <v>-9585</v>
      </c>
      <c r="P133" s="2400"/>
      <c r="Q133" s="2280"/>
      <c r="R133" s="2280"/>
      <c r="S133" s="2280"/>
      <c r="T133" s="2280"/>
      <c r="W133" s="2280"/>
      <c r="X133" s="2280"/>
    </row>
    <row r="134" spans="2:24" ht="12.75" customHeight="1">
      <c r="B134" s="2295" t="s">
        <v>1541</v>
      </c>
      <c r="C134" s="2296">
        <f t="shared" si="6"/>
        <v>-4560</v>
      </c>
      <c r="D134" s="2296">
        <f>-('IS(FY)'!M44+'IS(FY)'!M45+'IS(FY)'!M46)/1000</f>
        <v>0</v>
      </c>
      <c r="E134" s="2296">
        <f>-(SUM('IS(FY)'!N44:O44)+SUM('IS(FY)'!N45:O45)+SUM('IS(FY)'!N46:O46))/1000</f>
        <v>-2280</v>
      </c>
      <c r="F134" s="2296">
        <f>-(SUM('IS(FY)'!P44:Q44)+SUM('IS(FY)'!P45:Q45)+SUM('IS(FY)'!P46:Q46))/1000</f>
        <v>-2280</v>
      </c>
      <c r="G134" s="2296">
        <f>-(SUM('IS(FY)'!R44:S44)+SUM('IS(FY)'!R45:S45)+SUM('IS(FY)'!R46:S46))/1000</f>
        <v>0</v>
      </c>
      <c r="H134" s="2296">
        <f>-(SUM('IS(FY)'!T44:U44)+SUM('IS(FY)'!T45:U45)+SUM('IS(FY)'!T46:U46))/1000</f>
        <v>0</v>
      </c>
      <c r="I134" s="2296">
        <f>-(SUM('IS(FY)'!V44:W44)+SUM('IS(FY)'!V45:W45)+SUM('IS(FY)'!V46:W46))/1000</f>
        <v>0</v>
      </c>
      <c r="J134" s="2296">
        <f>-(SUM('IS(FY)'!X44:Y44)+SUM('IS(FY)'!X45:Y45)+SUM('IS(FY)'!X46:Y46))/1000</f>
        <v>0</v>
      </c>
      <c r="K134" s="2296">
        <f>-(SUM('IS(FY)'!Z44:AA44)+SUM('IS(FY)'!Z45:AA45)+SUM('IS(FY)'!Z46:AA46))/1000</f>
        <v>0</v>
      </c>
      <c r="L134" s="2296">
        <f>-(SUM('IS(FY)'!AB44:AC44)+SUM('IS(FY)'!AB45:AC45)+SUM('IS(FY)'!AB46:AC46))/1000</f>
        <v>0</v>
      </c>
      <c r="M134" s="2296">
        <f>-(SUM('IS(FY)'!AD44:AE44)+SUM('IS(FY)'!AD45:AE45)+SUM('IS(FY)'!AD46:AE46))/1000</f>
        <v>0</v>
      </c>
      <c r="N134" s="2297">
        <f>-(SUM('IS(FY)'!AF44:AG44)+SUM('IS(FY)'!AF45:AG45)+SUM('IS(FY)'!AF46:AG46))/1000</f>
        <v>0</v>
      </c>
      <c r="P134" s="2400"/>
      <c r="Q134" s="2280"/>
      <c r="R134" s="2280"/>
      <c r="S134" s="2280"/>
      <c r="T134" s="2280"/>
      <c r="W134" s="2280"/>
      <c r="X134" s="2280"/>
    </row>
    <row r="135" spans="2:24" ht="12.75" customHeight="1">
      <c r="B135" s="2295" t="s">
        <v>1608</v>
      </c>
      <c r="C135" s="2296">
        <f t="shared" si="6"/>
        <v>-144.63753334348496</v>
      </c>
      <c r="D135" s="2296">
        <f>-('IS(FY)'!M47)/1000</f>
        <v>0</v>
      </c>
      <c r="E135" s="2296">
        <f>-(SUM('IS(FY)'!N47:O47))/1000</f>
        <v>-144.63753334348496</v>
      </c>
      <c r="F135" s="2296">
        <f>-(SUM('IS(FY)'!P47:Q47))/1000</f>
        <v>0</v>
      </c>
      <c r="G135" s="2296">
        <f>-(SUM('IS(FY)'!R47:S47))/1000</f>
        <v>0</v>
      </c>
      <c r="H135" s="2296">
        <f>-(SUM('IS(FY)'!T47:U47))/1000</f>
        <v>0</v>
      </c>
      <c r="I135" s="2296">
        <f>-(SUM('IS(FY)'!V47:W47))/1000</f>
        <v>0</v>
      </c>
      <c r="J135" s="2296">
        <f>-(SUM('IS(FY)'!X47:Y47))/1000</f>
        <v>0</v>
      </c>
      <c r="K135" s="2296">
        <f>-(SUM('IS(FY)'!Z47:AA47))/1000</f>
        <v>0</v>
      </c>
      <c r="L135" s="2296">
        <f>-(SUM('IS(FY)'!AB47:AC47))/1000</f>
        <v>0</v>
      </c>
      <c r="M135" s="2296">
        <f>-(SUM('IS(FY)'!AD47:AE47))/1000</f>
        <v>0</v>
      </c>
      <c r="N135" s="2297">
        <f>-(SUM('IS(FY)'!AF47:AG47))/1000</f>
        <v>0</v>
      </c>
      <c r="P135" s="2400"/>
      <c r="Q135" s="2280"/>
      <c r="R135" s="2280"/>
      <c r="S135" s="2280"/>
      <c r="T135" s="2280"/>
      <c r="W135" s="2280"/>
      <c r="X135" s="2280"/>
    </row>
    <row r="136" spans="2:24" ht="12.75" customHeight="1">
      <c r="B136" s="2295" t="s">
        <v>1214</v>
      </c>
      <c r="C136" s="2296">
        <f t="shared" ref="C136:C144" si="11">SUM(D136:N136)</f>
        <v>-34176.869999999988</v>
      </c>
      <c r="D136" s="2296">
        <f>-'IS(FY)'!M20/1000</f>
        <v>0</v>
      </c>
      <c r="E136" s="2296">
        <f>-SUM('IS(FY)'!N20:O20)/1000</f>
        <v>-3417.6869999999999</v>
      </c>
      <c r="F136" s="2296">
        <f>-SUM('IS(FY)'!P20:Q20)/1000</f>
        <v>-3417.6869999999999</v>
      </c>
      <c r="G136" s="2296">
        <f>-SUM('IS(FY)'!R20:S20)/1000</f>
        <v>-3417.6869999999999</v>
      </c>
      <c r="H136" s="2296">
        <f>-SUM('IS(FY)'!T20:U20)/1000</f>
        <v>-3417.6869999999999</v>
      </c>
      <c r="I136" s="2296">
        <f>-SUM('IS(FY)'!V20:W20)/1000</f>
        <v>-3417.6869999999999</v>
      </c>
      <c r="J136" s="2296">
        <f>-SUM('IS(FY)'!X20:Y20)/1000</f>
        <v>-3417.6869999999999</v>
      </c>
      <c r="K136" s="2296">
        <f>-SUM('IS(FY)'!Z20:AA20)/1000</f>
        <v>-3417.6869999999999</v>
      </c>
      <c r="L136" s="2296">
        <f>-SUM('IS(FY)'!AB20:AC20)/1000</f>
        <v>-3417.6869999999999</v>
      </c>
      <c r="M136" s="2296">
        <f>-SUM('IS(FY)'!AD20:AE20)/1000</f>
        <v>-3417.6869999999999</v>
      </c>
      <c r="N136" s="2297">
        <f>-SUM('IS(FY)'!AF20:AG20)/1000</f>
        <v>-3417.6869999999999</v>
      </c>
      <c r="P136" s="2400"/>
      <c r="Q136" s="2280"/>
      <c r="R136" s="2280"/>
      <c r="S136" s="2280"/>
      <c r="T136" s="2280"/>
      <c r="W136" s="2280"/>
      <c r="X136" s="2280"/>
    </row>
    <row r="137" spans="2:24" ht="12.75" customHeight="1" thickBot="1">
      <c r="B137" s="2298" t="s">
        <v>1506</v>
      </c>
      <c r="C137" s="2299">
        <f t="shared" si="11"/>
        <v>104898.69804531735</v>
      </c>
      <c r="D137" s="2299">
        <f>'IS(FY)'!M39/1000</f>
        <v>0</v>
      </c>
      <c r="E137" s="2299">
        <f>SUM('IS(FY)'!N39:O39)/1000</f>
        <v>0</v>
      </c>
      <c r="F137" s="2299">
        <f>SUM('IS(FY)'!P39:Q39)/1000</f>
        <v>0</v>
      </c>
      <c r="G137" s="2299">
        <f>SUM('IS(FY)'!R39:S39)/1000</f>
        <v>0</v>
      </c>
      <c r="H137" s="2299">
        <f>SUM('IS(FY)'!T39:U39)/1000</f>
        <v>0</v>
      </c>
      <c r="I137" s="2299">
        <f>SUM('IS(FY)'!V39:W39)/1000</f>
        <v>0</v>
      </c>
      <c r="J137" s="2299">
        <f>SUM('IS(FY)'!X39:Y39)/1000</f>
        <v>0</v>
      </c>
      <c r="K137" s="2299">
        <f>SUM('IS(FY)'!Z39:AA39)/1000</f>
        <v>0</v>
      </c>
      <c r="L137" s="2299">
        <f>SUM('IS(FY)'!AB39:AC39)/1000</f>
        <v>0</v>
      </c>
      <c r="M137" s="2299">
        <f>SUM('IS(FY)'!AD39:AE39)/1000</f>
        <v>0</v>
      </c>
      <c r="N137" s="2300">
        <f>SUM('IS(FY)'!AF39:AG39)/1000</f>
        <v>104898.69804531735</v>
      </c>
      <c r="P137" s="2400"/>
      <c r="Q137" s="2280"/>
      <c r="R137" s="2280"/>
      <c r="S137" s="2280"/>
      <c r="T137" s="2280"/>
      <c r="W137" s="2280"/>
      <c r="X137" s="2280"/>
    </row>
    <row r="138" spans="2:24" ht="12.75" customHeight="1" thickBot="1">
      <c r="B138" s="2289" t="s">
        <v>1507</v>
      </c>
      <c r="C138" s="2304">
        <f t="shared" si="11"/>
        <v>8096.9916246850535</v>
      </c>
      <c r="D138" s="2304">
        <f t="shared" ref="D138:N138" si="12">SUM(D139:D143)</f>
        <v>0</v>
      </c>
      <c r="E138" s="2304">
        <f t="shared" si="12"/>
        <v>800.581840871022</v>
      </c>
      <c r="F138" s="2304">
        <f t="shared" si="12"/>
        <v>802.50184087102207</v>
      </c>
      <c r="G138" s="2304">
        <f t="shared" si="12"/>
        <v>804.46024087102205</v>
      </c>
      <c r="H138" s="2304">
        <f t="shared" si="12"/>
        <v>806.45780887102194</v>
      </c>
      <c r="I138" s="2304">
        <f t="shared" si="12"/>
        <v>808.49532823102197</v>
      </c>
      <c r="J138" s="2304">
        <f t="shared" si="12"/>
        <v>810.57359797822198</v>
      </c>
      <c r="K138" s="2304">
        <f t="shared" si="12"/>
        <v>812.69343312036597</v>
      </c>
      <c r="L138" s="2304">
        <f t="shared" si="12"/>
        <v>814.85566496535284</v>
      </c>
      <c r="M138" s="2304">
        <f t="shared" si="12"/>
        <v>817.06114144723949</v>
      </c>
      <c r="N138" s="2305">
        <f t="shared" si="12"/>
        <v>819.31072745876384</v>
      </c>
      <c r="P138" s="2400"/>
      <c r="Q138" s="2280"/>
      <c r="R138" s="2280"/>
      <c r="S138" s="2280"/>
      <c r="T138" s="2280"/>
      <c r="W138" s="2280"/>
      <c r="X138" s="2280"/>
    </row>
    <row r="139" spans="2:24" ht="12.75" customHeight="1">
      <c r="B139" s="2292" t="s">
        <v>190</v>
      </c>
      <c r="C139" s="2293">
        <f t="shared" si="11"/>
        <v>6665.4700000000039</v>
      </c>
      <c r="D139" s="2293">
        <f>'IS(FY)'!M32/1000</f>
        <v>0</v>
      </c>
      <c r="E139" s="2293">
        <f>SUM('IS(FY)'!N32:O32)/1000</f>
        <v>666.54700000000025</v>
      </c>
      <c r="F139" s="2293">
        <f>SUM('IS(FY)'!P32:Q32)/1000</f>
        <v>666.54700000000025</v>
      </c>
      <c r="G139" s="2293">
        <f>SUM('IS(FY)'!R32:S32)/1000</f>
        <v>666.54700000000025</v>
      </c>
      <c r="H139" s="2293">
        <f>SUM('IS(FY)'!T32:U32)/1000</f>
        <v>666.54700000000025</v>
      </c>
      <c r="I139" s="2293">
        <f>SUM('IS(FY)'!V32:W32)/1000</f>
        <v>666.54700000000025</v>
      </c>
      <c r="J139" s="2293">
        <f>SUM('IS(FY)'!X32:Y32)/1000</f>
        <v>666.54700000000025</v>
      </c>
      <c r="K139" s="2293">
        <f>SUM('IS(FY)'!Z32:AA32)/1000</f>
        <v>666.54700000000025</v>
      </c>
      <c r="L139" s="2293">
        <f>SUM('IS(FY)'!AB32:AC32)/1000</f>
        <v>666.54700000000025</v>
      </c>
      <c r="M139" s="2293">
        <f>SUM('IS(FY)'!AD32:AE32)/1000</f>
        <v>666.54700000000025</v>
      </c>
      <c r="N139" s="2294">
        <f>SUM('IS(FY)'!AF32:AG32)/1000</f>
        <v>666.54700000000025</v>
      </c>
      <c r="P139" s="2400"/>
      <c r="Q139" s="2280"/>
      <c r="R139" s="2280"/>
      <c r="S139" s="2280"/>
      <c r="T139" s="2280"/>
      <c r="W139" s="2280"/>
      <c r="X139" s="2280"/>
    </row>
    <row r="140" spans="2:24" ht="12.75" customHeight="1">
      <c r="B140" s="2295" t="s">
        <v>192</v>
      </c>
      <c r="C140" s="2296">
        <f t="shared" si="11"/>
        <v>260.34840871021777</v>
      </c>
      <c r="D140" s="2296">
        <f>'IS(FY)'!M34/1000</f>
        <v>0</v>
      </c>
      <c r="E140" s="2296">
        <f>SUM('IS(FY)'!N34:O34)/1000</f>
        <v>26.034840871021775</v>
      </c>
      <c r="F140" s="2296">
        <f>SUM('IS(FY)'!P34:Q34)/1000</f>
        <v>26.034840871021775</v>
      </c>
      <c r="G140" s="2296">
        <f>SUM('IS(FY)'!R34:S34)/1000</f>
        <v>26.034840871021775</v>
      </c>
      <c r="H140" s="2296">
        <f>SUM('IS(FY)'!T34:U34)/1000</f>
        <v>26.034840871021775</v>
      </c>
      <c r="I140" s="2296">
        <f>SUM('IS(FY)'!V34:W34)/1000</f>
        <v>26.034840871021775</v>
      </c>
      <c r="J140" s="2296">
        <f>SUM('IS(FY)'!X34:Y34)/1000</f>
        <v>26.034840871021775</v>
      </c>
      <c r="K140" s="2296">
        <f>SUM('IS(FY)'!Z34:AA34)/1000</f>
        <v>26.034840871021775</v>
      </c>
      <c r="L140" s="2296">
        <f>SUM('IS(FY)'!AB34:AC34)/1000</f>
        <v>26.034840871021775</v>
      </c>
      <c r="M140" s="2296">
        <f>SUM('IS(FY)'!AD34:AE34)/1000</f>
        <v>26.034840871021775</v>
      </c>
      <c r="N140" s="2297">
        <f>SUM('IS(FY)'!AF34:AG34)/1000</f>
        <v>26.034840871021775</v>
      </c>
      <c r="P140" s="2400"/>
      <c r="Q140" s="2280"/>
      <c r="R140" s="2280"/>
      <c r="S140" s="2280"/>
      <c r="T140" s="2280"/>
      <c r="W140" s="2280"/>
      <c r="X140" s="2280"/>
    </row>
    <row r="141" spans="2:24" ht="12.75" customHeight="1">
      <c r="B141" s="2295" t="s">
        <v>150</v>
      </c>
      <c r="C141" s="2296">
        <f t="shared" si="11"/>
        <v>120</v>
      </c>
      <c r="D141" s="2296">
        <f>'IS(FY)'!M33/1000</f>
        <v>0</v>
      </c>
      <c r="E141" s="2296">
        <f>SUM('IS(FY)'!N33:O33)/1000</f>
        <v>12</v>
      </c>
      <c r="F141" s="2296">
        <f>SUM('IS(FY)'!P33:Q33)/1000</f>
        <v>12</v>
      </c>
      <c r="G141" s="2296">
        <f>SUM('IS(FY)'!R33:S33)/1000</f>
        <v>12</v>
      </c>
      <c r="H141" s="2296">
        <f>SUM('IS(FY)'!T33:U33)/1000</f>
        <v>12</v>
      </c>
      <c r="I141" s="2296">
        <f>SUM('IS(FY)'!V33:W33)/1000</f>
        <v>12</v>
      </c>
      <c r="J141" s="2296">
        <f>SUM('IS(FY)'!X33:Y33)/1000</f>
        <v>12</v>
      </c>
      <c r="K141" s="2296">
        <f>SUM('IS(FY)'!Z33:AA33)/1000</f>
        <v>12</v>
      </c>
      <c r="L141" s="2296">
        <f>SUM('IS(FY)'!AB33:AC33)/1000</f>
        <v>12</v>
      </c>
      <c r="M141" s="2296">
        <f>SUM('IS(FY)'!AD33:AE33)/1000</f>
        <v>12</v>
      </c>
      <c r="N141" s="2297">
        <f>SUM('IS(FY)'!AF33:AG33)/1000</f>
        <v>12</v>
      </c>
      <c r="P141" s="2400"/>
      <c r="Q141" s="2280"/>
      <c r="R141" s="2280"/>
      <c r="S141" s="2280"/>
      <c r="T141" s="2280"/>
      <c r="W141" s="2280"/>
      <c r="X141" s="2280"/>
    </row>
    <row r="142" spans="2:24" ht="12.75" customHeight="1">
      <c r="B142" s="2295" t="s">
        <v>533</v>
      </c>
      <c r="C142" s="2296">
        <f t="shared" si="11"/>
        <v>788.37991198112559</v>
      </c>
      <c r="D142" s="2296">
        <f>'IS(FY)'!M35/1000</f>
        <v>0</v>
      </c>
      <c r="E142" s="2296">
        <f>SUM('IS(FY)'!N35:O35)/1000</f>
        <v>72</v>
      </c>
      <c r="F142" s="2296">
        <f>SUM('IS(FY)'!P35:Q35)/1000</f>
        <v>73.44</v>
      </c>
      <c r="G142" s="2296">
        <f>SUM('IS(FY)'!R35:S35)/1000</f>
        <v>74.908799999999999</v>
      </c>
      <c r="H142" s="2296">
        <f>SUM('IS(FY)'!T35:U35)/1000</f>
        <v>76.406976</v>
      </c>
      <c r="I142" s="2296">
        <f>SUM('IS(FY)'!V35:W35)/1000</f>
        <v>77.935115520000011</v>
      </c>
      <c r="J142" s="2296">
        <f>SUM('IS(FY)'!X35:Y35)/1000</f>
        <v>79.493817830400005</v>
      </c>
      <c r="K142" s="2296">
        <f>SUM('IS(FY)'!Z35:AA35)/1000</f>
        <v>81.083694187008007</v>
      </c>
      <c r="L142" s="2296">
        <f>SUM('IS(FY)'!AB35:AC35)/1000</f>
        <v>82.70536807074815</v>
      </c>
      <c r="M142" s="2296">
        <f>SUM('IS(FY)'!AD35:AE35)/1000</f>
        <v>84.359475432163123</v>
      </c>
      <c r="N142" s="2297">
        <f>SUM('IS(FY)'!AF35:AG35)/1000</f>
        <v>86.046664940806366</v>
      </c>
      <c r="P142" s="2400"/>
      <c r="Q142" s="2280"/>
      <c r="R142" s="2280"/>
      <c r="S142" s="2280"/>
      <c r="T142" s="2280"/>
      <c r="W142" s="2280"/>
      <c r="X142" s="2280"/>
    </row>
    <row r="143" spans="2:24" ht="12.75" customHeight="1" thickBot="1">
      <c r="B143" s="2295" t="s">
        <v>463</v>
      </c>
      <c r="C143" s="2296">
        <f t="shared" si="11"/>
        <v>262.79330399370855</v>
      </c>
      <c r="D143" s="2296">
        <f>'IS(FY)'!M19/1000</f>
        <v>0</v>
      </c>
      <c r="E143" s="2296">
        <f>SUM('IS(FY)'!N19:O19)/1000</f>
        <v>24</v>
      </c>
      <c r="F143" s="2296">
        <f>SUM('IS(FY)'!P19:Q19)/1000</f>
        <v>24.48</v>
      </c>
      <c r="G143" s="2296">
        <f>SUM('IS(FY)'!R19:S19)/1000</f>
        <v>24.9696</v>
      </c>
      <c r="H143" s="2296">
        <f>SUM('IS(FY)'!T19:U19)/1000</f>
        <v>25.468991999999993</v>
      </c>
      <c r="I143" s="2296">
        <f>SUM('IS(FY)'!V19:W19)/1000</f>
        <v>25.978371840000005</v>
      </c>
      <c r="J143" s="2296">
        <f>SUM('IS(FY)'!X19:Y19)/1000</f>
        <v>26.497939276800004</v>
      </c>
      <c r="K143" s="2296">
        <f>SUM('IS(FY)'!Z19:AA19)/1000</f>
        <v>27.027898062336003</v>
      </c>
      <c r="L143" s="2296">
        <f>SUM('IS(FY)'!AB19:AC19)/1000</f>
        <v>27.568456023582716</v>
      </c>
      <c r="M143" s="2296">
        <f>SUM('IS(FY)'!AD19:AE19)/1000</f>
        <v>28.119825144054374</v>
      </c>
      <c r="N143" s="2297">
        <f>SUM('IS(FY)'!AF19:AG19)/1000</f>
        <v>28.68222164693546</v>
      </c>
      <c r="P143" s="2400"/>
      <c r="Q143" s="2280"/>
      <c r="R143" s="2280"/>
      <c r="S143" s="2280"/>
      <c r="T143" s="2280"/>
      <c r="W143" s="2280"/>
      <c r="X143" s="2280"/>
    </row>
    <row r="144" spans="2:24" ht="12.75" customHeight="1" thickBot="1">
      <c r="B144" s="2289" t="s">
        <v>538</v>
      </c>
      <c r="C144" s="2304">
        <f t="shared" ca="1" si="11"/>
        <v>115985.53477444091</v>
      </c>
      <c r="D144" s="2304">
        <f t="shared" ref="D144:N144" si="13">D130+D131-D138</f>
        <v>0</v>
      </c>
      <c r="E144" s="2304">
        <f t="shared" ca="1" si="13"/>
        <v>-817.63903162745737</v>
      </c>
      <c r="F144" s="2304">
        <f t="shared" ca="1" si="13"/>
        <v>-436.2636483024271</v>
      </c>
      <c r="G144" s="2304">
        <f t="shared" ca="1" si="13"/>
        <v>-5055.7506583323193</v>
      </c>
      <c r="H144" s="2304">
        <f t="shared" ca="1" si="13"/>
        <v>876.50112841972657</v>
      </c>
      <c r="I144" s="2304">
        <f t="shared" ca="1" si="13"/>
        <v>1325.7190199534793</v>
      </c>
      <c r="J144" s="2304">
        <f t="shared" ca="1" si="13"/>
        <v>2398.2716126245323</v>
      </c>
      <c r="K144" s="2304">
        <f t="shared" ca="1" si="13"/>
        <v>2861.5214425354702</v>
      </c>
      <c r="L144" s="2304">
        <f t="shared" ca="1" si="13"/>
        <v>2447.4373904384975</v>
      </c>
      <c r="M144" s="2304">
        <f t="shared" ca="1" si="13"/>
        <v>3430.7798639972689</v>
      </c>
      <c r="N144" s="2305">
        <f t="shared" ca="1" si="13"/>
        <v>108954.95765473414</v>
      </c>
      <c r="P144" s="2400"/>
      <c r="Q144" s="2280"/>
      <c r="R144" s="2280"/>
      <c r="S144" s="2280"/>
      <c r="T144" s="2280"/>
      <c r="W144" s="2280"/>
      <c r="X144" s="2280"/>
    </row>
    <row r="145" spans="1:24" ht="12.75" customHeight="1">
      <c r="P145" s="2400"/>
      <c r="Q145" s="2280"/>
      <c r="R145" s="2280"/>
      <c r="S145" s="2280"/>
      <c r="T145" s="2280"/>
      <c r="W145" s="2280"/>
      <c r="X145" s="2280"/>
    </row>
    <row r="146" spans="1:24" ht="12.75" customHeight="1">
      <c r="P146" s="2436"/>
      <c r="Q146" s="2280"/>
      <c r="R146" s="2280"/>
      <c r="S146" s="2280"/>
      <c r="T146" s="2280"/>
      <c r="W146" s="2280"/>
      <c r="X146" s="2280"/>
    </row>
    <row r="147" spans="1:24" ht="12.75" customHeight="1"/>
    <row r="148" spans="1:24" ht="12.75" customHeight="1">
      <c r="D148" s="2270"/>
      <c r="E148" s="2270"/>
      <c r="F148" s="2270"/>
      <c r="G148" s="2270"/>
      <c r="H148" s="2270"/>
      <c r="I148" s="2270"/>
      <c r="J148" s="2270"/>
      <c r="K148" s="2270"/>
      <c r="L148" s="2270"/>
      <c r="M148" s="2270"/>
      <c r="N148" s="2270"/>
    </row>
    <row r="149" spans="1:24" ht="12.75" customHeight="1"/>
    <row r="152" spans="1:24">
      <c r="A152" s="2234" t="s">
        <v>1542</v>
      </c>
    </row>
    <row r="153" spans="1:24" ht="12.75" thickBot="1">
      <c r="B153" s="2812" t="s">
        <v>1449</v>
      </c>
      <c r="C153" s="2814" t="s">
        <v>1460</v>
      </c>
      <c r="D153" s="2412" t="str">
        <f t="shared" ref="D153:N153" si="14">D114</f>
        <v>26.10</v>
      </c>
      <c r="E153" s="2412" t="str">
        <f t="shared" si="14"/>
        <v>27.10</v>
      </c>
      <c r="F153" s="2412" t="str">
        <f t="shared" si="14"/>
        <v>28.10</v>
      </c>
      <c r="G153" s="2412" t="str">
        <f t="shared" si="14"/>
        <v>29.10</v>
      </c>
      <c r="H153" s="2412" t="str">
        <f t="shared" si="14"/>
        <v>30.10</v>
      </c>
      <c r="I153" s="2412" t="str">
        <f t="shared" si="14"/>
        <v>31.10</v>
      </c>
      <c r="J153" s="2412" t="str">
        <f t="shared" si="14"/>
        <v>32.10</v>
      </c>
      <c r="K153" s="2412" t="str">
        <f t="shared" si="14"/>
        <v>33.10</v>
      </c>
      <c r="L153" s="2412" t="str">
        <f t="shared" si="14"/>
        <v>34.10</v>
      </c>
      <c r="M153" s="2412" t="str">
        <f t="shared" si="14"/>
        <v>35.10</v>
      </c>
      <c r="N153" s="2413" t="str">
        <f t="shared" si="14"/>
        <v>36.10</v>
      </c>
    </row>
    <row r="154" spans="1:24" ht="12.75" thickBot="1">
      <c r="B154" s="2813"/>
      <c r="C154" s="2815"/>
      <c r="D154" s="2285" t="str">
        <f t="shared" ref="D154:N154" si="15">D115</f>
        <v>투자일</v>
      </c>
      <c r="E154" s="2285">
        <f t="shared" si="15"/>
        <v>1</v>
      </c>
      <c r="F154" s="2285">
        <f t="shared" si="15"/>
        <v>2</v>
      </c>
      <c r="G154" s="2285">
        <f t="shared" si="15"/>
        <v>3</v>
      </c>
      <c r="H154" s="2285">
        <f t="shared" si="15"/>
        <v>4</v>
      </c>
      <c r="I154" s="2285">
        <f t="shared" si="15"/>
        <v>5</v>
      </c>
      <c r="J154" s="2285">
        <f t="shared" si="15"/>
        <v>6</v>
      </c>
      <c r="K154" s="2285">
        <f t="shared" si="15"/>
        <v>7</v>
      </c>
      <c r="L154" s="2285">
        <f t="shared" si="15"/>
        <v>8</v>
      </c>
      <c r="M154" s="2285">
        <f t="shared" si="15"/>
        <v>9</v>
      </c>
      <c r="N154" s="2286">
        <f t="shared" si="15"/>
        <v>10</v>
      </c>
      <c r="P154" s="2301"/>
      <c r="Q154" s="2302"/>
      <c r="R154" s="2281"/>
      <c r="S154" s="2281"/>
      <c r="T154" s="2282"/>
    </row>
    <row r="155" spans="1:24" ht="12.75" thickBot="1">
      <c r="B155" s="2289" t="s">
        <v>1543</v>
      </c>
      <c r="C155" s="2304">
        <f t="shared" ref="C155:C168" ca="1" si="16">SUM(D155:N155)</f>
        <v>45263.706729123573</v>
      </c>
      <c r="D155" s="2304">
        <f t="shared" ref="D155:N155" ca="1" si="17">D169+D170-D175</f>
        <v>0</v>
      </c>
      <c r="E155" s="2304">
        <f t="shared" ca="1" si="17"/>
        <v>2791.9971750392106</v>
      </c>
      <c r="F155" s="2304">
        <f t="shared" ca="1" si="17"/>
        <v>2984.112602689238</v>
      </c>
      <c r="G155" s="2304">
        <f t="shared" ca="1" si="17"/>
        <v>-1635.3033763236913</v>
      </c>
      <c r="H155" s="2305">
        <f t="shared" ca="1" si="17"/>
        <v>4297.0206033756895</v>
      </c>
      <c r="I155" s="2305">
        <f t="shared" ca="1" si="17"/>
        <v>4746.3118769061257</v>
      </c>
      <c r="J155" s="2305">
        <f t="shared" ca="1" si="17"/>
        <v>5818.9390682263274</v>
      </c>
      <c r="K155" s="2305">
        <f t="shared" ca="1" si="17"/>
        <v>6282.2647415367437</v>
      </c>
      <c r="L155" s="2305">
        <f t="shared" ca="1" si="17"/>
        <v>5868.2578061929344</v>
      </c>
      <c r="M155" s="2305">
        <f t="shared" ca="1" si="17"/>
        <v>6851.6786989783313</v>
      </c>
      <c r="N155" s="2305">
        <f t="shared" ca="1" si="17"/>
        <v>7258.4275325026683</v>
      </c>
      <c r="P155" s="2289"/>
      <c r="Q155" s="2290"/>
      <c r="R155" s="2290"/>
      <c r="S155" s="2290"/>
      <c r="T155" s="2291"/>
    </row>
    <row r="156" spans="1:24" ht="12.75" thickBot="1">
      <c r="B156" s="2289" t="s">
        <v>1604</v>
      </c>
      <c r="C156" s="2304">
        <f t="shared" si="16"/>
        <v>173411.61493373636</v>
      </c>
      <c r="D156" s="2304">
        <f t="shared" ref="D156:N156" si="18">SUM(D157:D159)</f>
        <v>0</v>
      </c>
      <c r="E156" s="2304">
        <f t="shared" si="18"/>
        <v>15337.100219276346</v>
      </c>
      <c r="F156" s="2304">
        <f t="shared" si="18"/>
        <v>15682.859408385648</v>
      </c>
      <c r="G156" s="2304">
        <f t="shared" si="18"/>
        <v>11366.672111531519</v>
      </c>
      <c r="H156" s="2305">
        <f t="shared" si="18"/>
        <v>17482.771279269997</v>
      </c>
      <c r="I156" s="2305">
        <f t="shared" si="18"/>
        <v>17924.190017740351</v>
      </c>
      <c r="J156" s="2305">
        <f t="shared" si="18"/>
        <v>18366.754183811259</v>
      </c>
      <c r="K156" s="2305">
        <f t="shared" si="18"/>
        <v>18820.382454033941</v>
      </c>
      <c r="L156" s="2305">
        <f t="shared" si="18"/>
        <v>19064.401477767031</v>
      </c>
      <c r="M156" s="2305">
        <f t="shared" si="18"/>
        <v>19442.248085734569</v>
      </c>
      <c r="N156" s="2305">
        <f t="shared" si="18"/>
        <v>19924.235696185679</v>
      </c>
      <c r="P156" s="2289"/>
      <c r="Q156" s="2290"/>
      <c r="R156" s="2290"/>
      <c r="S156" s="2290"/>
      <c r="T156" s="2291"/>
    </row>
    <row r="157" spans="1:24">
      <c r="B157" s="2292" t="s">
        <v>269</v>
      </c>
      <c r="C157" s="2293">
        <f t="shared" si="16"/>
        <v>163345.51848045687</v>
      </c>
      <c r="D157" s="2293">
        <f>('CF(Y)'!L11+'CF(Y)'!L12)/1000</f>
        <v>0</v>
      </c>
      <c r="E157" s="2293">
        <f>('CF(Y)'!M11+'CF(Y)'!M12)/1000</f>
        <v>14414.802116581252</v>
      </c>
      <c r="F157" s="2293">
        <f>('CF(Y)'!N11+'CF(Y)'!N12)/1000</f>
        <v>14743.044437495777</v>
      </c>
      <c r="G157" s="2293">
        <f>('CF(Y)'!O11+'CF(Y)'!O12)/1000</f>
        <v>10408.902350742001</v>
      </c>
      <c r="H157" s="2294">
        <f>('CF(Y)'!P11+'CF(Y)'!P12)/1000</f>
        <v>16506.597858833342</v>
      </c>
      <c r="I157" s="2294">
        <f>('CF(Y)'!Q11+'CF(Y)'!Q12)/1000</f>
        <v>16929.15284616538</v>
      </c>
      <c r="J157" s="2294">
        <f>('CF(Y)'!R11+'CF(Y)'!R12)/1000</f>
        <v>17352.381667319514</v>
      </c>
      <c r="K157" s="2294">
        <f>('CF(Y)'!S11+'CF(Y)'!S12)/1000</f>
        <v>17786.1912090025</v>
      </c>
      <c r="L157" s="2294">
        <f>('CF(Y)'!T11+'CF(Y)'!T12)/1000</f>
        <v>18009.907148620186</v>
      </c>
      <c r="M157" s="2294">
        <f>('CF(Y)'!U11+'CF(Y)'!U12)/1000</f>
        <v>18366.946594082259</v>
      </c>
      <c r="N157" s="2294">
        <f>('CF(Y)'!V11+'CF(Y)'!V12)/1000</f>
        <v>18827.592251614664</v>
      </c>
      <c r="P157" s="2292"/>
      <c r="Q157" s="2293"/>
      <c r="R157" s="2293"/>
      <c r="S157" s="2293"/>
      <c r="T157" s="2294"/>
    </row>
    <row r="158" spans="1:24">
      <c r="B158" s="2295" t="s">
        <v>64</v>
      </c>
      <c r="C158" s="2296">
        <f t="shared" ref="C158:C159" si="19">SUM(D158:N158)</f>
        <v>8636.6643042394644</v>
      </c>
      <c r="D158" s="2296">
        <f>('CF(Y)'!L13)/1000</f>
        <v>0</v>
      </c>
      <c r="E158" s="2296">
        <f>('CF(Y)'!M13)/1000</f>
        <v>779.35488779109392</v>
      </c>
      <c r="F158" s="2296">
        <f>('CF(Y)'!N13)/1000</f>
        <v>796.87175598587089</v>
      </c>
      <c r="G158" s="2296">
        <f>('CF(Y)'!O13)/1000</f>
        <v>814.8265458855177</v>
      </c>
      <c r="H158" s="2297">
        <f>('CF(Y)'!P13)/1000</f>
        <v>833.23020553265587</v>
      </c>
      <c r="I158" s="2297">
        <f>('CF(Y)'!Q13)/1000</f>
        <v>852.09395667097203</v>
      </c>
      <c r="J158" s="2297">
        <f>('CF(Y)'!R13)/1000</f>
        <v>871.42930158774618</v>
      </c>
      <c r="K158" s="2297">
        <f>('CF(Y)'!S13)/1000</f>
        <v>891.24803012743985</v>
      </c>
      <c r="L158" s="2297">
        <f>('CF(Y)'!T13)/1000</f>
        <v>911.55111424284325</v>
      </c>
      <c r="M158" s="2297">
        <f>('CF(Y)'!U13)/1000</f>
        <v>932.35827674830807</v>
      </c>
      <c r="N158" s="2297">
        <f>('CF(Y)'!V13)/1000</f>
        <v>953.70022966701572</v>
      </c>
      <c r="P158" s="2295"/>
      <c r="Q158" s="2296"/>
      <c r="R158" s="2296"/>
      <c r="S158" s="2296"/>
      <c r="T158" s="2297"/>
    </row>
    <row r="159" spans="1:24" ht="12.75" thickBot="1">
      <c r="B159" s="2295" t="s">
        <v>1674</v>
      </c>
      <c r="C159" s="2296">
        <f t="shared" si="19"/>
        <v>1429.4321490399998</v>
      </c>
      <c r="D159" s="2296">
        <f>('CF(Y)'!L14)/1000</f>
        <v>0</v>
      </c>
      <c r="E159" s="2296">
        <f>('CF(Y)'!M14)/1000</f>
        <v>142.943214904</v>
      </c>
      <c r="F159" s="2296">
        <f>('CF(Y)'!N14)/1000</f>
        <v>142.943214904</v>
      </c>
      <c r="G159" s="2296">
        <f>('CF(Y)'!O14)/1000</f>
        <v>142.943214904</v>
      </c>
      <c r="H159" s="2297">
        <f>('CF(Y)'!P14)/1000</f>
        <v>142.943214904</v>
      </c>
      <c r="I159" s="2297">
        <f>('CF(Y)'!Q14)/1000</f>
        <v>142.943214904</v>
      </c>
      <c r="J159" s="2297">
        <f>('CF(Y)'!R14)/1000</f>
        <v>142.943214904</v>
      </c>
      <c r="K159" s="2297">
        <f>('CF(Y)'!S14)/1000</f>
        <v>142.943214904</v>
      </c>
      <c r="L159" s="2297">
        <f>('CF(Y)'!T14)/1000</f>
        <v>142.943214904</v>
      </c>
      <c r="M159" s="2297">
        <f>('CF(Y)'!U14)/1000</f>
        <v>142.943214904</v>
      </c>
      <c r="N159" s="2297">
        <f>('CF(Y)'!V14)/1000</f>
        <v>142.943214904</v>
      </c>
      <c r="P159" s="2295"/>
      <c r="Q159" s="2296"/>
      <c r="R159" s="2296"/>
      <c r="S159" s="2296"/>
      <c r="T159" s="2297"/>
    </row>
    <row r="160" spans="1:24" ht="12.75" thickBot="1">
      <c r="B160" s="2289" t="s">
        <v>1605</v>
      </c>
      <c r="C160" s="2304">
        <f t="shared" ca="1" si="16"/>
        <v>23206.747133190529</v>
      </c>
      <c r="D160" s="2304">
        <f t="shared" ref="D160:N160" ca="1" si="20">SUM(D161:D168)</f>
        <v>0</v>
      </c>
      <c r="E160" s="2304">
        <f t="shared" ca="1" si="20"/>
        <v>2039.7860308631332</v>
      </c>
      <c r="F160" s="2304">
        <f t="shared" ca="1" si="20"/>
        <v>2218.3837715292852</v>
      </c>
      <c r="G160" s="2304">
        <f t="shared" ca="1" si="20"/>
        <v>2287.7227908509713</v>
      </c>
      <c r="H160" s="2305">
        <f t="shared" ca="1" si="20"/>
        <v>2264.8208250571574</v>
      </c>
      <c r="I160" s="2305">
        <f t="shared" ca="1" si="20"/>
        <v>2223.6077966982289</v>
      </c>
      <c r="J160" s="2305">
        <f t="shared" ca="1" si="20"/>
        <v>2226.9533445234702</v>
      </c>
      <c r="K160" s="2305">
        <f t="shared" ca="1" si="20"/>
        <v>2231.1038136595862</v>
      </c>
      <c r="L160" s="2305">
        <f t="shared" ca="1" si="20"/>
        <v>2913.5996238864541</v>
      </c>
      <c r="M160" s="2305">
        <f t="shared" ca="1" si="20"/>
        <v>2333.5507352704267</v>
      </c>
      <c r="N160" s="2305">
        <f t="shared" ca="1" si="20"/>
        <v>2467.218400851817</v>
      </c>
      <c r="P160" s="2289"/>
      <c r="Q160" s="2290"/>
      <c r="R160" s="2290"/>
      <c r="S160" s="2290"/>
      <c r="T160" s="2291"/>
    </row>
    <row r="161" spans="2:20">
      <c r="B161" s="2295" t="s">
        <v>73</v>
      </c>
      <c r="C161" s="2296">
        <f t="shared" si="16"/>
        <v>642.16330010060005</v>
      </c>
      <c r="D161" s="2296">
        <f>-('CF(Y)'!L18)/1000</f>
        <v>0</v>
      </c>
      <c r="E161" s="2296">
        <f>-('CF(Y)'!M18)/1000</f>
        <v>60</v>
      </c>
      <c r="F161" s="2296">
        <f>-('CF(Y)'!N18)/1000</f>
        <v>60.899999999999991</v>
      </c>
      <c r="G161" s="2296">
        <f>-('CF(Y)'!O18)/1000</f>
        <v>61.813499999999991</v>
      </c>
      <c r="H161" s="2297">
        <f>-('CF(Y)'!P18)/1000</f>
        <v>62.74070249999999</v>
      </c>
      <c r="I161" s="2297">
        <f>-('CF(Y)'!Q18)/1000</f>
        <v>63.681813037499964</v>
      </c>
      <c r="J161" s="2297">
        <f>-('CF(Y)'!R18)/1000</f>
        <v>64.63704023306245</v>
      </c>
      <c r="K161" s="2297">
        <f>-('CF(Y)'!S18)/1000</f>
        <v>65.60659583655837</v>
      </c>
      <c r="L161" s="2297">
        <f>-('CF(Y)'!T18)/1000</f>
        <v>66.590694774106751</v>
      </c>
      <c r="M161" s="2297">
        <f>-('CF(Y)'!U18)/1000</f>
        <v>67.589555195718347</v>
      </c>
      <c r="N161" s="2297">
        <f>-('CF(Y)'!V18)/1000</f>
        <v>68.603398523654121</v>
      </c>
      <c r="P161" s="2295"/>
      <c r="Q161" s="2296"/>
      <c r="R161" s="2296"/>
      <c r="S161" s="2296"/>
      <c r="T161" s="2297"/>
    </row>
    <row r="162" spans="2:20">
      <c r="B162" s="2295" t="s">
        <v>75</v>
      </c>
      <c r="C162" s="2296">
        <f t="shared" si="16"/>
        <v>6974.9803358780382</v>
      </c>
      <c r="D162" s="2296">
        <f>-('CF(Y)'!L19)/1000</f>
        <v>0</v>
      </c>
      <c r="E162" s="2296">
        <f>-('CF(Y)'!M19)/1000</f>
        <v>637.00073600459996</v>
      </c>
      <c r="F162" s="2296">
        <f>-('CF(Y)'!N19)/1000</f>
        <v>649.74075072469191</v>
      </c>
      <c r="G162" s="2296">
        <f>-('CF(Y)'!O19)/1000</f>
        <v>662.73556573918586</v>
      </c>
      <c r="H162" s="2297">
        <f>-('CF(Y)'!P19)/1000</f>
        <v>675.99027705396941</v>
      </c>
      <c r="I162" s="2297">
        <f>-('CF(Y)'!Q19)/1000</f>
        <v>689.51008259504863</v>
      </c>
      <c r="J162" s="2297">
        <f>-('CF(Y)'!R19)/1000</f>
        <v>703.30028424694979</v>
      </c>
      <c r="K162" s="2297">
        <f>-('CF(Y)'!S19)/1000</f>
        <v>717.36628993188879</v>
      </c>
      <c r="L162" s="2297">
        <f>-('CF(Y)'!T19)/1000</f>
        <v>731.71361573052673</v>
      </c>
      <c r="M162" s="2297">
        <f>-('CF(Y)'!U19)/1000</f>
        <v>746.34788804513721</v>
      </c>
      <c r="N162" s="2297">
        <f>-('CF(Y)'!V19)/1000</f>
        <v>761.27484580603982</v>
      </c>
      <c r="P162" s="2295"/>
      <c r="Q162" s="2296"/>
      <c r="R162" s="2296"/>
      <c r="S162" s="2296"/>
      <c r="T162" s="2297"/>
    </row>
    <row r="163" spans="2:20" hidden="1">
      <c r="B163" s="2295" t="s">
        <v>80</v>
      </c>
      <c r="C163" s="2296">
        <f t="shared" si="16"/>
        <v>0</v>
      </c>
      <c r="D163" s="2296">
        <f>-('CF(Y)'!L21)/1000</f>
        <v>0</v>
      </c>
      <c r="E163" s="2296">
        <f>-('CF(Y)'!M21)/1000</f>
        <v>0</v>
      </c>
      <c r="F163" s="2296">
        <f>-('CF(Y)'!N21)/1000</f>
        <v>0</v>
      </c>
      <c r="G163" s="2296">
        <f>-('CF(Y)'!O21)/1000</f>
        <v>0</v>
      </c>
      <c r="H163" s="2297">
        <f>-('CF(Y)'!P21)/1000</f>
        <v>0</v>
      </c>
      <c r="I163" s="2297">
        <f>-('CF(Y)'!Q21)/1000</f>
        <v>0</v>
      </c>
      <c r="J163" s="2297">
        <f>-('CF(Y)'!R21)/1000</f>
        <v>0</v>
      </c>
      <c r="K163" s="2297">
        <f>-('CF(Y)'!S21)/1000</f>
        <v>0</v>
      </c>
      <c r="L163" s="2297">
        <f>-('CF(Y)'!T21)/1000</f>
        <v>0</v>
      </c>
      <c r="M163" s="2297">
        <f>-('CF(Y)'!U21)/1000</f>
        <v>0</v>
      </c>
      <c r="N163" s="2297">
        <f>-('CF(Y)'!V21)/1000</f>
        <v>0</v>
      </c>
      <c r="P163" s="2295"/>
      <c r="Q163" s="2296"/>
      <c r="R163" s="2296"/>
      <c r="S163" s="2296"/>
      <c r="T163" s="2297"/>
    </row>
    <row r="164" spans="2:20">
      <c r="B164" s="2295" t="s">
        <v>83</v>
      </c>
      <c r="C164" s="2296">
        <f t="shared" ca="1" si="16"/>
        <v>6789.2028330659659</v>
      </c>
      <c r="D164" s="2296">
        <f ca="1">-('CF(Y)'!L22)/1000</f>
        <v>0</v>
      </c>
      <c r="E164" s="2296">
        <f ca="1">-('CF(Y)'!M22)/1000</f>
        <v>742.28470000000004</v>
      </c>
      <c r="F164" s="2296">
        <f ca="1">-('CF(Y)'!N22)/1000</f>
        <v>727.43900600000018</v>
      </c>
      <c r="G164" s="2296">
        <f ca="1">-('CF(Y)'!O22)/1000</f>
        <v>712.89022587999989</v>
      </c>
      <c r="H164" s="2297">
        <f ca="1">-('CF(Y)'!P22)/1000</f>
        <v>698.63242136240001</v>
      </c>
      <c r="I164" s="2297">
        <f ca="1">-('CF(Y)'!Q22)/1000</f>
        <v>684.65977293515209</v>
      </c>
      <c r="J164" s="2297">
        <f ca="1">-('CF(Y)'!R22)/1000</f>
        <v>670.96657747644883</v>
      </c>
      <c r="K164" s="2297">
        <f ca="1">-('CF(Y)'!S22)/1000</f>
        <v>657.54724592692003</v>
      </c>
      <c r="L164" s="2297">
        <f ca="1">-('CF(Y)'!T22)/1000</f>
        <v>644.39630100838178</v>
      </c>
      <c r="M164" s="2297">
        <f ca="1">-('CF(Y)'!U22)/1000</f>
        <v>631.50837498821386</v>
      </c>
      <c r="N164" s="2297">
        <f ca="1">-('CF(Y)'!V22)/1000</f>
        <v>618.87820748844968</v>
      </c>
      <c r="P164" s="2295"/>
      <c r="Q164" s="2296"/>
      <c r="R164" s="2296"/>
      <c r="S164" s="2296"/>
      <c r="T164" s="2297"/>
    </row>
    <row r="165" spans="2:20">
      <c r="B165" s="2295" t="s">
        <v>78</v>
      </c>
      <c r="C165" s="2296">
        <f t="shared" si="16"/>
        <v>341.53875420512702</v>
      </c>
      <c r="D165" s="2296">
        <f>-('CF(Y)'!L20)/1000</f>
        <v>0</v>
      </c>
      <c r="E165" s="2296">
        <f>-('CF(Y)'!M20)/1000</f>
        <v>31.191548553000004</v>
      </c>
      <c r="F165" s="2296">
        <f>-('CF(Y)'!N20)/1000</f>
        <v>31.815379524059992</v>
      </c>
      <c r="G165" s="2296">
        <f>-('CF(Y)'!O20)/1000</f>
        <v>32.451687114541201</v>
      </c>
      <c r="H165" s="2297">
        <f>-('CF(Y)'!P20)/1000</f>
        <v>33.100720856832019</v>
      </c>
      <c r="I165" s="2297">
        <f>-('CF(Y)'!Q20)/1000</f>
        <v>33.762735273968651</v>
      </c>
      <c r="J165" s="2297">
        <f>-('CF(Y)'!R20)/1000</f>
        <v>34.437989979448041</v>
      </c>
      <c r="K165" s="2297">
        <f>-('CF(Y)'!S20)/1000</f>
        <v>35.126749779036992</v>
      </c>
      <c r="L165" s="2297">
        <f>-('CF(Y)'!T20)/1000</f>
        <v>35.829284774617733</v>
      </c>
      <c r="M165" s="2297">
        <f>-('CF(Y)'!U20)/1000</f>
        <v>36.545870470110088</v>
      </c>
      <c r="N165" s="2297">
        <f>-('CF(Y)'!V20)/1000</f>
        <v>37.276787879512291</v>
      </c>
      <c r="P165" s="2295"/>
      <c r="Q165" s="2296"/>
      <c r="R165" s="2296"/>
      <c r="S165" s="2296"/>
      <c r="T165" s="2297"/>
    </row>
    <row r="166" spans="2:20">
      <c r="B166" s="2295" t="s">
        <v>1540</v>
      </c>
      <c r="C166" s="2296">
        <f t="shared" si="16"/>
        <v>208.94832972200001</v>
      </c>
      <c r="D166" s="2296">
        <f>-('CF(Y)'!L27)/1000</f>
        <v>0</v>
      </c>
      <c r="E166" s="2296">
        <f>-('CF(Y)'!M27)/1000</f>
        <v>20.894832972200003</v>
      </c>
      <c r="F166" s="2296">
        <f>-('CF(Y)'!N27)/1000</f>
        <v>20.894832972200003</v>
      </c>
      <c r="G166" s="2296">
        <f>-('CF(Y)'!O27)/1000</f>
        <v>20.894832972200003</v>
      </c>
      <c r="H166" s="2297">
        <f>-('CF(Y)'!P27)/1000</f>
        <v>20.894832972200003</v>
      </c>
      <c r="I166" s="2297">
        <f>-('CF(Y)'!Q27)/1000</f>
        <v>20.894832972200003</v>
      </c>
      <c r="J166" s="2297">
        <f>-('CF(Y)'!R27)/1000</f>
        <v>20.894832972200003</v>
      </c>
      <c r="K166" s="2297">
        <f>-('CF(Y)'!S27)/1000</f>
        <v>20.894832972200003</v>
      </c>
      <c r="L166" s="2297">
        <f>-('CF(Y)'!T27)/1000</f>
        <v>20.894832972200003</v>
      </c>
      <c r="M166" s="2297">
        <f>-('CF(Y)'!U27)/1000</f>
        <v>20.894832972200003</v>
      </c>
      <c r="N166" s="2297">
        <f>-('CF(Y)'!V27)/1000</f>
        <v>20.894832972200003</v>
      </c>
      <c r="P166" s="2295"/>
      <c r="Q166" s="2296"/>
      <c r="R166" s="2296"/>
      <c r="S166" s="2296"/>
      <c r="T166" s="2297"/>
    </row>
    <row r="167" spans="2:20">
      <c r="B167" s="2295" t="s">
        <v>1544</v>
      </c>
      <c r="C167" s="2296">
        <f t="shared" si="16"/>
        <v>7357.625717769004</v>
      </c>
      <c r="D167" s="2296">
        <f>-('CF(Y)'!L23+'CF(Y)'!L24+'CF(Y)'!L25+'CF(Y)'!L26)/1000</f>
        <v>0</v>
      </c>
      <c r="E167" s="2296">
        <f>-('CF(Y)'!M23+'CF(Y)'!M24+'CF(Y)'!M25+'CF(Y)'!M26)/1000</f>
        <v>537.54084333333321</v>
      </c>
      <c r="F167" s="2296">
        <f>-('CF(Y)'!N23+'CF(Y)'!N24+'CF(Y)'!N25+'CF(Y)'!N26)/1000</f>
        <v>727.59380230833324</v>
      </c>
      <c r="G167" s="2296">
        <f>-('CF(Y)'!O23+'CF(Y)'!O24+'CF(Y)'!O25+'CF(Y)'!O26)/1000</f>
        <v>728.53858662287496</v>
      </c>
      <c r="H167" s="2297">
        <f>-('CF(Y)'!P23+'CF(Y)'!P24+'CF(Y)'!P25+'CF(Y)'!P26)/1000</f>
        <v>729.70637299968189</v>
      </c>
      <c r="I167" s="2297">
        <f>-('CF(Y)'!Q23+'CF(Y)'!Q24+'CF(Y)'!Q25+'CF(Y)'!Q26)/1000</f>
        <v>731.09855988435959</v>
      </c>
      <c r="J167" s="2297">
        <f>-('CF(Y)'!R23+'CF(Y)'!R24+'CF(Y)'!R25+'CF(Y)'!R26)/1000</f>
        <v>732.71661961536086</v>
      </c>
      <c r="K167" s="2297">
        <f>-('CF(Y)'!S23+'CF(Y)'!S24+'CF(Y)'!S25+'CF(Y)'!S26)/1000</f>
        <v>734.56209921298228</v>
      </c>
      <c r="L167" s="2297">
        <f>-('CF(Y)'!T23+'CF(Y)'!T24+'CF(Y)'!T25+'CF(Y)'!T26)/1000</f>
        <v>736.63662119447622</v>
      </c>
      <c r="M167" s="2297">
        <f>-('CF(Y)'!U23+'CF(Y)'!U24+'CF(Y)'!U25+'CF(Y)'!U26)/1000</f>
        <v>738.94188441564165</v>
      </c>
      <c r="N167" s="2297">
        <f>-('CF(Y)'!V23+'CF(Y)'!V24+'CF(Y)'!V25+'CF(Y)'!V26)/1000</f>
        <v>960.29032818196117</v>
      </c>
      <c r="P167" s="2295"/>
      <c r="Q167" s="2296"/>
      <c r="R167" s="2296"/>
      <c r="S167" s="2296"/>
      <c r="T167" s="2297"/>
    </row>
    <row r="168" spans="2:20" ht="12.75" thickBot="1">
      <c r="B168" s="2295" t="s">
        <v>468</v>
      </c>
      <c r="C168" s="2296">
        <f t="shared" si="16"/>
        <v>892.28786244979403</v>
      </c>
      <c r="D168" s="2296">
        <f>-('CF(Y)'!L28)/1000</f>
        <v>0</v>
      </c>
      <c r="E168" s="2296">
        <f>-('CF(Y)'!M28)/1000</f>
        <v>10.87337</v>
      </c>
      <c r="F168" s="2296">
        <f>-('CF(Y)'!N28)/1000</f>
        <v>0</v>
      </c>
      <c r="G168" s="2296">
        <f>-('CF(Y)'!O28)/1000</f>
        <v>68.398392522169118</v>
      </c>
      <c r="H168" s="2297">
        <f>-('CF(Y)'!P28)/1000</f>
        <v>43.755497312074368</v>
      </c>
      <c r="I168" s="2297">
        <f>-('CF(Y)'!Q28)/1000</f>
        <v>0</v>
      </c>
      <c r="J168" s="2297">
        <f>-('CF(Y)'!R28)/1000</f>
        <v>0</v>
      </c>
      <c r="K168" s="2297">
        <f>-('CF(Y)'!S28)/1000</f>
        <v>0</v>
      </c>
      <c r="L168" s="2297">
        <f>-('CF(Y)'!T28)/1000</f>
        <v>677.53827343214505</v>
      </c>
      <c r="M168" s="2297">
        <f>-('CF(Y)'!U28)/1000</f>
        <v>91.722329183405492</v>
      </c>
      <c r="N168" s="2297">
        <f>-('CF(Y)'!V28)/1000</f>
        <v>0</v>
      </c>
      <c r="P168" s="2295"/>
      <c r="Q168" s="2296"/>
      <c r="R168" s="2296"/>
      <c r="S168" s="2296"/>
      <c r="T168" s="2297"/>
    </row>
    <row r="169" spans="2:20" ht="12.75" thickBot="1">
      <c r="B169" s="2289" t="s">
        <v>1606</v>
      </c>
      <c r="C169" s="2304">
        <f t="shared" ref="C169:C174" ca="1" si="21">SUM(D169:N169)</f>
        <v>150204.86780054582</v>
      </c>
      <c r="D169" s="2304">
        <f t="shared" ref="D169:N169" ca="1" si="22">D156-D160</f>
        <v>0</v>
      </c>
      <c r="E169" s="2304">
        <f t="shared" ca="1" si="22"/>
        <v>13297.314188413213</v>
      </c>
      <c r="F169" s="2304">
        <f t="shared" ca="1" si="22"/>
        <v>13464.475636856363</v>
      </c>
      <c r="G169" s="2304">
        <f t="shared" ca="1" si="22"/>
        <v>9078.9493206805491</v>
      </c>
      <c r="H169" s="2305">
        <f t="shared" ca="1" si="22"/>
        <v>15217.95045421284</v>
      </c>
      <c r="I169" s="2305">
        <f t="shared" ca="1" si="22"/>
        <v>15700.582221042123</v>
      </c>
      <c r="J169" s="2305">
        <f t="shared" ca="1" si="22"/>
        <v>16139.800839287789</v>
      </c>
      <c r="K169" s="2305">
        <f t="shared" ca="1" si="22"/>
        <v>16589.278640374356</v>
      </c>
      <c r="L169" s="2305">
        <f t="shared" ca="1" si="22"/>
        <v>16150.801853880577</v>
      </c>
      <c r="M169" s="2305">
        <f t="shared" ca="1" si="22"/>
        <v>17108.697350464143</v>
      </c>
      <c r="N169" s="2305">
        <f t="shared" ca="1" si="22"/>
        <v>17457.017295333862</v>
      </c>
      <c r="P169" s="2289"/>
      <c r="Q169" s="2290"/>
      <c r="R169" s="2290"/>
      <c r="S169" s="2290"/>
      <c r="T169" s="2291"/>
    </row>
    <row r="170" spans="2:20" ht="12.75" thickBot="1">
      <c r="B170" s="2289" t="s">
        <v>513</v>
      </c>
      <c r="C170" s="2304">
        <f t="shared" ca="1" si="21"/>
        <v>-96844.169446737185</v>
      </c>
      <c r="D170" s="2304">
        <f t="shared" ref="D170:N170" si="23">SUM(D171:D174)</f>
        <v>0</v>
      </c>
      <c r="E170" s="2304">
        <f t="shared" ca="1" si="23"/>
        <v>-9704.7351725029803</v>
      </c>
      <c r="F170" s="2304">
        <f t="shared" ca="1" si="23"/>
        <v>-9677.861193296103</v>
      </c>
      <c r="G170" s="2304">
        <f t="shared" ca="1" si="23"/>
        <v>-9909.7924561332184</v>
      </c>
      <c r="H170" s="2305">
        <f t="shared" ca="1" si="23"/>
        <v>-10114.472041966128</v>
      </c>
      <c r="I170" s="2305">
        <f t="shared" ca="1" si="23"/>
        <v>-10145.775015904976</v>
      </c>
      <c r="J170" s="2305">
        <f t="shared" ca="1" si="23"/>
        <v>-9510.2881730832396</v>
      </c>
      <c r="K170" s="2305">
        <f t="shared" ca="1" si="23"/>
        <v>-9494.3204657172464</v>
      </c>
      <c r="L170" s="2305">
        <f t="shared" ca="1" si="23"/>
        <v>-9467.68838272229</v>
      </c>
      <c r="M170" s="2305">
        <f t="shared" ca="1" si="23"/>
        <v>-9439.9575100385719</v>
      </c>
      <c r="N170" s="2305">
        <f t="shared" ca="1" si="23"/>
        <v>-9379.2790353724304</v>
      </c>
      <c r="P170" s="2289"/>
      <c r="Q170" s="2290"/>
      <c r="R170" s="2290"/>
      <c r="S170" s="2290"/>
      <c r="T170" s="2291"/>
    </row>
    <row r="171" spans="2:20">
      <c r="B171" s="2292" t="s">
        <v>239</v>
      </c>
      <c r="C171" s="2293">
        <f t="shared" ca="1" si="21"/>
        <v>1737.4680866062995</v>
      </c>
      <c r="D171" s="2293">
        <f>('CF(Y)'!L15+'CF(Y)'!L16)/1000</f>
        <v>0</v>
      </c>
      <c r="E171" s="2293">
        <f ca="1">('CF(Y)'!M15+'CF(Y)'!M16)/1000</f>
        <v>359.90236084050326</v>
      </c>
      <c r="F171" s="2293">
        <f ca="1">('CF(Y)'!N15+'CF(Y)'!N16)/1000</f>
        <v>242.13880670389608</v>
      </c>
      <c r="G171" s="2293">
        <f ca="1">('CF(Y)'!O15+'CF(Y)'!O16)/1000</f>
        <v>314.20754386678146</v>
      </c>
      <c r="H171" s="2294">
        <f ca="1">('CF(Y)'!P15+'CF(Y)'!P16)/1000</f>
        <v>109.52795803387181</v>
      </c>
      <c r="I171" s="2294">
        <f ca="1">('CF(Y)'!Q15+'CF(Y)'!Q16)/1000</f>
        <v>78.224984095024524</v>
      </c>
      <c r="J171" s="2294">
        <f ca="1">('CF(Y)'!R15+'CF(Y)'!R16)/1000</f>
        <v>74.711826916761282</v>
      </c>
      <c r="K171" s="2294">
        <f ca="1">('CF(Y)'!S15+'CF(Y)'!S16)/1000</f>
        <v>90.679534282754219</v>
      </c>
      <c r="L171" s="2294">
        <f ca="1">('CF(Y)'!T15+'CF(Y)'!T16)/1000</f>
        <v>117.31161727770936</v>
      </c>
      <c r="M171" s="2294">
        <f ca="1">('CF(Y)'!U15+'CF(Y)'!U16)/1000</f>
        <v>145.0424899614282</v>
      </c>
      <c r="N171" s="2294">
        <f ca="1">('CF(Y)'!V15+'CF(Y)'!V16)/1000</f>
        <v>205.72096462756957</v>
      </c>
      <c r="P171" s="2292"/>
      <c r="Q171" s="2293"/>
      <c r="R171" s="2293"/>
      <c r="S171" s="2293"/>
      <c r="T171" s="2294"/>
    </row>
    <row r="172" spans="2:20">
      <c r="B172" s="2295" t="s">
        <v>1607</v>
      </c>
      <c r="C172" s="2296">
        <f t="shared" si="21"/>
        <v>-93877</v>
      </c>
      <c r="D172" s="2296">
        <f>('CF(Y)'!L36+'CF(Y)'!L37+'CF(Y)'!L38)/1000</f>
        <v>0</v>
      </c>
      <c r="E172" s="2296">
        <f>('CF(Y)'!M36+'CF(Y)'!M37+'CF(Y)'!M38)/1000</f>
        <v>-7640</v>
      </c>
      <c r="F172" s="2296">
        <f>('CF(Y)'!N36+'CF(Y)'!N37+'CF(Y)'!N38)/1000</f>
        <v>-7640</v>
      </c>
      <c r="G172" s="2296">
        <f>('CF(Y)'!O36+'CF(Y)'!O37+'CF(Y)'!O38)/1000</f>
        <v>-10224</v>
      </c>
      <c r="H172" s="2297">
        <f>('CF(Y)'!P36+'CF(Y)'!P37+'CF(Y)'!P38)/1000</f>
        <v>-10224</v>
      </c>
      <c r="I172" s="2297">
        <f>('CF(Y)'!Q36+'CF(Y)'!Q37+'CF(Y)'!Q38)/1000</f>
        <v>-10224</v>
      </c>
      <c r="J172" s="2297">
        <f>('CF(Y)'!R36+'CF(Y)'!R37+'CF(Y)'!R38)/1000</f>
        <v>-9585</v>
      </c>
      <c r="K172" s="2297">
        <f>('CF(Y)'!S36+'CF(Y)'!S37+'CF(Y)'!S38)/1000</f>
        <v>-9585</v>
      </c>
      <c r="L172" s="2297">
        <f>('CF(Y)'!T36+'CF(Y)'!T37+'CF(Y)'!T38)/1000</f>
        <v>-9585</v>
      </c>
      <c r="M172" s="2297">
        <f>('CF(Y)'!U36+'CF(Y)'!U37+'CF(Y)'!U38)/1000</f>
        <v>-9585</v>
      </c>
      <c r="N172" s="2297">
        <f>('CF(Y)'!V36+'CF(Y)'!V37+'CF(Y)'!V38)/1000</f>
        <v>-9585</v>
      </c>
      <c r="P172" s="2295"/>
      <c r="Q172" s="2296"/>
      <c r="R172" s="2296"/>
      <c r="S172" s="2296"/>
      <c r="T172" s="2297"/>
    </row>
    <row r="173" spans="2:20">
      <c r="B173" s="2295" t="s">
        <v>1541</v>
      </c>
      <c r="C173" s="2296">
        <f t="shared" si="21"/>
        <v>-4560</v>
      </c>
      <c r="D173" s="2296">
        <f>('CF(Y)'!L39+'CF(Y)'!L40+'CF(Y)'!L41)/1000</f>
        <v>0</v>
      </c>
      <c r="E173" s="2296">
        <f>('CF(Y)'!M39+'CF(Y)'!M40+'CF(Y)'!M41)/1000</f>
        <v>-2280</v>
      </c>
      <c r="F173" s="2296">
        <f>('CF(Y)'!N39+'CF(Y)'!N40+'CF(Y)'!N41)/1000</f>
        <v>-2280</v>
      </c>
      <c r="G173" s="2296">
        <f>('CF(Y)'!O39+'CF(Y)'!O40+'CF(Y)'!O41)/1000</f>
        <v>0</v>
      </c>
      <c r="H173" s="2297">
        <f>('CF(Y)'!P39+'CF(Y)'!P40+'CF(Y)'!P41)/1000</f>
        <v>0</v>
      </c>
      <c r="I173" s="2297">
        <f>('CF(Y)'!Q39+'CF(Y)'!Q40+'CF(Y)'!Q41)/1000</f>
        <v>0</v>
      </c>
      <c r="J173" s="2297">
        <f>('CF(Y)'!R39+'CF(Y)'!R40+'CF(Y)'!R41)/1000</f>
        <v>0</v>
      </c>
      <c r="K173" s="2297">
        <f>('CF(Y)'!S39+'CF(Y)'!S40+'CF(Y)'!S41)/1000</f>
        <v>0</v>
      </c>
      <c r="L173" s="2297">
        <f>('CF(Y)'!T39+'CF(Y)'!T40+'CF(Y)'!T41)/1000</f>
        <v>0</v>
      </c>
      <c r="M173" s="2297">
        <f>('CF(Y)'!U39+'CF(Y)'!U40+'CF(Y)'!U41)/1000</f>
        <v>0</v>
      </c>
      <c r="N173" s="2297">
        <f>('CF(Y)'!V39+'CF(Y)'!V40+'CF(Y)'!V41)/1000</f>
        <v>0</v>
      </c>
      <c r="P173" s="2295"/>
      <c r="Q173" s="2296"/>
      <c r="R173" s="2296"/>
      <c r="S173" s="2296"/>
      <c r="T173" s="2297"/>
    </row>
    <row r="174" spans="2:20" ht="12.75" thickBot="1">
      <c r="B174" s="2295" t="s">
        <v>1608</v>
      </c>
      <c r="C174" s="2296">
        <f t="shared" si="21"/>
        <v>-144.63753334348496</v>
      </c>
      <c r="D174" s="2296">
        <f>('CF(Y)'!L42)/1000</f>
        <v>0</v>
      </c>
      <c r="E174" s="2296">
        <f>('CF(Y)'!M42)/1000</f>
        <v>-144.63753334348496</v>
      </c>
      <c r="F174" s="2296">
        <f>('CF(Y)'!N42)/1000</f>
        <v>0</v>
      </c>
      <c r="G174" s="2296">
        <f>('CF(Y)'!O42)/1000</f>
        <v>0</v>
      </c>
      <c r="H174" s="2297">
        <f>('CF(Y)'!P42)/1000</f>
        <v>0</v>
      </c>
      <c r="I174" s="2297">
        <f>('CF(Y)'!Q42)/1000</f>
        <v>0</v>
      </c>
      <c r="J174" s="2297">
        <f>('CF(Y)'!R42)/1000</f>
        <v>0</v>
      </c>
      <c r="K174" s="2297">
        <f>('CF(Y)'!S42)/1000</f>
        <v>0</v>
      </c>
      <c r="L174" s="2297">
        <f>('CF(Y)'!T42)/1000</f>
        <v>0</v>
      </c>
      <c r="M174" s="2297">
        <f>('CF(Y)'!U42)/1000</f>
        <v>0</v>
      </c>
      <c r="N174" s="2297">
        <f>('CF(Y)'!V42)/1000</f>
        <v>0</v>
      </c>
      <c r="P174" s="2295"/>
      <c r="Q174" s="2296"/>
      <c r="R174" s="2296"/>
      <c r="S174" s="2296"/>
      <c r="T174" s="2297"/>
    </row>
    <row r="175" spans="2:20" ht="12.75" thickBot="1">
      <c r="B175" s="2289" t="s">
        <v>1545</v>
      </c>
      <c r="C175" s="2304">
        <f t="shared" ref="C175:C184" si="24">SUM(D175:N175)</f>
        <v>8096.9916246850535</v>
      </c>
      <c r="D175" s="2304">
        <f t="shared" ref="D175:N175" si="25">SUM(D176:D180)</f>
        <v>0</v>
      </c>
      <c r="E175" s="2304">
        <f t="shared" si="25"/>
        <v>800.58184087102188</v>
      </c>
      <c r="F175" s="2304">
        <f t="shared" si="25"/>
        <v>802.50184087102184</v>
      </c>
      <c r="G175" s="2304">
        <f t="shared" si="25"/>
        <v>804.46024087102194</v>
      </c>
      <c r="H175" s="2305">
        <f t="shared" si="25"/>
        <v>806.45780887102183</v>
      </c>
      <c r="I175" s="2305">
        <f t="shared" si="25"/>
        <v>808.49532823102197</v>
      </c>
      <c r="J175" s="2305">
        <f t="shared" si="25"/>
        <v>810.57359797822187</v>
      </c>
      <c r="K175" s="2305">
        <f t="shared" si="25"/>
        <v>812.69343312036597</v>
      </c>
      <c r="L175" s="2305">
        <f t="shared" si="25"/>
        <v>814.85566496535273</v>
      </c>
      <c r="M175" s="2305">
        <f t="shared" si="25"/>
        <v>817.06114144723938</v>
      </c>
      <c r="N175" s="2305">
        <f t="shared" si="25"/>
        <v>819.31072745876372</v>
      </c>
      <c r="P175" s="2289"/>
      <c r="Q175" s="2290"/>
      <c r="R175" s="2290"/>
      <c r="S175" s="2290"/>
      <c r="T175" s="2291"/>
    </row>
    <row r="176" spans="2:20">
      <c r="B176" s="2292" t="s">
        <v>190</v>
      </c>
      <c r="C176" s="2293">
        <f t="shared" si="24"/>
        <v>6665.4700000000021</v>
      </c>
      <c r="D176" s="2293">
        <f>-('CF(Y)'!L31)/1000</f>
        <v>0</v>
      </c>
      <c r="E176" s="2293">
        <f>-('CF(Y)'!M31)/1000</f>
        <v>666.54700000000014</v>
      </c>
      <c r="F176" s="2293">
        <f>-('CF(Y)'!N31)/1000</f>
        <v>666.54700000000014</v>
      </c>
      <c r="G176" s="2293">
        <f>-('CF(Y)'!O31)/1000</f>
        <v>666.54700000000014</v>
      </c>
      <c r="H176" s="2294">
        <f>-('CF(Y)'!P31)/1000</f>
        <v>666.54700000000014</v>
      </c>
      <c r="I176" s="2294">
        <f>-('CF(Y)'!Q31)/1000</f>
        <v>666.54700000000014</v>
      </c>
      <c r="J176" s="2294">
        <f>-('CF(Y)'!R31)/1000</f>
        <v>666.54700000000014</v>
      </c>
      <c r="K176" s="2294">
        <f>-('CF(Y)'!S31)/1000</f>
        <v>666.54700000000014</v>
      </c>
      <c r="L176" s="2294">
        <f>-('CF(Y)'!T31)/1000</f>
        <v>666.54700000000014</v>
      </c>
      <c r="M176" s="2294">
        <f>-('CF(Y)'!U31)/1000</f>
        <v>666.54700000000014</v>
      </c>
      <c r="N176" s="2294">
        <f>-('CF(Y)'!V31)/1000</f>
        <v>666.54700000000014</v>
      </c>
      <c r="P176" s="2292"/>
      <c r="Q176" s="2293"/>
      <c r="R176" s="2293"/>
      <c r="S176" s="2293"/>
      <c r="T176" s="2294"/>
    </row>
    <row r="177" spans="2:20">
      <c r="B177" s="2295" t="s">
        <v>152</v>
      </c>
      <c r="C177" s="2296">
        <f t="shared" si="24"/>
        <v>260.34840871021777</v>
      </c>
      <c r="D177" s="2296">
        <f>-('CF(Y)'!L33)/1000</f>
        <v>0</v>
      </c>
      <c r="E177" s="2296">
        <f>-('CF(Y)'!M33)/1000</f>
        <v>26.034840871021775</v>
      </c>
      <c r="F177" s="2296">
        <f>-('CF(Y)'!N33)/1000</f>
        <v>26.034840871021775</v>
      </c>
      <c r="G177" s="2296">
        <f>-('CF(Y)'!O33)/1000</f>
        <v>26.034840871021775</v>
      </c>
      <c r="H177" s="2297">
        <f>-('CF(Y)'!P33)/1000</f>
        <v>26.034840871021775</v>
      </c>
      <c r="I177" s="2297">
        <f>-('CF(Y)'!Q33)/1000</f>
        <v>26.034840871021775</v>
      </c>
      <c r="J177" s="2297">
        <f>-('CF(Y)'!R33)/1000</f>
        <v>26.034840871021775</v>
      </c>
      <c r="K177" s="2297">
        <f>-('CF(Y)'!S33)/1000</f>
        <v>26.034840871021775</v>
      </c>
      <c r="L177" s="2297">
        <f>-('CF(Y)'!T33)/1000</f>
        <v>26.034840871021775</v>
      </c>
      <c r="M177" s="2297">
        <f>-('CF(Y)'!U33)/1000</f>
        <v>26.034840871021775</v>
      </c>
      <c r="N177" s="2297">
        <f>-('CF(Y)'!V33)/1000</f>
        <v>26.034840871021775</v>
      </c>
      <c r="P177" s="2295"/>
      <c r="Q177" s="2296"/>
      <c r="R177" s="2296"/>
      <c r="S177" s="2296"/>
      <c r="T177" s="2297"/>
    </row>
    <row r="178" spans="2:20">
      <c r="B178" s="2295" t="s">
        <v>150</v>
      </c>
      <c r="C178" s="2296">
        <f t="shared" si="24"/>
        <v>120</v>
      </c>
      <c r="D178" s="2296">
        <f>-('CF(Y)'!L32)/1000</f>
        <v>0</v>
      </c>
      <c r="E178" s="2296">
        <f>-('CF(Y)'!M32)/1000</f>
        <v>12</v>
      </c>
      <c r="F178" s="2296">
        <f>-('CF(Y)'!N32)/1000</f>
        <v>12</v>
      </c>
      <c r="G178" s="2296">
        <f>-('CF(Y)'!O32)/1000</f>
        <v>12</v>
      </c>
      <c r="H178" s="2297">
        <f>-('CF(Y)'!P32)/1000</f>
        <v>12</v>
      </c>
      <c r="I178" s="2297">
        <f>-('CF(Y)'!Q32)/1000</f>
        <v>12</v>
      </c>
      <c r="J178" s="2297">
        <f>-('CF(Y)'!R32)/1000</f>
        <v>12</v>
      </c>
      <c r="K178" s="2297">
        <f>-('CF(Y)'!S32)/1000</f>
        <v>12</v>
      </c>
      <c r="L178" s="2297">
        <f>-('CF(Y)'!T32)/1000</f>
        <v>12</v>
      </c>
      <c r="M178" s="2297">
        <f>-('CF(Y)'!U32)/1000</f>
        <v>12</v>
      </c>
      <c r="N178" s="2297">
        <f>-('CF(Y)'!V32)/1000</f>
        <v>12</v>
      </c>
      <c r="P178" s="2295"/>
      <c r="Q178" s="2296"/>
      <c r="R178" s="2296"/>
      <c r="S178" s="2296"/>
      <c r="T178" s="2297"/>
    </row>
    <row r="179" spans="2:20">
      <c r="B179" s="2295" t="s">
        <v>533</v>
      </c>
      <c r="C179" s="2296">
        <f t="shared" si="24"/>
        <v>788.37991198112559</v>
      </c>
      <c r="D179" s="2296">
        <f>-('CF(Y)'!L34)/1000</f>
        <v>0</v>
      </c>
      <c r="E179" s="2296">
        <f>-('CF(Y)'!M34)/1000</f>
        <v>72</v>
      </c>
      <c r="F179" s="2296">
        <f>-('CF(Y)'!N34)/1000</f>
        <v>73.44</v>
      </c>
      <c r="G179" s="2296">
        <f>-('CF(Y)'!O34)/1000</f>
        <v>74.908799999999999</v>
      </c>
      <c r="H179" s="2297">
        <f>-('CF(Y)'!P34)/1000</f>
        <v>76.406976</v>
      </c>
      <c r="I179" s="2297">
        <f>-('CF(Y)'!Q34)/1000</f>
        <v>77.935115520000011</v>
      </c>
      <c r="J179" s="2297">
        <f>-('CF(Y)'!R34)/1000</f>
        <v>79.493817830400005</v>
      </c>
      <c r="K179" s="2297">
        <f>-('CF(Y)'!S34)/1000</f>
        <v>81.083694187008007</v>
      </c>
      <c r="L179" s="2297">
        <f>-('CF(Y)'!T34)/1000</f>
        <v>82.70536807074815</v>
      </c>
      <c r="M179" s="2297">
        <f>-('CF(Y)'!U34)/1000</f>
        <v>84.359475432163123</v>
      </c>
      <c r="N179" s="2297">
        <f>-('CF(Y)'!V34)/1000</f>
        <v>86.046664940806366</v>
      </c>
      <c r="P179" s="2295"/>
      <c r="Q179" s="2296"/>
      <c r="R179" s="2296"/>
      <c r="S179" s="2296"/>
      <c r="T179" s="2297"/>
    </row>
    <row r="180" spans="2:20" ht="12.75" thickBot="1">
      <c r="B180" s="2295" t="s">
        <v>463</v>
      </c>
      <c r="C180" s="2296">
        <f t="shared" si="24"/>
        <v>262.79330399370861</v>
      </c>
      <c r="D180" s="2296">
        <f>-('CF(Y)'!L30)/1000</f>
        <v>0</v>
      </c>
      <c r="E180" s="2296">
        <f>-('CF(Y)'!M30)/1000</f>
        <v>24</v>
      </c>
      <c r="F180" s="2296">
        <f>-('CF(Y)'!N30)/1000</f>
        <v>24.48</v>
      </c>
      <c r="G180" s="2296">
        <f>-('CF(Y)'!O30)/1000</f>
        <v>24.969599999999996</v>
      </c>
      <c r="H180" s="2297">
        <f>-('CF(Y)'!P30)/1000</f>
        <v>25.468992000000004</v>
      </c>
      <c r="I180" s="2297">
        <f>-('CF(Y)'!Q30)/1000</f>
        <v>25.978371840000005</v>
      </c>
      <c r="J180" s="2297">
        <f>-('CF(Y)'!R30)/1000</f>
        <v>26.497939276800007</v>
      </c>
      <c r="K180" s="2297">
        <f>-('CF(Y)'!S30)/1000</f>
        <v>27.027898062336011</v>
      </c>
      <c r="L180" s="2297">
        <f>-('CF(Y)'!T30)/1000</f>
        <v>27.568456023582709</v>
      </c>
      <c r="M180" s="2297">
        <f>-('CF(Y)'!U30)/1000</f>
        <v>28.119825144054378</v>
      </c>
      <c r="N180" s="2297">
        <f>-('CF(Y)'!V30)/1000</f>
        <v>28.68222164693546</v>
      </c>
      <c r="P180" s="2295"/>
      <c r="Q180" s="2296"/>
      <c r="R180" s="2296"/>
      <c r="S180" s="2296"/>
      <c r="T180" s="2297"/>
    </row>
    <row r="181" spans="2:20" ht="12.75" thickBot="1">
      <c r="B181" s="2289" t="s">
        <v>1546</v>
      </c>
      <c r="C181" s="2304">
        <f t="shared" si="24"/>
        <v>70721.828045317379</v>
      </c>
      <c r="D181" s="2304">
        <f t="shared" ref="D181:N181" si="26">SUM(D182:D185)</f>
        <v>-301756.66963053192</v>
      </c>
      <c r="E181" s="2304">
        <f t="shared" si="26"/>
        <v>12800.493159896285</v>
      </c>
      <c r="F181" s="2304">
        <f t="shared" si="26"/>
        <v>-2.1453792278858599E-2</v>
      </c>
      <c r="G181" s="2304">
        <f t="shared" si="26"/>
        <v>-6.8764553143410305</v>
      </c>
      <c r="H181" s="2305">
        <f t="shared" si="26"/>
        <v>6.788056276229792</v>
      </c>
      <c r="I181" s="2305">
        <f t="shared" si="26"/>
        <v>-6.696053971166839E-2</v>
      </c>
      <c r="J181" s="2305">
        <f t="shared" si="26"/>
        <v>-8.2154760116158285E-2</v>
      </c>
      <c r="K181" s="2305">
        <f t="shared" si="26"/>
        <v>-9.7371647377556658E-2</v>
      </c>
      <c r="L181" s="2305">
        <f t="shared" si="26"/>
        <v>-7.8512675222336545</v>
      </c>
      <c r="M181" s="2305">
        <f t="shared" si="26"/>
        <v>7.6107528104851081</v>
      </c>
      <c r="N181" s="2305">
        <f t="shared" si="26"/>
        <v>359678.60137044243</v>
      </c>
      <c r="P181" s="2289"/>
      <c r="Q181" s="2290"/>
      <c r="R181" s="2290"/>
      <c r="S181" s="2290"/>
      <c r="T181" s="2291"/>
    </row>
    <row r="182" spans="2:20" ht="12.75" thickBot="1">
      <c r="B182" s="2295" t="s">
        <v>1508</v>
      </c>
      <c r="C182" s="2296">
        <f t="shared" si="24"/>
        <v>-270000</v>
      </c>
      <c r="D182" s="2296">
        <f>('CF(Y)'!L56)/1000</f>
        <v>-270000</v>
      </c>
      <c r="E182" s="2296">
        <f>('CF(Y)'!M56)/1000</f>
        <v>0</v>
      </c>
      <c r="F182" s="2296">
        <f>('CF(Y)'!N56)/1000</f>
        <v>0</v>
      </c>
      <c r="G182" s="2296">
        <f>('CF(Y)'!O56)/1000</f>
        <v>0</v>
      </c>
      <c r="H182" s="2297">
        <f>('CF(Y)'!P56)/1000</f>
        <v>0</v>
      </c>
      <c r="I182" s="2297">
        <f>('CF(Y)'!Q56)/1000</f>
        <v>0</v>
      </c>
      <c r="J182" s="2297">
        <f>('CF(Y)'!R56)/1000</f>
        <v>0</v>
      </c>
      <c r="K182" s="2297">
        <f>('CF(Y)'!S56)/1000</f>
        <v>0</v>
      </c>
      <c r="L182" s="2297">
        <f>('CF(Y)'!T56)/1000</f>
        <v>0</v>
      </c>
      <c r="M182" s="2297">
        <f>('CF(Y)'!U56)/1000</f>
        <v>0</v>
      </c>
      <c r="N182" s="2297">
        <f>('CF(Y)'!V56)/1000</f>
        <v>0</v>
      </c>
      <c r="P182" s="2289"/>
      <c r="Q182" s="2290"/>
      <c r="R182" s="2290"/>
      <c r="S182" s="2290"/>
      <c r="T182" s="2291"/>
    </row>
    <row r="183" spans="2:20">
      <c r="B183" s="2295" t="s">
        <v>1610</v>
      </c>
      <c r="C183" s="2296">
        <f t="shared" si="24"/>
        <v>-18899.999999999956</v>
      </c>
      <c r="D183" s="2296">
        <f>('CF(Y)'!L57+'CF(Y)'!L58+'CF(Y)'!L59+'CF(Y)'!L60+'CF(Y)'!L61)/1000</f>
        <v>-18899.999999999956</v>
      </c>
      <c r="E183" s="2296">
        <f>('CF(Y)'!M57+'CF(Y)'!M58+'CF(Y)'!M59+'CF(Y)'!M60+'CF(Y)'!M61)/1000</f>
        <v>0</v>
      </c>
      <c r="F183" s="2296">
        <f>('CF(Y)'!N57+'CF(Y)'!N58+'CF(Y)'!N59+'CF(Y)'!N60+'CF(Y)'!N61)/1000</f>
        <v>0</v>
      </c>
      <c r="G183" s="2296">
        <f>('CF(Y)'!O57+'CF(Y)'!O58+'CF(Y)'!O59+'CF(Y)'!O60+'CF(Y)'!O61)/1000</f>
        <v>0</v>
      </c>
      <c r="H183" s="2297">
        <f>('CF(Y)'!P57+'CF(Y)'!P58+'CF(Y)'!P59+'CF(Y)'!P60+'CF(Y)'!P61)/1000</f>
        <v>0</v>
      </c>
      <c r="I183" s="2297">
        <f>('CF(Y)'!Q57+'CF(Y)'!Q58+'CF(Y)'!Q59+'CF(Y)'!Q60+'CF(Y)'!Q61)/1000</f>
        <v>0</v>
      </c>
      <c r="J183" s="2297">
        <f>('CF(Y)'!R57+'CF(Y)'!R58+'CF(Y)'!R59+'CF(Y)'!R60+'CF(Y)'!R61)/1000</f>
        <v>0</v>
      </c>
      <c r="K183" s="2297">
        <f>('CF(Y)'!S57+'CF(Y)'!S58+'CF(Y)'!S59+'CF(Y)'!S60+'CF(Y)'!S61)/1000</f>
        <v>0</v>
      </c>
      <c r="L183" s="2297">
        <f>('CF(Y)'!T57+'CF(Y)'!T58+'CF(Y)'!T59+'CF(Y)'!T60+'CF(Y)'!T61)/1000</f>
        <v>0</v>
      </c>
      <c r="M183" s="2297">
        <f>('CF(Y)'!U57+'CF(Y)'!U58+'CF(Y)'!U59+'CF(Y)'!U60+'CF(Y)'!U61)/1000</f>
        <v>0</v>
      </c>
      <c r="N183" s="2297">
        <f>('CF(Y)'!V57+'CF(Y)'!V58+'CF(Y)'!V59+'CF(Y)'!V60+'CF(Y)'!V61)/1000</f>
        <v>0</v>
      </c>
      <c r="P183" s="2292"/>
      <c r="Q183" s="2293"/>
      <c r="R183" s="2293"/>
      <c r="S183" s="2293"/>
      <c r="T183" s="2294"/>
    </row>
    <row r="184" spans="2:20">
      <c r="B184" s="2295" t="s">
        <v>1611</v>
      </c>
      <c r="C184" s="2296">
        <f t="shared" si="24"/>
        <v>359621.82804531738</v>
      </c>
      <c r="D184" s="2296">
        <f>('CF(Y)'!L51+'CF(Y)'!L52+'CF(Y)'!L53+'CF(Y)'!L54)/1000</f>
        <v>0</v>
      </c>
      <c r="E184" s="2296">
        <f>('CF(Y)'!M51+'CF(Y)'!M52+'CF(Y)'!M53+'CF(Y)'!M54)/1000</f>
        <v>0</v>
      </c>
      <c r="F184" s="2296">
        <f>('CF(Y)'!N51+'CF(Y)'!N52+'CF(Y)'!N53+'CF(Y)'!N54)/1000</f>
        <v>0</v>
      </c>
      <c r="G184" s="2296">
        <f>('CF(Y)'!O51+'CF(Y)'!O52+'CF(Y)'!O53+'CF(Y)'!O54)/1000</f>
        <v>0</v>
      </c>
      <c r="H184" s="2297">
        <f>('CF(Y)'!P51+'CF(Y)'!P52+'CF(Y)'!P53+'CF(Y)'!P54)/1000</f>
        <v>0</v>
      </c>
      <c r="I184" s="2297">
        <f>('CF(Y)'!Q51+'CF(Y)'!Q52+'CF(Y)'!Q53+'CF(Y)'!Q54)/1000</f>
        <v>0</v>
      </c>
      <c r="J184" s="2297">
        <f>('CF(Y)'!R51+'CF(Y)'!R52+'CF(Y)'!R53+'CF(Y)'!R54)/1000</f>
        <v>0</v>
      </c>
      <c r="K184" s="2297">
        <f>('CF(Y)'!S51+'CF(Y)'!S52+'CF(Y)'!S53+'CF(Y)'!S54)/1000</f>
        <v>0</v>
      </c>
      <c r="L184" s="2297">
        <f>('CF(Y)'!T51+'CF(Y)'!T52+'CF(Y)'!T53+'CF(Y)'!T54)/1000</f>
        <v>0</v>
      </c>
      <c r="M184" s="2297">
        <f>('CF(Y)'!U51+'CF(Y)'!U52+'CF(Y)'!U53+'CF(Y)'!U54)/1000</f>
        <v>0</v>
      </c>
      <c r="N184" s="2297">
        <f>('CF(Y)'!V51+'CF(Y)'!V52+'CF(Y)'!V53+'CF(Y)'!V54)/1000</f>
        <v>359621.82804531738</v>
      </c>
      <c r="P184" s="2295"/>
      <c r="Q184" s="2296"/>
      <c r="R184" s="2296"/>
      <c r="S184" s="2296"/>
      <c r="T184" s="2297"/>
    </row>
    <row r="185" spans="2:20" ht="12.75" thickBot="1">
      <c r="B185" s="2295" t="s">
        <v>1609</v>
      </c>
      <c r="C185" s="2296">
        <f>ROUND(SUM(D185:N185),0)</f>
        <v>0</v>
      </c>
      <c r="D185" s="2296">
        <f>('CF(Y)'!L45+'CF(Y)'!L46+'CF(Y)'!L47+'CF(Y)'!L48)/1000</f>
        <v>-12856.669630531998</v>
      </c>
      <c r="E185" s="2296">
        <f>('CF(Y)'!M45+'CF(Y)'!M46+'CF(Y)'!M47+'CF(Y)'!M48)/1000</f>
        <v>12800.493159896285</v>
      </c>
      <c r="F185" s="2296">
        <f>('CF(Y)'!N45+'CF(Y)'!N46+'CF(Y)'!N47+'CF(Y)'!N48)/1000</f>
        <v>-2.1453792278858599E-2</v>
      </c>
      <c r="G185" s="2296">
        <f>('CF(Y)'!O45+'CF(Y)'!O46+'CF(Y)'!O47+'CF(Y)'!O48)/1000</f>
        <v>-6.8764553143410305</v>
      </c>
      <c r="H185" s="2297">
        <f>('CF(Y)'!P45+'CF(Y)'!P46+'CF(Y)'!P47+'CF(Y)'!P48)/1000</f>
        <v>6.788056276229792</v>
      </c>
      <c r="I185" s="2297">
        <f>('CF(Y)'!Q45+'CF(Y)'!Q46+'CF(Y)'!Q47+'CF(Y)'!Q48)/1000</f>
        <v>-6.696053971166839E-2</v>
      </c>
      <c r="J185" s="2297">
        <f>('CF(Y)'!R45+'CF(Y)'!R46+'CF(Y)'!R47+'CF(Y)'!R48)/1000</f>
        <v>-8.2154760116158285E-2</v>
      </c>
      <c r="K185" s="2297">
        <f>('CF(Y)'!S45+'CF(Y)'!S46+'CF(Y)'!S47+'CF(Y)'!S48)/1000</f>
        <v>-9.7371647377556658E-2</v>
      </c>
      <c r="L185" s="2297">
        <f>('CF(Y)'!T45+'CF(Y)'!T46+'CF(Y)'!T47+'CF(Y)'!T48)/1000</f>
        <v>-7.8512675222336545</v>
      </c>
      <c r="M185" s="2297">
        <f>('CF(Y)'!U45+'CF(Y)'!U46+'CF(Y)'!U47+'CF(Y)'!U48)/1000</f>
        <v>7.6107528104851081</v>
      </c>
      <c r="N185" s="2297">
        <f>('CF(Y)'!V45+'CF(Y)'!V46+'CF(Y)'!V47+'CF(Y)'!V48)/1000</f>
        <v>56.773325125059081</v>
      </c>
      <c r="P185" s="2295"/>
      <c r="Q185" s="2296"/>
      <c r="R185" s="2296"/>
      <c r="S185" s="2296"/>
      <c r="T185" s="2297"/>
    </row>
    <row r="186" spans="2:20" ht="12.75" thickBot="1">
      <c r="B186" s="2289" t="s">
        <v>1547</v>
      </c>
      <c r="C186" s="2304">
        <f ca="1">SUM(D186:N186)</f>
        <v>-115985.53477444092</v>
      </c>
      <c r="D186" s="2304">
        <f t="shared" ref="D186:N186" ca="1" si="27">SUM(D187:D200)</f>
        <v>311756.66963053204</v>
      </c>
      <c r="E186" s="2304">
        <f t="shared" ca="1" si="27"/>
        <v>-19396.669630532</v>
      </c>
      <c r="F186" s="2304">
        <f t="shared" ca="1" si="27"/>
        <v>-430</v>
      </c>
      <c r="G186" s="2304">
        <f t="shared" ca="1" si="27"/>
        <v>-5430</v>
      </c>
      <c r="H186" s="2305">
        <f t="shared" ca="1" si="27"/>
        <v>-5430</v>
      </c>
      <c r="I186" s="2305">
        <f t="shared" ca="1" si="27"/>
        <v>-5297.7855976807614</v>
      </c>
      <c r="J186" s="2305">
        <f t="shared" ca="1" si="27"/>
        <v>-5562.2144023192386</v>
      </c>
      <c r="K186" s="2305">
        <f t="shared" ca="1" si="27"/>
        <v>-5430</v>
      </c>
      <c r="L186" s="2305">
        <f t="shared" ca="1" si="27"/>
        <v>-5430</v>
      </c>
      <c r="M186" s="2305">
        <f t="shared" ca="1" si="27"/>
        <v>-5430</v>
      </c>
      <c r="N186" s="2305">
        <f t="shared" ca="1" si="27"/>
        <v>-369905.53477444098</v>
      </c>
      <c r="P186" s="2289"/>
      <c r="Q186" s="2290"/>
      <c r="R186" s="2290"/>
      <c r="S186" s="2290"/>
      <c r="T186" s="2291"/>
    </row>
    <row r="187" spans="2:20">
      <c r="B187" s="2292" t="s">
        <v>1593</v>
      </c>
      <c r="C187" s="2293">
        <f>SUM(D187:N187)</f>
        <v>0</v>
      </c>
      <c r="D187" s="2293">
        <f>('CF(Y)'!L88+'CF(Y)'!L89)/1000</f>
        <v>12856.669630531998</v>
      </c>
      <c r="E187" s="2293">
        <f>('CF(Y)'!M88+'CF(Y)'!M89)/1000</f>
        <v>-12856.669630531998</v>
      </c>
      <c r="F187" s="2293">
        <f>('CF(Y)'!N88+'CF(Y)'!N89)/1000</f>
        <v>0</v>
      </c>
      <c r="G187" s="2293">
        <f>('CF(Y)'!O88+'CF(Y)'!O89)/1000</f>
        <v>0</v>
      </c>
      <c r="H187" s="2294">
        <f>('CF(Y)'!P88+'CF(Y)'!P89)/1000</f>
        <v>0</v>
      </c>
      <c r="I187" s="2294">
        <f>('CF(Y)'!Q88+'CF(Y)'!Q89)/1000</f>
        <v>0</v>
      </c>
      <c r="J187" s="2294">
        <f>('CF(Y)'!R88+'CF(Y)'!R89)/1000</f>
        <v>0</v>
      </c>
      <c r="K187" s="2294">
        <f>('CF(Y)'!S88+'CF(Y)'!S89)/1000</f>
        <v>0</v>
      </c>
      <c r="L187" s="2294">
        <f>('CF(Y)'!T88+'CF(Y)'!T89)/1000</f>
        <v>0</v>
      </c>
      <c r="M187" s="2294">
        <f>('CF(Y)'!U88+'CF(Y)'!U89)/1000</f>
        <v>0</v>
      </c>
      <c r="N187" s="2294">
        <f>('CF(Y)'!V88+'CF(Y)'!V89)/1000</f>
        <v>0</v>
      </c>
      <c r="P187" s="2292"/>
      <c r="Q187" s="2293"/>
      <c r="R187" s="2293"/>
      <c r="S187" s="2293"/>
      <c r="T187" s="2294"/>
    </row>
    <row r="188" spans="2:20">
      <c r="B188" s="2295" t="s">
        <v>205</v>
      </c>
      <c r="C188" s="2296">
        <f>SUM(D188:N188)</f>
        <v>0</v>
      </c>
      <c r="D188" s="2296">
        <f>('CF(Y)'!L64+'CF(Y)'!L65)/1000</f>
        <v>2100</v>
      </c>
      <c r="E188" s="2296">
        <f>('CF(Y)'!M64+'CF(Y)'!M65)/1000</f>
        <v>0</v>
      </c>
      <c r="F188" s="2296">
        <f>('CF(Y)'!N64+'CF(Y)'!N65)/1000</f>
        <v>0</v>
      </c>
      <c r="G188" s="2296">
        <f>('CF(Y)'!O64+'CF(Y)'!O65)/1000</f>
        <v>0</v>
      </c>
      <c r="H188" s="2297">
        <f>('CF(Y)'!P64+'CF(Y)'!P65)/1000</f>
        <v>0</v>
      </c>
      <c r="I188" s="2297">
        <f>('CF(Y)'!Q64+'CF(Y)'!Q65)/1000</f>
        <v>0</v>
      </c>
      <c r="J188" s="2297">
        <f>('CF(Y)'!R64+'CF(Y)'!R65)/1000</f>
        <v>0</v>
      </c>
      <c r="K188" s="2297">
        <f>('CF(Y)'!S64+'CF(Y)'!S65)/1000</f>
        <v>0</v>
      </c>
      <c r="L188" s="2297">
        <f>('CF(Y)'!T64+'CF(Y)'!T65)/1000</f>
        <v>0</v>
      </c>
      <c r="M188" s="2297">
        <f>('CF(Y)'!U64+'CF(Y)'!U65)/1000</f>
        <v>0</v>
      </c>
      <c r="N188" s="2297">
        <f>('CF(Y)'!V64+'CF(Y)'!V65)/1000</f>
        <v>-2100</v>
      </c>
      <c r="P188" s="2295"/>
      <c r="Q188" s="2296"/>
      <c r="R188" s="2296"/>
      <c r="S188" s="2296"/>
      <c r="T188" s="2297"/>
    </row>
    <row r="189" spans="2:20">
      <c r="B189" s="2295" t="s">
        <v>1562</v>
      </c>
      <c r="C189" s="2296">
        <f t="shared" ref="C189:C200" si="28">SUM(D189:N189)</f>
        <v>0</v>
      </c>
      <c r="D189" s="2296">
        <f>('CF(Y)'!L67+'CF(Y)'!L68+'CF(Y)'!L70+'CF(Y)'!L71+'CF(Y)'!L73+'CF(Y)'!L74)/1000</f>
        <v>160000</v>
      </c>
      <c r="E189" s="2296">
        <f>('CF(Y)'!M67+'CF(Y)'!M68+'CF(Y)'!M70+'CF(Y)'!M71+'CF(Y)'!M73+'CF(Y)'!M74)/1000</f>
        <v>0</v>
      </c>
      <c r="F189" s="2296">
        <f>('CF(Y)'!N67+'CF(Y)'!N68+'CF(Y)'!N70+'CF(Y)'!N71+'CF(Y)'!N73+'CF(Y)'!N74)/1000</f>
        <v>53000</v>
      </c>
      <c r="G189" s="2296">
        <f>('CF(Y)'!O67+'CF(Y)'!O68+'CF(Y)'!O70+'CF(Y)'!O71+'CF(Y)'!O73+'CF(Y)'!O74)/1000</f>
        <v>0</v>
      </c>
      <c r="H189" s="2297">
        <f>('CF(Y)'!P67+'CF(Y)'!P68+'CF(Y)'!P70+'CF(Y)'!P71+'CF(Y)'!P73+'CF(Y)'!P74)/1000</f>
        <v>0</v>
      </c>
      <c r="I189" s="2297">
        <f>('CF(Y)'!Q67+'CF(Y)'!Q68+'CF(Y)'!Q70+'CF(Y)'!Q71+'CF(Y)'!Q73+'CF(Y)'!Q74)/1000</f>
        <v>0</v>
      </c>
      <c r="J189" s="2297">
        <f>('CF(Y)'!R67+'CF(Y)'!R68+'CF(Y)'!R70+'CF(Y)'!R71+'CF(Y)'!R73+'CF(Y)'!R74)/1000</f>
        <v>0</v>
      </c>
      <c r="K189" s="2297">
        <f>('CF(Y)'!S67+'CF(Y)'!S68+'CF(Y)'!S70+'CF(Y)'!S71+'CF(Y)'!S73+'CF(Y)'!S74)/1000</f>
        <v>0</v>
      </c>
      <c r="L189" s="2297">
        <f>('CF(Y)'!T67+'CF(Y)'!T68+'CF(Y)'!T70+'CF(Y)'!T71+'CF(Y)'!T73+'CF(Y)'!T74)/1000</f>
        <v>0</v>
      </c>
      <c r="M189" s="2297">
        <f>('CF(Y)'!U67+'CF(Y)'!U68+'CF(Y)'!U70+'CF(Y)'!U71+'CF(Y)'!U73+'CF(Y)'!U74)/1000</f>
        <v>0</v>
      </c>
      <c r="N189" s="2297">
        <f>('CF(Y)'!V67+'CF(Y)'!V68+'CF(Y)'!V70+'CF(Y)'!V71+'CF(Y)'!V73+'CF(Y)'!V74)/1000</f>
        <v>-213000</v>
      </c>
      <c r="P189" s="2295"/>
      <c r="Q189" s="2296"/>
      <c r="R189" s="2296"/>
      <c r="S189" s="2296"/>
      <c r="T189" s="2297"/>
    </row>
    <row r="190" spans="2:20">
      <c r="B190" s="2295" t="s">
        <v>1564</v>
      </c>
      <c r="C190" s="2296">
        <f t="shared" si="28"/>
        <v>0</v>
      </c>
      <c r="D190" s="2296">
        <f>('CF(Y)'!L76+'CF(Y)'!L77+'CF(Y)'!L79+'CF(Y)'!L80+'CF(Y)'!L82+'CF(Y)'!L83)/1000</f>
        <v>38000</v>
      </c>
      <c r="E190" s="2296">
        <f>('CF(Y)'!M76+'CF(Y)'!M77+'CF(Y)'!M79+'CF(Y)'!M80+'CF(Y)'!M82+'CF(Y)'!M83)/1000</f>
        <v>0</v>
      </c>
      <c r="F190" s="2296">
        <f>('CF(Y)'!N76+'CF(Y)'!N77+'CF(Y)'!N79+'CF(Y)'!N80+'CF(Y)'!N82+'CF(Y)'!N83)/1000</f>
        <v>-38000</v>
      </c>
      <c r="G190" s="2296">
        <f>('CF(Y)'!O76+'CF(Y)'!O77+'CF(Y)'!O79+'CF(Y)'!O80+'CF(Y)'!O82+'CF(Y)'!O83)/1000</f>
        <v>0</v>
      </c>
      <c r="H190" s="2297">
        <f>('CF(Y)'!P76+'CF(Y)'!P77+'CF(Y)'!P79+'CF(Y)'!P80+'CF(Y)'!P82+'CF(Y)'!P83)/1000</f>
        <v>0</v>
      </c>
      <c r="I190" s="2297">
        <f>('CF(Y)'!Q76+'CF(Y)'!Q77+'CF(Y)'!Q79+'CF(Y)'!Q80+'CF(Y)'!Q82+'CF(Y)'!Q83)/1000</f>
        <v>0</v>
      </c>
      <c r="J190" s="2297">
        <f>('CF(Y)'!R76+'CF(Y)'!R77+'CF(Y)'!R79+'CF(Y)'!R80+'CF(Y)'!R82+'CF(Y)'!R83)/1000</f>
        <v>0</v>
      </c>
      <c r="K190" s="2297">
        <f>('CF(Y)'!S76+'CF(Y)'!S77+'CF(Y)'!S79+'CF(Y)'!S80+'CF(Y)'!S82+'CF(Y)'!S83)/1000</f>
        <v>0</v>
      </c>
      <c r="L190" s="2297">
        <f>('CF(Y)'!T76+'CF(Y)'!T77+'CF(Y)'!T79+'CF(Y)'!T80+'CF(Y)'!T82+'CF(Y)'!T83)/1000</f>
        <v>0</v>
      </c>
      <c r="M190" s="2297">
        <f>('CF(Y)'!U76+'CF(Y)'!U77+'CF(Y)'!U79+'CF(Y)'!U80+'CF(Y)'!U82+'CF(Y)'!U83)/1000</f>
        <v>0</v>
      </c>
      <c r="N190" s="2297">
        <f>('CF(Y)'!V76+'CF(Y)'!V77+'CF(Y)'!V79+'CF(Y)'!V80+'CF(Y)'!V82+'CF(Y)'!V83)/1000</f>
        <v>0</v>
      </c>
      <c r="P190" s="2295"/>
      <c r="Q190" s="2296"/>
      <c r="R190" s="2296"/>
      <c r="S190" s="2296"/>
      <c r="T190" s="2297"/>
    </row>
    <row r="191" spans="2:20">
      <c r="B191" s="2295" t="s">
        <v>1565</v>
      </c>
      <c r="C191" s="2296">
        <f t="shared" si="28"/>
        <v>24000</v>
      </c>
      <c r="D191" s="2296">
        <f>('CF(Y)'!L91)/1000</f>
        <v>24000</v>
      </c>
      <c r="E191" s="2296">
        <f>('CF(Y)'!M91)/1000</f>
        <v>0</v>
      </c>
      <c r="F191" s="2296">
        <f>('CF(Y)'!N91)/1000</f>
        <v>0</v>
      </c>
      <c r="G191" s="2296">
        <f>('CF(Y)'!O91)/1000</f>
        <v>0</v>
      </c>
      <c r="H191" s="2297">
        <f>('CF(Y)'!P91)/1000</f>
        <v>0</v>
      </c>
      <c r="I191" s="2297">
        <f>('CF(Y)'!Q91)/1000</f>
        <v>0</v>
      </c>
      <c r="J191" s="2297">
        <f>('CF(Y)'!R91)/1000</f>
        <v>0</v>
      </c>
      <c r="K191" s="2297">
        <f>('CF(Y)'!S91)/1000</f>
        <v>0</v>
      </c>
      <c r="L191" s="2297">
        <f>('CF(Y)'!T91)/1000</f>
        <v>0</v>
      </c>
      <c r="M191" s="2297">
        <f>('CF(Y)'!U91)/1000</f>
        <v>0</v>
      </c>
      <c r="N191" s="2297">
        <f>('CF(Y)'!V91)/1000</f>
        <v>0</v>
      </c>
      <c r="P191" s="2295"/>
      <c r="Q191" s="2296"/>
      <c r="R191" s="2296"/>
      <c r="S191" s="2296"/>
      <c r="T191" s="2297"/>
    </row>
    <row r="192" spans="2:20">
      <c r="B192" s="2295" t="s">
        <v>1566</v>
      </c>
      <c r="C192" s="2296">
        <f t="shared" si="28"/>
        <v>50000</v>
      </c>
      <c r="D192" s="2296">
        <f>('CF(Y)'!L96)/1000</f>
        <v>50000</v>
      </c>
      <c r="E192" s="2296">
        <f>('CF(Y)'!M96)/1000</f>
        <v>0</v>
      </c>
      <c r="F192" s="2296">
        <f>('CF(Y)'!N96)/1000</f>
        <v>0</v>
      </c>
      <c r="G192" s="2296">
        <f>('CF(Y)'!O96)/1000</f>
        <v>0</v>
      </c>
      <c r="H192" s="2297">
        <f>('CF(Y)'!P96)/1000</f>
        <v>0</v>
      </c>
      <c r="I192" s="2297">
        <f>('CF(Y)'!Q96)/1000</f>
        <v>0</v>
      </c>
      <c r="J192" s="2297">
        <f>('CF(Y)'!R96)/1000</f>
        <v>0</v>
      </c>
      <c r="K192" s="2297">
        <f>('CF(Y)'!S96)/1000</f>
        <v>0</v>
      </c>
      <c r="L192" s="2297">
        <f>('CF(Y)'!T96)/1000</f>
        <v>0</v>
      </c>
      <c r="M192" s="2297">
        <f>('CF(Y)'!U96)/1000</f>
        <v>0</v>
      </c>
      <c r="N192" s="2297">
        <f>('CF(Y)'!V96)/1000</f>
        <v>0</v>
      </c>
      <c r="P192" s="2295"/>
      <c r="Q192" s="2296"/>
      <c r="R192" s="2296"/>
      <c r="S192" s="2296"/>
      <c r="T192" s="2297"/>
    </row>
    <row r="193" spans="1:20">
      <c r="B193" s="2295" t="s">
        <v>1567</v>
      </c>
      <c r="C193" s="2296">
        <f>SUM(D193:N193)</f>
        <v>0</v>
      </c>
      <c r="D193" s="2296">
        <f>('CF(Y)'!L101+'CF(Y)'!L102+'CF(Y)'!L103+'CF(Y)'!L104)/1000</f>
        <v>10000</v>
      </c>
      <c r="E193" s="2296">
        <f>('CF(Y)'!M101+'CF(Y)'!M102+'CF(Y)'!M103+'CF(Y)'!M104)/1000</f>
        <v>0</v>
      </c>
      <c r="F193" s="2296">
        <f>('CF(Y)'!N101+'CF(Y)'!N102+'CF(Y)'!N103+'CF(Y)'!N104)/1000</f>
        <v>-10000</v>
      </c>
      <c r="G193" s="2296">
        <f>('CF(Y)'!O101+'CF(Y)'!O102+'CF(Y)'!O103+'CF(Y)'!O104)/1000</f>
        <v>0</v>
      </c>
      <c r="H193" s="2297">
        <f>('CF(Y)'!P101+'CF(Y)'!P102+'CF(Y)'!P103+'CF(Y)'!P104)/1000</f>
        <v>0</v>
      </c>
      <c r="I193" s="2297">
        <f>('CF(Y)'!Q101+'CF(Y)'!Q102+'CF(Y)'!Q103+'CF(Y)'!Q104)/1000</f>
        <v>0</v>
      </c>
      <c r="J193" s="2297">
        <f>('CF(Y)'!R101+'CF(Y)'!R102+'CF(Y)'!R103+'CF(Y)'!R104)/1000</f>
        <v>0</v>
      </c>
      <c r="K193" s="2297">
        <f>('CF(Y)'!S101+'CF(Y)'!S102+'CF(Y)'!S103+'CF(Y)'!S104)/1000</f>
        <v>0</v>
      </c>
      <c r="L193" s="2297">
        <f>('CF(Y)'!T101+'CF(Y)'!T102+'CF(Y)'!T103+'CF(Y)'!T104)/1000</f>
        <v>0</v>
      </c>
      <c r="M193" s="2297">
        <f>('CF(Y)'!U101+'CF(Y)'!U102+'CF(Y)'!U103+'CF(Y)'!U104)/1000</f>
        <v>0</v>
      </c>
      <c r="N193" s="2297">
        <f>('CF(Y)'!V101+'CF(Y)'!V102+'CF(Y)'!V103+'CF(Y)'!V104)/1000</f>
        <v>0</v>
      </c>
      <c r="P193" s="2295"/>
      <c r="Q193" s="2296"/>
      <c r="R193" s="2296"/>
      <c r="S193" s="2296"/>
      <c r="T193" s="2297"/>
    </row>
    <row r="194" spans="1:20">
      <c r="B194" s="2295" t="s">
        <v>19</v>
      </c>
      <c r="C194" s="2296">
        <f t="shared" si="28"/>
        <v>14800</v>
      </c>
      <c r="D194" s="2296">
        <f>('CF(Y)'!L106)/1000</f>
        <v>14800</v>
      </c>
      <c r="E194" s="2296">
        <f>('CF(Y)'!M106)/1000</f>
        <v>0</v>
      </c>
      <c r="F194" s="2296">
        <f>('CF(Y)'!N106)/1000</f>
        <v>0</v>
      </c>
      <c r="G194" s="2296">
        <f>('CF(Y)'!O106)/1000</f>
        <v>0</v>
      </c>
      <c r="H194" s="2297">
        <f>('CF(Y)'!P106)/1000</f>
        <v>0</v>
      </c>
      <c r="I194" s="2297">
        <f>('CF(Y)'!Q106)/1000</f>
        <v>0</v>
      </c>
      <c r="J194" s="2297">
        <f>('CF(Y)'!R106)/1000</f>
        <v>0</v>
      </c>
      <c r="K194" s="2297">
        <f>('CF(Y)'!S106)/1000</f>
        <v>0</v>
      </c>
      <c r="L194" s="2297">
        <f>('CF(Y)'!T106)/1000</f>
        <v>0</v>
      </c>
      <c r="M194" s="2297">
        <f>('CF(Y)'!U106)/1000</f>
        <v>0</v>
      </c>
      <c r="N194" s="2297">
        <f>('CF(Y)'!V106)/1000</f>
        <v>0</v>
      </c>
      <c r="P194" s="2295"/>
      <c r="Q194" s="2296"/>
      <c r="R194" s="2296"/>
      <c r="S194" s="2296"/>
      <c r="T194" s="2297"/>
    </row>
    <row r="195" spans="1:20">
      <c r="B195" s="2295" t="s">
        <v>1548</v>
      </c>
      <c r="C195" s="2296">
        <f t="shared" ca="1" si="28"/>
        <v>-16800.000000000004</v>
      </c>
      <c r="D195" s="2296">
        <f ca="1">('CF(Y)'!L93)/1000</f>
        <v>0</v>
      </c>
      <c r="E195" s="2296">
        <f ca="1">('CF(Y)'!M93)/1000</f>
        <v>-1680.0000000000002</v>
      </c>
      <c r="F195" s="2296">
        <f ca="1">('CF(Y)'!N93)/1000</f>
        <v>-1680.0000000000002</v>
      </c>
      <c r="G195" s="2296">
        <f ca="1">('CF(Y)'!O93)/1000</f>
        <v>-1680.0000000000002</v>
      </c>
      <c r="H195" s="2297">
        <f ca="1">('CF(Y)'!P93)/1000</f>
        <v>-1680.0000000000002</v>
      </c>
      <c r="I195" s="2297">
        <f ca="1">('CF(Y)'!Q93)/1000</f>
        <v>-1680.0000000000002</v>
      </c>
      <c r="J195" s="2297">
        <f ca="1">('CF(Y)'!R93)/1000</f>
        <v>-1680.0000000000002</v>
      </c>
      <c r="K195" s="2297">
        <f ca="1">('CF(Y)'!S93)/1000</f>
        <v>-1680.0000000000002</v>
      </c>
      <c r="L195" s="2297">
        <f ca="1">('CF(Y)'!T93)/1000</f>
        <v>-1680.0000000000002</v>
      </c>
      <c r="M195" s="2297">
        <f ca="1">('CF(Y)'!U93)/1000</f>
        <v>-1680.0000000000002</v>
      </c>
      <c r="N195" s="2297">
        <f ca="1">('CF(Y)'!V93)/1000</f>
        <v>-1680.0000000000002</v>
      </c>
      <c r="P195" s="2295"/>
      <c r="Q195" s="2296"/>
      <c r="R195" s="2296"/>
      <c r="S195" s="2296"/>
      <c r="T195" s="2297"/>
    </row>
    <row r="196" spans="1:20">
      <c r="B196" s="2295" t="s">
        <v>1549</v>
      </c>
      <c r="C196" s="2296">
        <f t="shared" ca="1" si="28"/>
        <v>-37500</v>
      </c>
      <c r="D196" s="2296">
        <f ca="1">('CF(Y)'!L98)/1000</f>
        <v>0</v>
      </c>
      <c r="E196" s="2296">
        <f ca="1">('CF(Y)'!M98)/1000</f>
        <v>-3750</v>
      </c>
      <c r="F196" s="2296">
        <f ca="1">('CF(Y)'!N98)/1000</f>
        <v>-3750</v>
      </c>
      <c r="G196" s="2296">
        <f ca="1">('CF(Y)'!O98)/1000</f>
        <v>-3750</v>
      </c>
      <c r="H196" s="2297">
        <f ca="1">('CF(Y)'!P98)/1000</f>
        <v>-3750</v>
      </c>
      <c r="I196" s="2297">
        <f ca="1">('CF(Y)'!Q98)/1000</f>
        <v>-3617.7855976807614</v>
      </c>
      <c r="J196" s="2297">
        <f ca="1">('CF(Y)'!R98)/1000</f>
        <v>-3882.2144023192386</v>
      </c>
      <c r="K196" s="2297">
        <f ca="1">('CF(Y)'!S98)/1000</f>
        <v>-3750</v>
      </c>
      <c r="L196" s="2297">
        <f ca="1">('CF(Y)'!T98)/1000</f>
        <v>-3750</v>
      </c>
      <c r="M196" s="2297">
        <f ca="1">('CF(Y)'!U98)/1000</f>
        <v>-3750</v>
      </c>
      <c r="N196" s="2297">
        <f ca="1">('CF(Y)'!V98)/1000</f>
        <v>-3750</v>
      </c>
      <c r="P196" s="2295"/>
      <c r="Q196" s="2296"/>
      <c r="R196" s="2296"/>
      <c r="S196" s="2296"/>
      <c r="T196" s="2297"/>
    </row>
    <row r="197" spans="1:20">
      <c r="B197" s="2295" t="s">
        <v>1550</v>
      </c>
      <c r="C197" s="2296">
        <f t="shared" ca="1" si="28"/>
        <v>-1110</v>
      </c>
      <c r="D197" s="2296">
        <f ca="1">('CF(Y)'!L108)/1000</f>
        <v>0</v>
      </c>
      <c r="E197" s="2296">
        <f ca="1">('CF(Y)'!M108)/1000</f>
        <v>-1110</v>
      </c>
      <c r="F197" s="2296">
        <f ca="1">('CF(Y)'!N108)/1000</f>
        <v>0</v>
      </c>
      <c r="G197" s="2296">
        <f ca="1">('CF(Y)'!O108)/1000</f>
        <v>0</v>
      </c>
      <c r="H197" s="2297">
        <f ca="1">('CF(Y)'!P108)/1000</f>
        <v>0</v>
      </c>
      <c r="I197" s="2297">
        <f ca="1">('CF(Y)'!Q108)/1000</f>
        <v>0</v>
      </c>
      <c r="J197" s="2297">
        <f ca="1">('CF(Y)'!R108)/1000</f>
        <v>0</v>
      </c>
      <c r="K197" s="2297">
        <f ca="1">('CF(Y)'!S108)/1000</f>
        <v>0</v>
      </c>
      <c r="L197" s="2297">
        <f ca="1">('CF(Y)'!T108)/1000</f>
        <v>0</v>
      </c>
      <c r="M197" s="2297">
        <f ca="1">('CF(Y)'!U108)/1000</f>
        <v>0</v>
      </c>
      <c r="N197" s="2297">
        <f ca="1">('CF(Y)'!V108)/1000</f>
        <v>0</v>
      </c>
      <c r="P197" s="2295"/>
      <c r="Q197" s="2296"/>
      <c r="R197" s="2296"/>
      <c r="S197" s="2296"/>
      <c r="T197" s="2297"/>
    </row>
    <row r="198" spans="1:20">
      <c r="B198" s="2295" t="s">
        <v>1612</v>
      </c>
      <c r="C198" s="2296">
        <f t="shared" si="28"/>
        <v>-24000</v>
      </c>
      <c r="D198" s="2296">
        <f>('CF(Y)'!L92+'CF(Y)'!L94)/1000</f>
        <v>0</v>
      </c>
      <c r="E198" s="2296">
        <f>('CF(Y)'!M92+'CF(Y)'!M94)/1000</f>
        <v>0</v>
      </c>
      <c r="F198" s="2296">
        <f>('CF(Y)'!N92+'CF(Y)'!N94)/1000</f>
        <v>0</v>
      </c>
      <c r="G198" s="2296">
        <f>('CF(Y)'!O92+'CF(Y)'!O94)/1000</f>
        <v>0</v>
      </c>
      <c r="H198" s="2297">
        <f>('CF(Y)'!P92+'CF(Y)'!P94)/1000</f>
        <v>0</v>
      </c>
      <c r="I198" s="2297">
        <f>('CF(Y)'!Q92+'CF(Y)'!Q94)/1000</f>
        <v>0</v>
      </c>
      <c r="J198" s="2297">
        <f>('CF(Y)'!R92+'CF(Y)'!R94)/1000</f>
        <v>0</v>
      </c>
      <c r="K198" s="2297">
        <f>('CF(Y)'!S92+'CF(Y)'!S94)/1000</f>
        <v>0</v>
      </c>
      <c r="L198" s="2297">
        <f>('CF(Y)'!T92+'CF(Y)'!T94)/1000</f>
        <v>0</v>
      </c>
      <c r="M198" s="2297">
        <f>('CF(Y)'!U92+'CF(Y)'!U94)/1000</f>
        <v>0</v>
      </c>
      <c r="N198" s="2297">
        <f>('CF(Y)'!V92+'CF(Y)'!V94)/1000</f>
        <v>-24000</v>
      </c>
      <c r="P198" s="2295"/>
      <c r="Q198" s="2296"/>
      <c r="R198" s="2296"/>
      <c r="S198" s="2296"/>
      <c r="T198" s="2297"/>
    </row>
    <row r="199" spans="1:20">
      <c r="B199" s="2295" t="s">
        <v>1613</v>
      </c>
      <c r="C199" s="2296">
        <f t="shared" si="28"/>
        <v>-62115.106954888193</v>
      </c>
      <c r="D199" s="2296">
        <f>('CF(Y)'!L97+'CF(Y)'!L99)/1000</f>
        <v>0</v>
      </c>
      <c r="E199" s="2296">
        <f>('CF(Y)'!M97+'CF(Y)'!M99)/1000</f>
        <v>0</v>
      </c>
      <c r="F199" s="2296">
        <f>('CF(Y)'!N97+'CF(Y)'!N99)/1000</f>
        <v>0</v>
      </c>
      <c r="G199" s="2296">
        <f>('CF(Y)'!O97+'CF(Y)'!O99)/1000</f>
        <v>0</v>
      </c>
      <c r="H199" s="2297">
        <f>('CF(Y)'!P97+'CF(Y)'!P99)/1000</f>
        <v>0</v>
      </c>
      <c r="I199" s="2297">
        <f>('CF(Y)'!Q97+'CF(Y)'!Q99)/1000</f>
        <v>0</v>
      </c>
      <c r="J199" s="2297">
        <f>('CF(Y)'!R97+'CF(Y)'!R99)/1000</f>
        <v>0</v>
      </c>
      <c r="K199" s="2297">
        <f>('CF(Y)'!S97+'CF(Y)'!S99)/1000</f>
        <v>0</v>
      </c>
      <c r="L199" s="2297">
        <f>('CF(Y)'!T97+'CF(Y)'!T99)/1000</f>
        <v>0</v>
      </c>
      <c r="M199" s="2297">
        <f>('CF(Y)'!U97+'CF(Y)'!U99)/1000</f>
        <v>0</v>
      </c>
      <c r="N199" s="2297">
        <f>('CF(Y)'!V97+'CF(Y)'!V99)/1000</f>
        <v>-62115.106954888193</v>
      </c>
      <c r="P199" s="2295"/>
      <c r="Q199" s="2296"/>
      <c r="R199" s="2296"/>
      <c r="S199" s="2296"/>
      <c r="T199" s="2297"/>
    </row>
    <row r="200" spans="1:20" ht="12.75" thickBot="1">
      <c r="B200" s="2295" t="s">
        <v>1614</v>
      </c>
      <c r="C200" s="2296">
        <f t="shared" si="28"/>
        <v>-63260.427819552773</v>
      </c>
      <c r="D200" s="2296">
        <f>('CF(Y)'!L107+'CF(Y)'!L109)/1000</f>
        <v>0</v>
      </c>
      <c r="E200" s="2296">
        <f>('CF(Y)'!M107+'CF(Y)'!M109)/1000</f>
        <v>0</v>
      </c>
      <c r="F200" s="2296">
        <f>('CF(Y)'!N107+'CF(Y)'!N109)/1000</f>
        <v>0</v>
      </c>
      <c r="G200" s="2296">
        <f>('CF(Y)'!O107+'CF(Y)'!O109)/1000</f>
        <v>0</v>
      </c>
      <c r="H200" s="2297">
        <f>('CF(Y)'!P107+'CF(Y)'!P109)/1000</f>
        <v>0</v>
      </c>
      <c r="I200" s="2297">
        <f>('CF(Y)'!Q107+'CF(Y)'!Q109)/1000</f>
        <v>0</v>
      </c>
      <c r="J200" s="2297">
        <f>('CF(Y)'!R107+'CF(Y)'!R109)/1000</f>
        <v>0</v>
      </c>
      <c r="K200" s="2297">
        <f>('CF(Y)'!S107+'CF(Y)'!S109)/1000</f>
        <v>0</v>
      </c>
      <c r="L200" s="2297">
        <f>('CF(Y)'!T107+'CF(Y)'!T109)/1000</f>
        <v>0</v>
      </c>
      <c r="M200" s="2297">
        <f>('CF(Y)'!U107+'CF(Y)'!U109)/1000</f>
        <v>0</v>
      </c>
      <c r="N200" s="2297">
        <f>('CF(Y)'!V107+'CF(Y)'!V109)/1000</f>
        <v>-63260.427819552773</v>
      </c>
      <c r="P200" s="2295"/>
      <c r="Q200" s="2296"/>
      <c r="R200" s="2296"/>
      <c r="S200" s="2296"/>
      <c r="T200" s="2297"/>
    </row>
    <row r="201" spans="1:20" ht="12.75" thickBot="1">
      <c r="B201" s="2289" t="s">
        <v>1553</v>
      </c>
      <c r="C201" s="2304">
        <f ca="1">ROUND(N203-D202,0)</f>
        <v>0</v>
      </c>
      <c r="D201" s="2304">
        <f t="shared" ref="D201:N201" ca="1" si="29">D155+D181+D186</f>
        <v>10000.000000000116</v>
      </c>
      <c r="E201" s="2304">
        <f t="shared" ca="1" si="29"/>
        <v>-3804.1792955965047</v>
      </c>
      <c r="F201" s="2304">
        <f t="shared" ca="1" si="29"/>
        <v>2554.0911488969591</v>
      </c>
      <c r="G201" s="2304">
        <f t="shared" ca="1" si="29"/>
        <v>-7072.1798316380318</v>
      </c>
      <c r="H201" s="2305">
        <f t="shared" ca="1" si="29"/>
        <v>-1126.1913403480803</v>
      </c>
      <c r="I201" s="2305">
        <f t="shared" ca="1" si="29"/>
        <v>-551.54068131434724</v>
      </c>
      <c r="J201" s="2305">
        <f t="shared" ca="1" si="29"/>
        <v>256.64251114697254</v>
      </c>
      <c r="K201" s="2305">
        <f t="shared" ca="1" si="29"/>
        <v>852.16736988936646</v>
      </c>
      <c r="L201" s="2305">
        <f t="shared" ca="1" si="29"/>
        <v>430.40653867070068</v>
      </c>
      <c r="M201" s="2305">
        <f t="shared" ca="1" si="29"/>
        <v>1429.2894517888162</v>
      </c>
      <c r="N201" s="2305">
        <f t="shared" ca="1" si="29"/>
        <v>-2968.5058714958723</v>
      </c>
      <c r="P201" s="2289"/>
      <c r="Q201" s="2290"/>
      <c r="R201" s="2290"/>
      <c r="S201" s="2290"/>
      <c r="T201" s="2291"/>
    </row>
    <row r="202" spans="1:20" ht="12.75" thickBot="1">
      <c r="B202" s="2303" t="s">
        <v>1551</v>
      </c>
      <c r="C202" s="2304">
        <f ca="1">SUM(D202:N202)</f>
        <v>33048.179944068062</v>
      </c>
      <c r="D202" s="2304">
        <v>0</v>
      </c>
      <c r="E202" s="2304">
        <f t="shared" ref="E202:N202" ca="1" si="30">D203</f>
        <v>10000.000000000116</v>
      </c>
      <c r="F202" s="2304">
        <f t="shared" ca="1" si="30"/>
        <v>6195.8207044036117</v>
      </c>
      <c r="G202" s="2304">
        <f t="shared" ca="1" si="30"/>
        <v>8749.9118533005712</v>
      </c>
      <c r="H202" s="2305">
        <f t="shared" ca="1" si="30"/>
        <v>1677.7320216625394</v>
      </c>
      <c r="I202" s="2305">
        <f t="shared" ca="1" si="30"/>
        <v>551.54068131445911</v>
      </c>
      <c r="J202" s="2305">
        <f t="shared" ca="1" si="30"/>
        <v>1.1186784831807017E-10</v>
      </c>
      <c r="K202" s="2305">
        <f t="shared" ca="1" si="30"/>
        <v>256.64251114708441</v>
      </c>
      <c r="L202" s="2305">
        <f t="shared" ca="1" si="30"/>
        <v>1108.8098810364509</v>
      </c>
      <c r="M202" s="2305">
        <f t="shared" ca="1" si="30"/>
        <v>1539.2164197071515</v>
      </c>
      <c r="N202" s="2305">
        <f t="shared" ca="1" si="30"/>
        <v>2968.5058714959678</v>
      </c>
      <c r="P202" s="2303"/>
      <c r="Q202" s="2304"/>
      <c r="R202" s="2304"/>
      <c r="S202" s="2304"/>
      <c r="T202" s="2305"/>
    </row>
    <row r="203" spans="1:20" ht="12.75" thickBot="1">
      <c r="B203" s="2289" t="s">
        <v>1552</v>
      </c>
      <c r="C203" s="2304">
        <f ca="1">SUM(D203:N203)</f>
        <v>33048.179944068062</v>
      </c>
      <c r="D203" s="2304">
        <f t="shared" ref="D203:M203" ca="1" si="31">SUM(D201:D202)</f>
        <v>10000.000000000116</v>
      </c>
      <c r="E203" s="2304">
        <f t="shared" ca="1" si="31"/>
        <v>6195.8207044036117</v>
      </c>
      <c r="F203" s="2304">
        <f t="shared" ca="1" si="31"/>
        <v>8749.9118533005712</v>
      </c>
      <c r="G203" s="2304">
        <f t="shared" ca="1" si="31"/>
        <v>1677.7320216625394</v>
      </c>
      <c r="H203" s="2305">
        <f t="shared" ca="1" si="31"/>
        <v>551.54068131445911</v>
      </c>
      <c r="I203" s="2305">
        <f t="shared" ca="1" si="31"/>
        <v>1.1186784831807017E-10</v>
      </c>
      <c r="J203" s="2305">
        <f t="shared" ca="1" si="31"/>
        <v>256.64251114708441</v>
      </c>
      <c r="K203" s="2305">
        <f t="shared" ca="1" si="31"/>
        <v>1108.8098810364509</v>
      </c>
      <c r="L203" s="2305">
        <f t="shared" ca="1" si="31"/>
        <v>1539.2164197071515</v>
      </c>
      <c r="M203" s="2305">
        <f t="shared" ca="1" si="31"/>
        <v>2968.5058714959678</v>
      </c>
      <c r="N203" s="2305">
        <f ca="1">ROUND(SUM(N201:N202),0)</f>
        <v>0</v>
      </c>
      <c r="P203" s="2289"/>
      <c r="Q203" s="2290"/>
      <c r="R203" s="2290"/>
      <c r="S203" s="2290"/>
      <c r="T203" s="2291"/>
    </row>
    <row r="204" spans="1:20">
      <c r="C204" s="2306"/>
      <c r="D204" s="2306"/>
      <c r="E204" s="2306"/>
      <c r="F204" s="2306"/>
      <c r="G204" s="2306"/>
      <c r="H204" s="2306"/>
      <c r="I204" s="2306"/>
      <c r="J204" s="2306"/>
      <c r="K204" s="2306"/>
      <c r="L204" s="2306"/>
      <c r="M204" s="2306"/>
      <c r="N204" s="2306"/>
    </row>
    <row r="205" spans="1:20">
      <c r="C205" s="2306"/>
      <c r="D205" s="2306"/>
      <c r="E205" s="2306"/>
      <c r="F205" s="2306"/>
      <c r="G205" s="2306"/>
      <c r="H205" s="2306"/>
      <c r="I205" s="2306"/>
      <c r="J205" s="2306"/>
      <c r="K205" s="2306"/>
      <c r="L205" s="2306"/>
      <c r="M205" s="2306"/>
      <c r="N205" s="2306"/>
    </row>
    <row r="207" spans="1:20">
      <c r="A207" s="2234" t="s">
        <v>1554</v>
      </c>
    </row>
    <row r="208" spans="1:20">
      <c r="B208" s="2812" t="s">
        <v>1449</v>
      </c>
      <c r="C208" s="2814" t="s">
        <v>1460</v>
      </c>
      <c r="D208" s="2412" t="str">
        <f t="shared" ref="D208:N208" si="32">D153</f>
        <v>26.10</v>
      </c>
      <c r="E208" s="2412" t="str">
        <f t="shared" si="32"/>
        <v>27.10</v>
      </c>
      <c r="F208" s="2412" t="str">
        <f t="shared" si="32"/>
        <v>28.10</v>
      </c>
      <c r="G208" s="2412" t="str">
        <f t="shared" si="32"/>
        <v>29.10</v>
      </c>
      <c r="H208" s="2412" t="str">
        <f t="shared" si="32"/>
        <v>30.10</v>
      </c>
      <c r="I208" s="2412" t="str">
        <f t="shared" si="32"/>
        <v>31.10</v>
      </c>
      <c r="J208" s="2412" t="str">
        <f t="shared" si="32"/>
        <v>32.10</v>
      </c>
      <c r="K208" s="2412" t="str">
        <f t="shared" si="32"/>
        <v>33.10</v>
      </c>
      <c r="L208" s="2412" t="str">
        <f t="shared" si="32"/>
        <v>34.10</v>
      </c>
      <c r="M208" s="2412" t="str">
        <f t="shared" si="32"/>
        <v>35.10</v>
      </c>
      <c r="N208" s="2413" t="str">
        <f t="shared" si="32"/>
        <v>36.10</v>
      </c>
    </row>
    <row r="209" spans="2:15" ht="12.75" thickBot="1">
      <c r="B209" s="2813"/>
      <c r="C209" s="2815"/>
      <c r="D209" s="2285" t="str">
        <f t="shared" ref="D209:N209" si="33">D154</f>
        <v>투자일</v>
      </c>
      <c r="E209" s="2285">
        <f t="shared" si="33"/>
        <v>1</v>
      </c>
      <c r="F209" s="2285">
        <f t="shared" si="33"/>
        <v>2</v>
      </c>
      <c r="G209" s="2285">
        <f t="shared" si="33"/>
        <v>3</v>
      </c>
      <c r="H209" s="2285">
        <f t="shared" si="33"/>
        <v>4</v>
      </c>
      <c r="I209" s="2285">
        <f t="shared" si="33"/>
        <v>5</v>
      </c>
      <c r="J209" s="2285">
        <f t="shared" si="33"/>
        <v>6</v>
      </c>
      <c r="K209" s="2285">
        <f t="shared" si="33"/>
        <v>7</v>
      </c>
      <c r="L209" s="2285">
        <f t="shared" si="33"/>
        <v>8</v>
      </c>
      <c r="M209" s="2285">
        <f t="shared" si="33"/>
        <v>9</v>
      </c>
      <c r="N209" s="2286">
        <f t="shared" si="33"/>
        <v>10</v>
      </c>
    </row>
    <row r="210" spans="2:15">
      <c r="B210" s="2292" t="s">
        <v>1555</v>
      </c>
      <c r="C210" s="2293"/>
      <c r="D210" s="2293">
        <f ca="1">'BS(FY)'!K11/1000</f>
        <v>10000</v>
      </c>
      <c r="E210" s="2293">
        <f ca="1">'BS(FY)'!M11/1000</f>
        <v>6195.8207044034934</v>
      </c>
      <c r="F210" s="2293">
        <f ca="1">'BS(FY)'!O11/1000</f>
        <v>8749.9118533004548</v>
      </c>
      <c r="G210" s="2293">
        <f ca="1">'BS(FY)'!Q11/1000</f>
        <v>1677.7320216624196</v>
      </c>
      <c r="H210" s="2293">
        <f ca="1">'BS(FY)'!S11/1000</f>
        <v>551.54068131434076</v>
      </c>
      <c r="I210" s="2293">
        <f ca="1">'BS(FY)'!U11/1000</f>
        <v>0</v>
      </c>
      <c r="J210" s="2293">
        <f ca="1">'BS(FY)'!W11/1000</f>
        <v>256.64251114697475</v>
      </c>
      <c r="K210" s="2293">
        <f ca="1">'BS(FY)'!Y11/1000</f>
        <v>1108.8098810363431</v>
      </c>
      <c r="L210" s="2293">
        <f ca="1">'BS(FY)'!AA11/1000</f>
        <v>1539.216419707044</v>
      </c>
      <c r="M210" s="2293">
        <f ca="1">'BS(FY)'!AC11/1000</f>
        <v>2968.5058714958564</v>
      </c>
      <c r="N210" s="2294">
        <f ca="1">ROUND('BS(FY)'!AE11/1000,0)</f>
        <v>0</v>
      </c>
    </row>
    <row r="211" spans="2:15">
      <c r="B211" s="2295" t="s">
        <v>1615</v>
      </c>
      <c r="C211" s="2296"/>
      <c r="D211" s="2296">
        <f>'BS(FY)'!K12/1000</f>
        <v>12856.669630531998</v>
      </c>
      <c r="E211" s="2296">
        <f>'BS(FY)'!M12/1000</f>
        <v>56.176470635715539</v>
      </c>
      <c r="F211" s="2296">
        <f>'BS(FY)'!O12/1000</f>
        <v>56.197924427994352</v>
      </c>
      <c r="G211" s="2296">
        <f>'BS(FY)'!Q12/1000</f>
        <v>63.07437974233563</v>
      </c>
      <c r="H211" s="2296">
        <f>'BS(FY)'!S12/1000</f>
        <v>56.286323466105578</v>
      </c>
      <c r="I211" s="2296">
        <f>'BS(FY)'!U12/1000</f>
        <v>56.353284005817287</v>
      </c>
      <c r="J211" s="2296">
        <f>'BS(FY)'!W12/1000</f>
        <v>56.43543876593327</v>
      </c>
      <c r="K211" s="2296">
        <f>'BS(FY)'!Y12/1000</f>
        <v>56.532810413310848</v>
      </c>
      <c r="L211" s="2296">
        <f>'BS(FY)'!AA12/1000</f>
        <v>64.384077935544951</v>
      </c>
      <c r="M211" s="2296">
        <f>'BS(FY)'!AC12/1000</f>
        <v>56.773325125059102</v>
      </c>
      <c r="N211" s="2297">
        <f>'BS(FY)'!AE12/1000</f>
        <v>0</v>
      </c>
    </row>
    <row r="212" spans="2:15" hidden="1">
      <c r="B212" s="2295" t="s">
        <v>237</v>
      </c>
      <c r="C212" s="2296"/>
      <c r="D212" s="2296">
        <f>'BS(FY)'!K13/1000</f>
        <v>0</v>
      </c>
      <c r="E212" s="2296">
        <f>'BS(FY)'!M13/1000</f>
        <v>0</v>
      </c>
      <c r="F212" s="2296">
        <f>'BS(FY)'!O13/1000</f>
        <v>0</v>
      </c>
      <c r="G212" s="2296">
        <f>'BS(FY)'!Q13/1000</f>
        <v>0</v>
      </c>
      <c r="H212" s="2296">
        <f>'BS(FY)'!S13/1000</f>
        <v>0</v>
      </c>
      <c r="I212" s="2296">
        <f>'BS(FY)'!U13/1000</f>
        <v>0</v>
      </c>
      <c r="J212" s="2296">
        <f>'BS(FY)'!W13/1000</f>
        <v>0</v>
      </c>
      <c r="K212" s="2296">
        <f>'BS(FY)'!Y13/1000</f>
        <v>0</v>
      </c>
      <c r="L212" s="2296">
        <f>'BS(FY)'!AA13/1000</f>
        <v>0</v>
      </c>
      <c r="M212" s="2296">
        <f>'BS(FY)'!AC13/1000</f>
        <v>0</v>
      </c>
      <c r="N212" s="2297">
        <f>'BS(FY)'!AE13/1000</f>
        <v>0</v>
      </c>
    </row>
    <row r="213" spans="2:15" hidden="1">
      <c r="B213" s="2295" t="s">
        <v>238</v>
      </c>
      <c r="C213" s="2296"/>
      <c r="D213" s="2296">
        <f ca="1">'BS(FY)'!K14/1000</f>
        <v>0</v>
      </c>
      <c r="E213" s="2296">
        <f ca="1">'BS(FY)'!M14/1000</f>
        <v>-1.0186340659856796E-13</v>
      </c>
      <c r="F213" s="2296">
        <f ca="1">'BS(FY)'!O14/1000</f>
        <v>-7.2759576141834261E-14</v>
      </c>
      <c r="G213" s="2296">
        <f ca="1">'BS(FY)'!Q14/1000</f>
        <v>-1.3096723705530166E-13</v>
      </c>
      <c r="H213" s="2296">
        <f ca="1">'BS(FY)'!S14/1000</f>
        <v>-1.0186340659856796E-13</v>
      </c>
      <c r="I213" s="2296">
        <f ca="1">'BS(FY)'!U14/1000</f>
        <v>0</v>
      </c>
      <c r="J213" s="2296">
        <f ca="1">'BS(FY)'!W14/1000</f>
        <v>-7.2759576141834261E-14</v>
      </c>
      <c r="K213" s="2296">
        <f ca="1">'BS(FY)'!Y14/1000</f>
        <v>0</v>
      </c>
      <c r="L213" s="2296">
        <f ca="1">'BS(FY)'!AA14/1000</f>
        <v>0</v>
      </c>
      <c r="M213" s="2296">
        <f ca="1">'BS(FY)'!AC14/1000</f>
        <v>1.1641532182693482E-13</v>
      </c>
      <c r="N213" s="2297">
        <f ca="1">ROUND('BS(FY)'!AE14/1000,0)</f>
        <v>0</v>
      </c>
    </row>
    <row r="214" spans="2:15">
      <c r="B214" s="2295" t="s">
        <v>240</v>
      </c>
      <c r="C214" s="2296"/>
      <c r="D214" s="2296">
        <f>'BS(FY)'!K16/1000</f>
        <v>152192.51999999999</v>
      </c>
      <c r="E214" s="2296">
        <f>'BS(FY)'!M16/1000</f>
        <v>152192.51999999999</v>
      </c>
      <c r="F214" s="2296">
        <f>'BS(FY)'!O16/1000</f>
        <v>152192.51999999999</v>
      </c>
      <c r="G214" s="2296">
        <f>'BS(FY)'!Q16/1000</f>
        <v>152192.51999999999</v>
      </c>
      <c r="H214" s="2296">
        <f>'BS(FY)'!S16/1000</f>
        <v>152192.51999999999</v>
      </c>
      <c r="I214" s="2296">
        <f>'BS(FY)'!U16/1000</f>
        <v>152192.51999999999</v>
      </c>
      <c r="J214" s="2296">
        <f>'BS(FY)'!W16/1000</f>
        <v>152192.51999999999</v>
      </c>
      <c r="K214" s="2296">
        <f>'BS(FY)'!Y16/1000</f>
        <v>152192.51999999999</v>
      </c>
      <c r="L214" s="2296">
        <f>'BS(FY)'!AA16/1000</f>
        <v>152192.51999999999</v>
      </c>
      <c r="M214" s="2296">
        <f>'BS(FY)'!AC16/1000</f>
        <v>152192.51999999999</v>
      </c>
      <c r="N214" s="2297">
        <f>'BS(FY)'!AE16/1000</f>
        <v>0</v>
      </c>
    </row>
    <row r="215" spans="2:15">
      <c r="B215" s="2295" t="s">
        <v>241</v>
      </c>
      <c r="C215" s="2296"/>
      <c r="D215" s="2296">
        <f>'BS(FY)'!K17/1000</f>
        <v>136707.48000000001</v>
      </c>
      <c r="E215" s="2296">
        <f>'BS(FY)'!M17/1000</f>
        <v>136707.48000000001</v>
      </c>
      <c r="F215" s="2296">
        <f>'BS(FY)'!O17/1000</f>
        <v>136707.48000000001</v>
      </c>
      <c r="G215" s="2296">
        <f>'BS(FY)'!Q17/1000</f>
        <v>136707.48000000001</v>
      </c>
      <c r="H215" s="2296">
        <f>'BS(FY)'!S17/1000</f>
        <v>136707.48000000001</v>
      </c>
      <c r="I215" s="2296">
        <f>'BS(FY)'!U17/1000</f>
        <v>136707.48000000001</v>
      </c>
      <c r="J215" s="2296">
        <f>'BS(FY)'!W17/1000</f>
        <v>136707.48000000001</v>
      </c>
      <c r="K215" s="2296">
        <f>'BS(FY)'!Y17/1000</f>
        <v>136707.48000000001</v>
      </c>
      <c r="L215" s="2296">
        <f>'BS(FY)'!AA17/1000</f>
        <v>136707.48000000001</v>
      </c>
      <c r="M215" s="2296">
        <f>'BS(FY)'!AC17/1000</f>
        <v>136707.48000000001</v>
      </c>
      <c r="N215" s="2297">
        <f>'BS(FY)'!AE17/1000</f>
        <v>0</v>
      </c>
    </row>
    <row r="216" spans="2:15" ht="12.75" thickBot="1">
      <c r="B216" s="2295" t="s">
        <v>517</v>
      </c>
      <c r="C216" s="2296"/>
      <c r="D216" s="2296">
        <f>'BS(FY)'!K18/1000</f>
        <v>0</v>
      </c>
      <c r="E216" s="2296">
        <f>'BS(FY)'!M18/1000</f>
        <v>-3417.6869999999999</v>
      </c>
      <c r="F216" s="2296">
        <f>'BS(FY)'!O18/1000</f>
        <v>-6835.3739999999998</v>
      </c>
      <c r="G216" s="2296">
        <f>'BS(FY)'!Q18/1000</f>
        <v>-10253.061</v>
      </c>
      <c r="H216" s="2296">
        <f>'BS(FY)'!S18/1000</f>
        <v>-13670.748</v>
      </c>
      <c r="I216" s="2296">
        <f>'BS(FY)'!U18/1000</f>
        <v>-17088.435000000001</v>
      </c>
      <c r="J216" s="2296">
        <f>'BS(FY)'!W18/1000</f>
        <v>-20506.121999999999</v>
      </c>
      <c r="K216" s="2296">
        <f>'BS(FY)'!Y18/1000</f>
        <v>-23923.809000000001</v>
      </c>
      <c r="L216" s="2296">
        <f>'BS(FY)'!AA18/1000</f>
        <v>-27341.495999999999</v>
      </c>
      <c r="M216" s="2296">
        <f>'BS(FY)'!AC18/1000</f>
        <v>-30759.183000000001</v>
      </c>
      <c r="N216" s="2297">
        <f>'BS(FY)'!AE18/1000</f>
        <v>0</v>
      </c>
    </row>
    <row r="217" spans="2:15" ht="12.75" thickBot="1">
      <c r="B217" s="2289" t="s">
        <v>1556</v>
      </c>
      <c r="C217" s="2290"/>
      <c r="D217" s="2290">
        <f t="shared" ref="D217:M217" ca="1" si="34">SUM(D210:D216)</f>
        <v>311756.66963053204</v>
      </c>
      <c r="E217" s="2290">
        <f t="shared" ca="1" si="34"/>
        <v>291734.31017503922</v>
      </c>
      <c r="F217" s="2290">
        <f t="shared" ca="1" si="34"/>
        <v>290870.73577772843</v>
      </c>
      <c r="G217" s="2290">
        <f t="shared" ca="1" si="34"/>
        <v>280387.7454014048</v>
      </c>
      <c r="H217" s="2290">
        <f t="shared" ca="1" si="34"/>
        <v>275837.07900478039</v>
      </c>
      <c r="I217" s="2290">
        <f t="shared" ca="1" si="34"/>
        <v>271867.91828400578</v>
      </c>
      <c r="J217" s="2290">
        <f t="shared" ca="1" si="34"/>
        <v>268706.9559499129</v>
      </c>
      <c r="K217" s="2290">
        <f t="shared" ca="1" si="34"/>
        <v>266141.53369144967</v>
      </c>
      <c r="L217" s="2290">
        <f t="shared" ca="1" si="34"/>
        <v>263162.10449764261</v>
      </c>
      <c r="M217" s="2290">
        <f t="shared" ca="1" si="34"/>
        <v>261166.09619662093</v>
      </c>
      <c r="N217" s="2291">
        <f ca="1">ROUND(SUM(N210:N216),0)</f>
        <v>0</v>
      </c>
    </row>
    <row r="218" spans="2:15">
      <c r="B218" s="2295" t="s">
        <v>1593</v>
      </c>
      <c r="C218" s="2296"/>
      <c r="D218" s="2296">
        <f>'BS(FY)'!K22/1000</f>
        <v>12856.669630531998</v>
      </c>
      <c r="E218" s="2296">
        <f>'BS(FY)'!M22/1000</f>
        <v>0</v>
      </c>
      <c r="F218" s="2296">
        <f>'BS(FY)'!O22/1000</f>
        <v>0</v>
      </c>
      <c r="G218" s="2296">
        <f>'BS(FY)'!Q22/1000</f>
        <v>0</v>
      </c>
      <c r="H218" s="2296">
        <f>'BS(FY)'!S22/1000</f>
        <v>0</v>
      </c>
      <c r="I218" s="2296">
        <f>'BS(FY)'!U22/1000</f>
        <v>0</v>
      </c>
      <c r="J218" s="2296">
        <f>'BS(FY)'!W22/1000</f>
        <v>0</v>
      </c>
      <c r="K218" s="2296">
        <f>'BS(FY)'!Y22/1000</f>
        <v>0</v>
      </c>
      <c r="L218" s="2296">
        <f>'BS(FY)'!AA22/1000</f>
        <v>0</v>
      </c>
      <c r="M218" s="2296">
        <f>'BS(FY)'!AC22/1000</f>
        <v>0</v>
      </c>
      <c r="N218" s="2297">
        <f>'BS(FY)'!AE22/1000</f>
        <v>0</v>
      </c>
    </row>
    <row r="219" spans="2:15" hidden="1">
      <c r="B219" s="2295" t="s">
        <v>569</v>
      </c>
      <c r="C219" s="2296"/>
      <c r="D219" s="2296">
        <f>'BS(FY)'!K23/1000</f>
        <v>0</v>
      </c>
      <c r="E219" s="2296">
        <f>'BS(FY)'!M23/1000</f>
        <v>0</v>
      </c>
      <c r="F219" s="2296">
        <f>'BS(FY)'!O23/1000</f>
        <v>0</v>
      </c>
      <c r="G219" s="2296">
        <f>'BS(FY)'!Q23/1000</f>
        <v>0</v>
      </c>
      <c r="H219" s="2296">
        <f>'BS(FY)'!S23/1000</f>
        <v>0</v>
      </c>
      <c r="I219" s="2296">
        <f>'BS(FY)'!U23/1000</f>
        <v>0</v>
      </c>
      <c r="J219" s="2296">
        <f>'BS(FY)'!W23/1000</f>
        <v>0</v>
      </c>
      <c r="K219" s="2296">
        <f>'BS(FY)'!Y23/1000</f>
        <v>0</v>
      </c>
      <c r="L219" s="2296">
        <f>'BS(FY)'!AA23/1000</f>
        <v>0</v>
      </c>
      <c r="M219" s="2296">
        <f>'BS(FY)'!AC23/1000</f>
        <v>0</v>
      </c>
      <c r="N219" s="2297">
        <f>'BS(FY)'!AE23/1000</f>
        <v>0</v>
      </c>
    </row>
    <row r="220" spans="2:15">
      <c r="B220" s="2295" t="s">
        <v>570</v>
      </c>
      <c r="C220" s="2296"/>
      <c r="D220" s="2296">
        <f>'BS(FY)'!K24/1000</f>
        <v>0</v>
      </c>
      <c r="E220" s="2296">
        <f>'BS(FY)'!M24/1000</f>
        <v>191.94920666666667</v>
      </c>
      <c r="F220" s="2296">
        <f>'BS(FY)'!O24/1000</f>
        <v>194.63845765833329</v>
      </c>
      <c r="G220" s="2296">
        <f>'BS(FY)'!Q24/1000</f>
        <v>197.39873966695833</v>
      </c>
      <c r="H220" s="2296">
        <f>'BS(FY)'!S24/1000</f>
        <v>200.23121462292397</v>
      </c>
      <c r="I220" s="2296">
        <f>'BS(FY)'!U24/1000</f>
        <v>203.13707157556948</v>
      </c>
      <c r="J220" s="2296">
        <f>'BS(FY)'!W24/1000</f>
        <v>206.11752717736519</v>
      </c>
      <c r="K220" s="2296">
        <f>'BS(FY)'!Y24/1000</f>
        <v>209.17382617864243</v>
      </c>
      <c r="L220" s="2296">
        <f>'BS(FY)'!AA24/1000</f>
        <v>212.30724193307933</v>
      </c>
      <c r="M220" s="2296">
        <f>'BS(FY)'!AC24/1000</f>
        <v>215.519076914142</v>
      </c>
      <c r="N220" s="2297">
        <f>'BS(FY)'!AE24/1000</f>
        <v>0</v>
      </c>
    </row>
    <row r="221" spans="2:15">
      <c r="B221" s="2295" t="s">
        <v>205</v>
      </c>
      <c r="C221" s="2296"/>
      <c r="D221" s="2296">
        <f>'BS(FY)'!K26/1000</f>
        <v>2100</v>
      </c>
      <c r="E221" s="2296">
        <f>'BS(FY)'!M26/1000</f>
        <v>2100</v>
      </c>
      <c r="F221" s="2296">
        <f>'BS(FY)'!O26/1000</f>
        <v>2100</v>
      </c>
      <c r="G221" s="2296">
        <f>'BS(FY)'!Q26/1000</f>
        <v>2100</v>
      </c>
      <c r="H221" s="2296">
        <f>'BS(FY)'!S26/1000</f>
        <v>2100</v>
      </c>
      <c r="I221" s="2296">
        <f>'BS(FY)'!U26/1000</f>
        <v>2100</v>
      </c>
      <c r="J221" s="2296">
        <f>'BS(FY)'!W26/1000</f>
        <v>2100</v>
      </c>
      <c r="K221" s="2296">
        <f>'BS(FY)'!Y26/1000</f>
        <v>2100</v>
      </c>
      <c r="L221" s="2296">
        <f>'BS(FY)'!AA26/1000</f>
        <v>2100</v>
      </c>
      <c r="M221" s="2296">
        <f>'BS(FY)'!AC26/1000</f>
        <v>2100</v>
      </c>
      <c r="N221" s="2297">
        <f>'BS(FY)'!AE26/1000</f>
        <v>0</v>
      </c>
    </row>
    <row r="222" spans="2:15" ht="12.75" thickBot="1">
      <c r="B222" s="2295" t="s">
        <v>1616</v>
      </c>
      <c r="C222" s="2296"/>
      <c r="D222" s="2296">
        <f>'BS(FY)'!K28/1000</f>
        <v>198000</v>
      </c>
      <c r="E222" s="2296">
        <f>'BS(FY)'!M28/1000</f>
        <v>198000</v>
      </c>
      <c r="F222" s="2296">
        <f>'BS(FY)'!O28/1000</f>
        <v>213000</v>
      </c>
      <c r="G222" s="2296">
        <f>'BS(FY)'!Q28/1000</f>
        <v>213000</v>
      </c>
      <c r="H222" s="2296">
        <f>'BS(FY)'!S28/1000</f>
        <v>213000</v>
      </c>
      <c r="I222" s="2296">
        <f>'BS(FY)'!U28/1000</f>
        <v>213000</v>
      </c>
      <c r="J222" s="2296">
        <f>'BS(FY)'!W28/1000</f>
        <v>213000</v>
      </c>
      <c r="K222" s="2296">
        <f>'BS(FY)'!Y28/1000</f>
        <v>213000</v>
      </c>
      <c r="L222" s="2296">
        <f>'BS(FY)'!AA28/1000</f>
        <v>213000</v>
      </c>
      <c r="M222" s="2296">
        <f>'BS(FY)'!AC28/1000</f>
        <v>213000</v>
      </c>
      <c r="N222" s="2297">
        <f>'BS(FY)'!AE28/1000</f>
        <v>0</v>
      </c>
      <c r="O222" s="2270">
        <f>AVERAGE(D222:M222)</f>
        <v>210000</v>
      </c>
    </row>
    <row r="223" spans="2:15" ht="12.75" hidden="1" thickBot="1">
      <c r="B223" s="2295" t="s">
        <v>606</v>
      </c>
      <c r="C223" s="2296"/>
      <c r="D223" s="2296">
        <f>'BS(FY)'!K27/1000</f>
        <v>0</v>
      </c>
      <c r="E223" s="2296">
        <f>'BS(FY)'!M27/1000</f>
        <v>0</v>
      </c>
      <c r="F223" s="2296">
        <f>'BS(FY)'!O27/1000</f>
        <v>0</v>
      </c>
      <c r="G223" s="2296">
        <f>'BS(FY)'!Q27/1000</f>
        <v>0</v>
      </c>
      <c r="H223" s="2296">
        <f>'BS(FY)'!S27/1000</f>
        <v>0</v>
      </c>
      <c r="I223" s="2296">
        <f>'BS(FY)'!U27/1000</f>
        <v>0</v>
      </c>
      <c r="J223" s="2296">
        <f>'BS(FY)'!W27/1000</f>
        <v>0</v>
      </c>
      <c r="K223" s="2296">
        <f>'BS(FY)'!Y27/1000</f>
        <v>0</v>
      </c>
      <c r="L223" s="2296">
        <f>'BS(FY)'!AA27/1000</f>
        <v>0</v>
      </c>
      <c r="M223" s="2296">
        <f>'BS(FY)'!AC27/1000</f>
        <v>0</v>
      </c>
      <c r="N223" s="2297">
        <f>'BS(FY)'!AE27/1000</f>
        <v>0</v>
      </c>
    </row>
    <row r="224" spans="2:15" ht="12.75" thickBot="1">
      <c r="B224" s="2289" t="s">
        <v>1557</v>
      </c>
      <c r="C224" s="2290"/>
      <c r="D224" s="2290">
        <f t="shared" ref="D224:N224" si="35">SUM(D218:D223)</f>
        <v>212956.66963053201</v>
      </c>
      <c r="E224" s="2290">
        <f t="shared" si="35"/>
        <v>200291.94920666667</v>
      </c>
      <c r="F224" s="2290">
        <f t="shared" si="35"/>
        <v>215294.63845765832</v>
      </c>
      <c r="G224" s="2290">
        <f t="shared" si="35"/>
        <v>215297.39873966697</v>
      </c>
      <c r="H224" s="2290">
        <f t="shared" si="35"/>
        <v>215300.23121462294</v>
      </c>
      <c r="I224" s="2290">
        <f t="shared" si="35"/>
        <v>215303.13707157556</v>
      </c>
      <c r="J224" s="2290">
        <f t="shared" si="35"/>
        <v>215306.11752717735</v>
      </c>
      <c r="K224" s="2290">
        <f t="shared" si="35"/>
        <v>215309.17382617865</v>
      </c>
      <c r="L224" s="2290">
        <f t="shared" si="35"/>
        <v>215312.30724193307</v>
      </c>
      <c r="M224" s="2290">
        <f t="shared" si="35"/>
        <v>215315.51907691415</v>
      </c>
      <c r="N224" s="2291">
        <f t="shared" si="35"/>
        <v>0</v>
      </c>
    </row>
    <row r="225" spans="2:14">
      <c r="B225" s="2295" t="s">
        <v>543</v>
      </c>
      <c r="C225" s="2296"/>
      <c r="D225" s="2296">
        <f>'BS(FY)'!K31/1000</f>
        <v>6320</v>
      </c>
      <c r="E225" s="2296">
        <f>'BS(FY)'!M31/1000</f>
        <v>6320</v>
      </c>
      <c r="F225" s="2296">
        <f>'BS(FY)'!O31/1000</f>
        <v>5920</v>
      </c>
      <c r="G225" s="2296">
        <f>'BS(FY)'!Q31/1000</f>
        <v>5920</v>
      </c>
      <c r="H225" s="2296">
        <f>'BS(FY)'!S31/1000</f>
        <v>5920</v>
      </c>
      <c r="I225" s="2296">
        <f>'BS(FY)'!U31/1000</f>
        <v>5920</v>
      </c>
      <c r="J225" s="2296">
        <f>'BS(FY)'!W31/1000</f>
        <v>5920</v>
      </c>
      <c r="K225" s="2296">
        <f>'BS(FY)'!Y31/1000</f>
        <v>5920</v>
      </c>
      <c r="L225" s="2296">
        <f>'BS(FY)'!AA31/1000</f>
        <v>5920</v>
      </c>
      <c r="M225" s="2296">
        <f>'BS(FY)'!AC31/1000</f>
        <v>5920</v>
      </c>
      <c r="N225" s="2297">
        <f>'BS(FY)'!AE31/1000</f>
        <v>0</v>
      </c>
    </row>
    <row r="226" spans="2:14">
      <c r="B226" s="2295" t="s">
        <v>545</v>
      </c>
      <c r="C226" s="2296"/>
      <c r="D226" s="2296">
        <f>'BS(FY)'!K32/1000</f>
        <v>92480</v>
      </c>
      <c r="E226" s="2296">
        <f>'BS(FY)'!M32/1000</f>
        <v>92480</v>
      </c>
      <c r="F226" s="2296">
        <f>'BS(FY)'!O32/1000</f>
        <v>82880</v>
      </c>
      <c r="G226" s="2296">
        <f>'BS(FY)'!Q32/1000</f>
        <v>82880</v>
      </c>
      <c r="H226" s="2296">
        <f>'BS(FY)'!S32/1000</f>
        <v>82880</v>
      </c>
      <c r="I226" s="2296">
        <f>'BS(FY)'!U32/1000</f>
        <v>82880</v>
      </c>
      <c r="J226" s="2296">
        <f>'BS(FY)'!W32/1000</f>
        <v>82880</v>
      </c>
      <c r="K226" s="2296">
        <f>'BS(FY)'!Y32/1000</f>
        <v>82880</v>
      </c>
      <c r="L226" s="2296">
        <f>'BS(FY)'!AA32/1000</f>
        <v>82880</v>
      </c>
      <c r="M226" s="2296">
        <f>'BS(FY)'!AC32/1000</f>
        <v>82880</v>
      </c>
      <c r="N226" s="2297">
        <f>'BS(FY)'!AE32/1000</f>
        <v>0</v>
      </c>
    </row>
    <row r="227" spans="2:14" ht="12.75" thickBot="1">
      <c r="B227" s="2295" t="s">
        <v>565</v>
      </c>
      <c r="C227" s="2296"/>
      <c r="D227" s="2296">
        <f ca="1">'BS(FY)'!K34/1000</f>
        <v>0</v>
      </c>
      <c r="E227" s="2296">
        <f ca="1">'BS(FY)'!M34/1000</f>
        <v>-7357.639031627461</v>
      </c>
      <c r="F227" s="2296">
        <f ca="1">'BS(FY)'!O34/1000</f>
        <v>-13223.902679929886</v>
      </c>
      <c r="G227" s="2296">
        <f ca="1">'BS(FY)'!Q34/1000</f>
        <v>-23709.653338262207</v>
      </c>
      <c r="H227" s="2296">
        <f ca="1">'BS(FY)'!S34/1000</f>
        <v>-28263.152209842487</v>
      </c>
      <c r="I227" s="2296">
        <f ca="1">'BS(FY)'!U34/1000</f>
        <v>-32235.218787569767</v>
      </c>
      <c r="J227" s="2296">
        <f ca="1">'BS(FY)'!W34/1000</f>
        <v>-35399.161577264465</v>
      </c>
      <c r="K227" s="2296">
        <f ca="1">'BS(FY)'!Y34/1000</f>
        <v>-37967.640134728987</v>
      </c>
      <c r="L227" s="2296">
        <f ca="1">'BS(FY)'!AA34/1000</f>
        <v>-40950.20274429048</v>
      </c>
      <c r="M227" s="2296">
        <f ca="1">'BS(FY)'!AC34/1000</f>
        <v>-42949.422880293212</v>
      </c>
      <c r="N227" s="2297">
        <f ca="1">ROUND('BS(FY)'!AE34/1000,0)</f>
        <v>0</v>
      </c>
    </row>
    <row r="228" spans="2:14" ht="12.75" thickBot="1">
      <c r="B228" s="2289" t="s">
        <v>1558</v>
      </c>
      <c r="C228" s="2290"/>
      <c r="D228" s="2290">
        <f t="shared" ref="D228:M228" ca="1" si="36">SUM(D225:D227)</f>
        <v>98800</v>
      </c>
      <c r="E228" s="2290">
        <f t="shared" ca="1" si="36"/>
        <v>91442.360968372537</v>
      </c>
      <c r="F228" s="2290">
        <f t="shared" ca="1" si="36"/>
        <v>75576.097320070112</v>
      </c>
      <c r="G228" s="2290">
        <f t="shared" ca="1" si="36"/>
        <v>65090.346661737793</v>
      </c>
      <c r="H228" s="2290">
        <f t="shared" ca="1" si="36"/>
        <v>60536.84779015751</v>
      </c>
      <c r="I228" s="2290">
        <f t="shared" ca="1" si="36"/>
        <v>56564.781212430229</v>
      </c>
      <c r="J228" s="2290">
        <f t="shared" ca="1" si="36"/>
        <v>53400.838422735535</v>
      </c>
      <c r="K228" s="2290">
        <f t="shared" ca="1" si="36"/>
        <v>50832.359865271013</v>
      </c>
      <c r="L228" s="2290">
        <f t="shared" ca="1" si="36"/>
        <v>47849.79725570952</v>
      </c>
      <c r="M228" s="2290">
        <f t="shared" ca="1" si="36"/>
        <v>45850.577119706788</v>
      </c>
      <c r="N228" s="2291">
        <f ca="1">ROUND(SUM(N225:N227),0)</f>
        <v>0</v>
      </c>
    </row>
    <row r="229" spans="2:14" ht="12.75" thickBot="1">
      <c r="B229" s="2289" t="s">
        <v>1617</v>
      </c>
      <c r="C229" s="2290"/>
      <c r="D229" s="2290">
        <f t="shared" ref="D229:M229" ca="1" si="37">D224+D228</f>
        <v>311756.66963053204</v>
      </c>
      <c r="E229" s="2290">
        <f t="shared" ca="1" si="37"/>
        <v>291734.31017503922</v>
      </c>
      <c r="F229" s="2290">
        <f t="shared" ca="1" si="37"/>
        <v>290870.73577772843</v>
      </c>
      <c r="G229" s="2290">
        <f t="shared" ca="1" si="37"/>
        <v>280387.74540140474</v>
      </c>
      <c r="H229" s="2290">
        <f t="shared" ca="1" si="37"/>
        <v>275837.07900478045</v>
      </c>
      <c r="I229" s="2290">
        <f t="shared" ca="1" si="37"/>
        <v>271867.91828400578</v>
      </c>
      <c r="J229" s="2290">
        <f t="shared" ca="1" si="37"/>
        <v>268706.9559499129</v>
      </c>
      <c r="K229" s="2290">
        <f t="shared" ca="1" si="37"/>
        <v>266141.53369144967</v>
      </c>
      <c r="L229" s="2290">
        <f t="shared" ca="1" si="37"/>
        <v>263162.10449764261</v>
      </c>
      <c r="M229" s="2290">
        <f t="shared" ca="1" si="37"/>
        <v>261166.09619662093</v>
      </c>
      <c r="N229" s="2291">
        <f ca="1">N224+N228</f>
        <v>0</v>
      </c>
    </row>
    <row r="230" spans="2:14">
      <c r="B230" s="2234" t="s">
        <v>1559</v>
      </c>
      <c r="C230" s="2270">
        <f>C217-C229</f>
        <v>0</v>
      </c>
      <c r="D230" s="2270">
        <f ca="1">D229-D217</f>
        <v>0</v>
      </c>
      <c r="E230" s="2270">
        <f t="shared" ref="E230:N230" ca="1" si="38">E217-E229</f>
        <v>0</v>
      </c>
      <c r="F230" s="2270">
        <f t="shared" ca="1" si="38"/>
        <v>0</v>
      </c>
      <c r="G230" s="2270">
        <f t="shared" ca="1" si="38"/>
        <v>0</v>
      </c>
      <c r="H230" s="2270">
        <f t="shared" ca="1" si="38"/>
        <v>0</v>
      </c>
      <c r="I230" s="2270">
        <f t="shared" ca="1" si="38"/>
        <v>0</v>
      </c>
      <c r="J230" s="2270">
        <f t="shared" ca="1" si="38"/>
        <v>0</v>
      </c>
      <c r="K230" s="2270">
        <f t="shared" ca="1" si="38"/>
        <v>0</v>
      </c>
      <c r="L230" s="2270">
        <f t="shared" ca="1" si="38"/>
        <v>0</v>
      </c>
      <c r="M230" s="2270">
        <f t="shared" ca="1" si="38"/>
        <v>0</v>
      </c>
      <c r="N230" s="2270">
        <f t="shared" ca="1" si="38"/>
        <v>0</v>
      </c>
    </row>
    <row r="232" spans="2:14">
      <c r="L232" s="2234">
        <f>65/0.85</f>
        <v>76.470588235294116</v>
      </c>
    </row>
    <row r="233" spans="2:14" ht="12.75" thickBot="1"/>
    <row r="234" spans="2:14" ht="12.75" thickBot="1">
      <c r="B234" s="2831" t="s">
        <v>1449</v>
      </c>
      <c r="C234" s="2816" t="s">
        <v>1462</v>
      </c>
      <c r="D234" s="2833"/>
      <c r="E234" s="2816" t="s">
        <v>1463</v>
      </c>
      <c r="F234" s="2817"/>
    </row>
    <row r="235" spans="2:14" ht="12.75" thickBot="1">
      <c r="B235" s="2832"/>
      <c r="C235" s="2272" t="s">
        <v>1464</v>
      </c>
      <c r="D235" s="2272" t="s">
        <v>1465</v>
      </c>
      <c r="E235" s="2272" t="s">
        <v>1464</v>
      </c>
      <c r="F235" s="2263" t="s">
        <v>1465</v>
      </c>
    </row>
    <row r="236" spans="2:14" ht="12.75" thickBot="1">
      <c r="B236" s="2307" t="str">
        <f>D7</f>
        <v>우선주(1종)</v>
      </c>
      <c r="C236" s="2421">
        <f ca="1">'A&amp;R'!G65</f>
        <v>7.0000000000000021E-2</v>
      </c>
      <c r="D236" s="2421">
        <f ca="1">'A&amp;R'!G67</f>
        <v>7.122499999999965E-2</v>
      </c>
      <c r="E236" s="2421">
        <f ca="1">'A&amp;R'!G66</f>
        <v>7.0000000000000021E-2</v>
      </c>
      <c r="F236" s="2422">
        <f ca="1">'A&amp;R'!G68</f>
        <v>7.122499999999965E-2</v>
      </c>
      <c r="G236" s="2420"/>
    </row>
    <row r="237" spans="2:14" ht="12.75" thickBot="1">
      <c r="B237" s="2307" t="str">
        <f>D8</f>
        <v>우선주(2종)</v>
      </c>
      <c r="C237" s="2421">
        <f ca="1">'A&amp;R'!K65</f>
        <v>7.5000000000000011E-2</v>
      </c>
      <c r="D237" s="2421">
        <f ca="1">'A&amp;R'!K67</f>
        <v>7.6382734954517195E-2</v>
      </c>
      <c r="E237" s="2421">
        <f ca="1">'A&amp;R'!K66</f>
        <v>9.9230213909776391E-2</v>
      </c>
      <c r="F237" s="2422">
        <f ca="1">'A&amp;R'!K68</f>
        <v>9.2431551034658277E-2</v>
      </c>
      <c r="G237" s="2420"/>
    </row>
    <row r="238" spans="2:14" ht="12.75" thickBot="1">
      <c r="B238" s="2307" t="str">
        <f>D9</f>
        <v>우선주(3종)</v>
      </c>
      <c r="C238" s="2421">
        <f>'A&amp;R'!G95</f>
        <v>0</v>
      </c>
      <c r="D238" s="2421">
        <f>'A&amp;R'!G97</f>
        <v>0</v>
      </c>
      <c r="E238" s="2421">
        <f>'A&amp;R'!G96</f>
        <v>0</v>
      </c>
      <c r="F238" s="2422">
        <f>'A&amp;R'!G98</f>
        <v>0</v>
      </c>
      <c r="G238" s="2420"/>
    </row>
    <row r="239" spans="2:14" ht="12.75" thickBot="1">
      <c r="B239" s="2307" t="str">
        <f>D10</f>
        <v>보통주</v>
      </c>
      <c r="C239" s="2421">
        <f ca="1">'A&amp;R'!K95</f>
        <v>7.4999999999999997E-3</v>
      </c>
      <c r="D239" s="2421">
        <f ca="1">'A&amp;R'!K97</f>
        <v>7.7792962088110151E-3</v>
      </c>
      <c r="E239" s="2421">
        <f ca="1">'A&amp;R'!K96</f>
        <v>0.33493532310508634</v>
      </c>
      <c r="F239" s="2422">
        <f ca="1">'A&amp;R'!K98</f>
        <v>0.16438586395039967</v>
      </c>
      <c r="G239" s="2420"/>
    </row>
    <row r="240" spans="2:14" ht="12.75" thickBot="1">
      <c r="B240" s="2308" t="s">
        <v>1466</v>
      </c>
      <c r="C240" s="2423">
        <f ca="1">H370</f>
        <v>6.1024229074889864E-2</v>
      </c>
      <c r="D240" s="2423">
        <f ca="1">'CF(M)'!I131</f>
        <v>6.1960226545306307E-2</v>
      </c>
      <c r="E240" s="2423">
        <f ca="1">I370</f>
        <v>0.12773737309960459</v>
      </c>
      <c r="F240" s="2309">
        <f ca="1">'CF(M)'!I132</f>
        <v>0.10338270163662822</v>
      </c>
      <c r="G240" s="2420"/>
    </row>
    <row r="245" spans="1:13" ht="12.75" thickBot="1">
      <c r="A245" s="2234" t="s">
        <v>1538</v>
      </c>
    </row>
    <row r="246" spans="1:13" ht="12.75" thickBot="1">
      <c r="B246" s="2817" t="s">
        <v>1449</v>
      </c>
      <c r="C246" s="2833"/>
      <c r="D246" s="2272" t="s">
        <v>1467</v>
      </c>
      <c r="E246" s="2272" t="s">
        <v>1468</v>
      </c>
      <c r="F246" s="2272" t="s">
        <v>1469</v>
      </c>
      <c r="G246" s="2272" t="s">
        <v>1470</v>
      </c>
      <c r="H246" s="2263" t="s">
        <v>1471</v>
      </c>
      <c r="I246" s="2263" t="s">
        <v>1646</v>
      </c>
      <c r="L246" s="2467" t="s">
        <v>1647</v>
      </c>
      <c r="M246" s="2467" t="s">
        <v>1648</v>
      </c>
    </row>
    <row r="247" spans="1:13" ht="12.75" thickBot="1">
      <c r="B247" s="2310" t="s">
        <v>1472</v>
      </c>
      <c r="C247" s="2311">
        <f>'A&amp;R'!M32</f>
        <v>46326</v>
      </c>
      <c r="D247" s="2275">
        <f>E247</f>
        <v>-24000</v>
      </c>
      <c r="E247" s="2275">
        <f>-'A&amp;R'!D43/1000</f>
        <v>-24000</v>
      </c>
      <c r="F247" s="2275">
        <v>0</v>
      </c>
      <c r="G247" s="2275"/>
      <c r="H247" s="2312"/>
      <c r="I247" s="2312"/>
      <c r="L247" s="2270">
        <f t="shared" ref="L247:L267" si="39">SUM(E247:F247)</f>
        <v>-24000</v>
      </c>
      <c r="M247" s="2270">
        <f t="shared" ref="M247:M267" si="40">SUM(E247:G247)</f>
        <v>-24000</v>
      </c>
    </row>
    <row r="248" spans="1:13" ht="12.75" thickBot="1">
      <c r="B248" s="2313">
        <v>1</v>
      </c>
      <c r="C248" s="2311">
        <f t="shared" ref="C248:C267" si="41">EOMONTH(C247,6)</f>
        <v>46507</v>
      </c>
      <c r="D248" s="2275">
        <f t="shared" ref="D248:D267" ca="1" si="42">SUM(E248:G248)</f>
        <v>840.00000000000011</v>
      </c>
      <c r="E248" s="2275">
        <f>'A&amp;R'!D43/1000*(1=20)</f>
        <v>0</v>
      </c>
      <c r="F248" s="2275">
        <f ca="1">'A&amp;R'!E43/1000</f>
        <v>840.00000000000011</v>
      </c>
      <c r="G248" s="2275">
        <f>'A&amp;R'!F43/1000</f>
        <v>0</v>
      </c>
      <c r="H248" s="2422">
        <f t="shared" ref="H248:H267" ca="1" si="43">IFERROR(F248/J248*2,)</f>
        <v>7.0000000000000007E-2</v>
      </c>
      <c r="I248" s="2422"/>
      <c r="J248" s="2270">
        <f>-E247</f>
        <v>24000</v>
      </c>
      <c r="L248" s="2270">
        <f t="shared" ca="1" si="39"/>
        <v>840.00000000000011</v>
      </c>
      <c r="M248" s="2270">
        <f t="shared" ca="1" si="40"/>
        <v>840.00000000000011</v>
      </c>
    </row>
    <row r="249" spans="1:13" ht="12.75" thickBot="1">
      <c r="B249" s="2313">
        <f>B248+1</f>
        <v>2</v>
      </c>
      <c r="C249" s="2311">
        <f t="shared" si="41"/>
        <v>46691</v>
      </c>
      <c r="D249" s="2275">
        <f t="shared" ca="1" si="42"/>
        <v>840.00000000000011</v>
      </c>
      <c r="E249" s="2275">
        <f>'A&amp;R'!D44/1000*(2=20)</f>
        <v>0</v>
      </c>
      <c r="F249" s="2275">
        <f ca="1">'A&amp;R'!E44/1000</f>
        <v>840.00000000000011</v>
      </c>
      <c r="G249" s="2275">
        <f>'A&amp;R'!F44/1000</f>
        <v>0</v>
      </c>
      <c r="H249" s="2422">
        <f t="shared" ca="1" si="43"/>
        <v>7.0000000000000007E-2</v>
      </c>
      <c r="I249" s="2422"/>
      <c r="J249" s="2270">
        <f t="shared" ref="J249:J267" si="44">J248-E248</f>
        <v>24000</v>
      </c>
      <c r="L249" s="2270">
        <f t="shared" ca="1" si="39"/>
        <v>840.00000000000011</v>
      </c>
      <c r="M249" s="2270">
        <f t="shared" ca="1" si="40"/>
        <v>840.00000000000011</v>
      </c>
    </row>
    <row r="250" spans="1:13" ht="12.75" thickBot="1">
      <c r="B250" s="2313">
        <f t="shared" ref="B250:B267" si="45">B249+1</f>
        <v>3</v>
      </c>
      <c r="C250" s="2311">
        <f t="shared" si="41"/>
        <v>46873</v>
      </c>
      <c r="D250" s="2275">
        <f t="shared" ca="1" si="42"/>
        <v>840.00000000000011</v>
      </c>
      <c r="E250" s="2275">
        <f>'A&amp;R'!D45/1000*(3=20)</f>
        <v>0</v>
      </c>
      <c r="F250" s="2275">
        <f ca="1">'A&amp;R'!E45/1000</f>
        <v>840.00000000000011</v>
      </c>
      <c r="G250" s="2275">
        <f>'A&amp;R'!F45/1000</f>
        <v>0</v>
      </c>
      <c r="H250" s="2422">
        <f t="shared" ca="1" si="43"/>
        <v>7.0000000000000007E-2</v>
      </c>
      <c r="I250" s="2422"/>
      <c r="J250" s="2270">
        <f t="shared" si="44"/>
        <v>24000</v>
      </c>
      <c r="L250" s="2270">
        <f t="shared" ca="1" si="39"/>
        <v>840.00000000000011</v>
      </c>
      <c r="M250" s="2270">
        <f t="shared" ca="1" si="40"/>
        <v>840.00000000000011</v>
      </c>
    </row>
    <row r="251" spans="1:13" ht="12.75" thickBot="1">
      <c r="B251" s="2313">
        <f t="shared" si="45"/>
        <v>4</v>
      </c>
      <c r="C251" s="2311">
        <f t="shared" si="41"/>
        <v>47057</v>
      </c>
      <c r="D251" s="2275">
        <f t="shared" ca="1" si="42"/>
        <v>840.00000000000011</v>
      </c>
      <c r="E251" s="2275">
        <f>'A&amp;R'!D46/1000*(4=20)</f>
        <v>0</v>
      </c>
      <c r="F251" s="2275">
        <f ca="1">'A&amp;R'!E46/1000</f>
        <v>840.00000000000011</v>
      </c>
      <c r="G251" s="2275">
        <f>'A&amp;R'!F46/1000</f>
        <v>0</v>
      </c>
      <c r="H251" s="2422">
        <f t="shared" ca="1" si="43"/>
        <v>7.0000000000000007E-2</v>
      </c>
      <c r="I251" s="2422"/>
      <c r="J251" s="2270">
        <f t="shared" si="44"/>
        <v>24000</v>
      </c>
      <c r="L251" s="2270">
        <f t="shared" ca="1" si="39"/>
        <v>840.00000000000011</v>
      </c>
      <c r="M251" s="2270">
        <f t="shared" ca="1" si="40"/>
        <v>840.00000000000011</v>
      </c>
    </row>
    <row r="252" spans="1:13" ht="12.75" thickBot="1">
      <c r="B252" s="2313">
        <f t="shared" si="45"/>
        <v>5</v>
      </c>
      <c r="C252" s="2311">
        <f t="shared" si="41"/>
        <v>47238</v>
      </c>
      <c r="D252" s="2275">
        <f t="shared" ca="1" si="42"/>
        <v>840.00000000000011</v>
      </c>
      <c r="E252" s="2275">
        <f>'A&amp;R'!D47/1000*(5=20)</f>
        <v>0</v>
      </c>
      <c r="F252" s="2275">
        <f ca="1">'A&amp;R'!E47/1000</f>
        <v>840.00000000000011</v>
      </c>
      <c r="G252" s="2275">
        <f>'A&amp;R'!F47/1000</f>
        <v>0</v>
      </c>
      <c r="H252" s="2422">
        <f t="shared" ca="1" si="43"/>
        <v>7.0000000000000007E-2</v>
      </c>
      <c r="I252" s="2422"/>
      <c r="J252" s="2270">
        <f t="shared" si="44"/>
        <v>24000</v>
      </c>
      <c r="L252" s="2270">
        <f t="shared" ca="1" si="39"/>
        <v>840.00000000000011</v>
      </c>
      <c r="M252" s="2270">
        <f t="shared" ca="1" si="40"/>
        <v>840.00000000000011</v>
      </c>
    </row>
    <row r="253" spans="1:13" ht="12.75" thickBot="1">
      <c r="B253" s="2313">
        <f t="shared" si="45"/>
        <v>6</v>
      </c>
      <c r="C253" s="2311">
        <f t="shared" si="41"/>
        <v>47422</v>
      </c>
      <c r="D253" s="2275">
        <f t="shared" ca="1" si="42"/>
        <v>840.00000000000011</v>
      </c>
      <c r="E253" s="2275">
        <f>'A&amp;R'!D48/1000*(6=20)</f>
        <v>0</v>
      </c>
      <c r="F253" s="2275">
        <f ca="1">'A&amp;R'!E48/1000</f>
        <v>840.00000000000011</v>
      </c>
      <c r="G253" s="2275">
        <f>'A&amp;R'!F48/1000</f>
        <v>0</v>
      </c>
      <c r="H253" s="2422">
        <f t="shared" ca="1" si="43"/>
        <v>7.0000000000000007E-2</v>
      </c>
      <c r="I253" s="2422"/>
      <c r="J253" s="2270">
        <f t="shared" si="44"/>
        <v>24000</v>
      </c>
      <c r="L253" s="2270">
        <f t="shared" ca="1" si="39"/>
        <v>840.00000000000011</v>
      </c>
      <c r="M253" s="2270">
        <f t="shared" ca="1" si="40"/>
        <v>840.00000000000011</v>
      </c>
    </row>
    <row r="254" spans="1:13" ht="12.75" thickBot="1">
      <c r="B254" s="2313">
        <f t="shared" si="45"/>
        <v>7</v>
      </c>
      <c r="C254" s="2311">
        <f t="shared" si="41"/>
        <v>47603</v>
      </c>
      <c r="D254" s="2275">
        <f t="shared" ca="1" si="42"/>
        <v>840.00000000000011</v>
      </c>
      <c r="E254" s="2275">
        <f>'A&amp;R'!D49/1000*(7=20)</f>
        <v>0</v>
      </c>
      <c r="F254" s="2275">
        <f ca="1">'A&amp;R'!E49/1000</f>
        <v>840.00000000000011</v>
      </c>
      <c r="G254" s="2275">
        <f>'A&amp;R'!F49/1000</f>
        <v>0</v>
      </c>
      <c r="H254" s="2422">
        <f t="shared" ca="1" si="43"/>
        <v>7.0000000000000007E-2</v>
      </c>
      <c r="I254" s="2422"/>
      <c r="J254" s="2270">
        <f t="shared" si="44"/>
        <v>24000</v>
      </c>
      <c r="L254" s="2270">
        <f t="shared" ca="1" si="39"/>
        <v>840.00000000000011</v>
      </c>
      <c r="M254" s="2270">
        <f t="shared" ca="1" si="40"/>
        <v>840.00000000000011</v>
      </c>
    </row>
    <row r="255" spans="1:13" ht="12.75" thickBot="1">
      <c r="B255" s="2313">
        <f t="shared" si="45"/>
        <v>8</v>
      </c>
      <c r="C255" s="2311">
        <f t="shared" si="41"/>
        <v>47787</v>
      </c>
      <c r="D255" s="2275">
        <f t="shared" ca="1" si="42"/>
        <v>840.00000000000011</v>
      </c>
      <c r="E255" s="2275">
        <f>'A&amp;R'!D50/1000*(8=20)</f>
        <v>0</v>
      </c>
      <c r="F255" s="2275">
        <f ca="1">'A&amp;R'!E50/1000</f>
        <v>840.00000000000011</v>
      </c>
      <c r="G255" s="2275">
        <f>'A&amp;R'!F50/1000</f>
        <v>0</v>
      </c>
      <c r="H255" s="2422">
        <f t="shared" ca="1" si="43"/>
        <v>7.0000000000000007E-2</v>
      </c>
      <c r="I255" s="2422"/>
      <c r="J255" s="2270">
        <f t="shared" si="44"/>
        <v>24000</v>
      </c>
      <c r="L255" s="2270">
        <f t="shared" ca="1" si="39"/>
        <v>840.00000000000011</v>
      </c>
      <c r="M255" s="2270">
        <f t="shared" ca="1" si="40"/>
        <v>840.00000000000011</v>
      </c>
    </row>
    <row r="256" spans="1:13" ht="12.75" thickBot="1">
      <c r="B256" s="2313">
        <f t="shared" si="45"/>
        <v>9</v>
      </c>
      <c r="C256" s="2311">
        <f t="shared" si="41"/>
        <v>47968</v>
      </c>
      <c r="D256" s="2275">
        <f t="shared" ca="1" si="42"/>
        <v>840.00000000000011</v>
      </c>
      <c r="E256" s="2275">
        <f>'A&amp;R'!D51/1000*(9=20)</f>
        <v>0</v>
      </c>
      <c r="F256" s="2275">
        <f ca="1">'A&amp;R'!E51/1000</f>
        <v>840.00000000000011</v>
      </c>
      <c r="G256" s="2275">
        <f>'A&amp;R'!F51/1000</f>
        <v>0</v>
      </c>
      <c r="H256" s="2422">
        <f t="shared" ca="1" si="43"/>
        <v>7.0000000000000007E-2</v>
      </c>
      <c r="I256" s="2422"/>
      <c r="J256" s="2270">
        <f t="shared" si="44"/>
        <v>24000</v>
      </c>
      <c r="L256" s="2270">
        <f t="shared" ca="1" si="39"/>
        <v>840.00000000000011</v>
      </c>
      <c r="M256" s="2270">
        <f t="shared" ca="1" si="40"/>
        <v>840.00000000000011</v>
      </c>
    </row>
    <row r="257" spans="1:13" ht="12.75" thickBot="1">
      <c r="B257" s="2313">
        <f t="shared" si="45"/>
        <v>10</v>
      </c>
      <c r="C257" s="2311">
        <f t="shared" si="41"/>
        <v>48152</v>
      </c>
      <c r="D257" s="2275">
        <f t="shared" ca="1" si="42"/>
        <v>840.00000000000011</v>
      </c>
      <c r="E257" s="2275">
        <f>'A&amp;R'!D52/1000*(10=20)</f>
        <v>0</v>
      </c>
      <c r="F257" s="2275">
        <f ca="1">'A&amp;R'!E52/1000</f>
        <v>840.00000000000011</v>
      </c>
      <c r="G257" s="2275">
        <f>'A&amp;R'!F52/1000</f>
        <v>0</v>
      </c>
      <c r="H257" s="2422">
        <f t="shared" ca="1" si="43"/>
        <v>7.0000000000000007E-2</v>
      </c>
      <c r="I257" s="2422"/>
      <c r="J257" s="2270">
        <f t="shared" si="44"/>
        <v>24000</v>
      </c>
      <c r="L257" s="2270">
        <f t="shared" ca="1" si="39"/>
        <v>840.00000000000011</v>
      </c>
      <c r="M257" s="2270">
        <f t="shared" ca="1" si="40"/>
        <v>840.00000000000011</v>
      </c>
    </row>
    <row r="258" spans="1:13" ht="12.75" thickBot="1">
      <c r="B258" s="2313">
        <f t="shared" si="45"/>
        <v>11</v>
      </c>
      <c r="C258" s="2311">
        <f t="shared" si="41"/>
        <v>48334</v>
      </c>
      <c r="D258" s="2275">
        <f t="shared" ca="1" si="42"/>
        <v>840.00000000000011</v>
      </c>
      <c r="E258" s="2275">
        <f>'A&amp;R'!D53/1000*(11=20)</f>
        <v>0</v>
      </c>
      <c r="F258" s="2275">
        <f ca="1">'A&amp;R'!E53/1000</f>
        <v>840.00000000000011</v>
      </c>
      <c r="G258" s="2275">
        <f>'A&amp;R'!F53/1000</f>
        <v>0</v>
      </c>
      <c r="H258" s="2422">
        <f t="shared" ca="1" si="43"/>
        <v>7.0000000000000007E-2</v>
      </c>
      <c r="I258" s="2422"/>
      <c r="J258" s="2270">
        <f t="shared" si="44"/>
        <v>24000</v>
      </c>
      <c r="L258" s="2270">
        <f t="shared" ca="1" si="39"/>
        <v>840.00000000000011</v>
      </c>
      <c r="M258" s="2270">
        <f t="shared" ca="1" si="40"/>
        <v>840.00000000000011</v>
      </c>
    </row>
    <row r="259" spans="1:13" ht="12.75" thickBot="1">
      <c r="B259" s="2313">
        <f t="shared" si="45"/>
        <v>12</v>
      </c>
      <c r="C259" s="2311">
        <f t="shared" si="41"/>
        <v>48518</v>
      </c>
      <c r="D259" s="2275">
        <f t="shared" ca="1" si="42"/>
        <v>840.00000000000011</v>
      </c>
      <c r="E259" s="2275">
        <f>'A&amp;R'!D54/1000*(12=20)</f>
        <v>0</v>
      </c>
      <c r="F259" s="2275">
        <f ca="1">'A&amp;R'!E54/1000</f>
        <v>840.00000000000011</v>
      </c>
      <c r="G259" s="2275">
        <f>'A&amp;R'!F54/1000</f>
        <v>0</v>
      </c>
      <c r="H259" s="2422">
        <f t="shared" ca="1" si="43"/>
        <v>7.0000000000000007E-2</v>
      </c>
      <c r="I259" s="2422"/>
      <c r="J259" s="2270">
        <f t="shared" si="44"/>
        <v>24000</v>
      </c>
      <c r="L259" s="2270">
        <f t="shared" ca="1" si="39"/>
        <v>840.00000000000011</v>
      </c>
      <c r="M259" s="2270">
        <f t="shared" ca="1" si="40"/>
        <v>840.00000000000011</v>
      </c>
    </row>
    <row r="260" spans="1:13" ht="12.75" thickBot="1">
      <c r="B260" s="2313">
        <f t="shared" si="45"/>
        <v>13</v>
      </c>
      <c r="C260" s="2311">
        <f t="shared" si="41"/>
        <v>48699</v>
      </c>
      <c r="D260" s="2275">
        <f t="shared" ca="1" si="42"/>
        <v>840.00000000000011</v>
      </c>
      <c r="E260" s="2275">
        <f>'A&amp;R'!D55/1000*(13=20)</f>
        <v>0</v>
      </c>
      <c r="F260" s="2275">
        <f ca="1">'A&amp;R'!E55/1000</f>
        <v>840.00000000000011</v>
      </c>
      <c r="G260" s="2275">
        <f>'A&amp;R'!F55/1000</f>
        <v>0</v>
      </c>
      <c r="H260" s="2422">
        <f t="shared" ca="1" si="43"/>
        <v>7.0000000000000007E-2</v>
      </c>
      <c r="I260" s="2422"/>
      <c r="J260" s="2270">
        <f t="shared" si="44"/>
        <v>24000</v>
      </c>
      <c r="L260" s="2270">
        <f t="shared" ca="1" si="39"/>
        <v>840.00000000000011</v>
      </c>
      <c r="M260" s="2270">
        <f t="shared" ca="1" si="40"/>
        <v>840.00000000000011</v>
      </c>
    </row>
    <row r="261" spans="1:13" ht="12.75" thickBot="1">
      <c r="B261" s="2313">
        <f t="shared" si="45"/>
        <v>14</v>
      </c>
      <c r="C261" s="2311">
        <f t="shared" si="41"/>
        <v>48883</v>
      </c>
      <c r="D261" s="2275">
        <f t="shared" ca="1" si="42"/>
        <v>840.00000000000011</v>
      </c>
      <c r="E261" s="2275">
        <f>'A&amp;R'!D56/1000*(14=20)</f>
        <v>0</v>
      </c>
      <c r="F261" s="2275">
        <f ca="1">'A&amp;R'!E56/1000</f>
        <v>840.00000000000011</v>
      </c>
      <c r="G261" s="2275">
        <f>'A&amp;R'!F56/1000</f>
        <v>0</v>
      </c>
      <c r="H261" s="2422">
        <f t="shared" ca="1" si="43"/>
        <v>7.0000000000000007E-2</v>
      </c>
      <c r="I261" s="2422"/>
      <c r="J261" s="2270">
        <f t="shared" si="44"/>
        <v>24000</v>
      </c>
      <c r="L261" s="2270">
        <f t="shared" ca="1" si="39"/>
        <v>840.00000000000011</v>
      </c>
      <c r="M261" s="2270">
        <f t="shared" ca="1" si="40"/>
        <v>840.00000000000011</v>
      </c>
    </row>
    <row r="262" spans="1:13" ht="12.75" thickBot="1">
      <c r="B262" s="2313">
        <f t="shared" si="45"/>
        <v>15</v>
      </c>
      <c r="C262" s="2311">
        <f t="shared" si="41"/>
        <v>49064</v>
      </c>
      <c r="D262" s="2275">
        <f t="shared" ca="1" si="42"/>
        <v>840.00000000000011</v>
      </c>
      <c r="E262" s="2275">
        <f>'A&amp;R'!D57/1000*(15=20)</f>
        <v>0</v>
      </c>
      <c r="F262" s="2275">
        <f ca="1">'A&amp;R'!E57/1000</f>
        <v>840.00000000000011</v>
      </c>
      <c r="G262" s="2275">
        <f>'A&amp;R'!F57/1000</f>
        <v>0</v>
      </c>
      <c r="H262" s="2422">
        <f t="shared" ca="1" si="43"/>
        <v>7.0000000000000007E-2</v>
      </c>
      <c r="I262" s="2422"/>
      <c r="J262" s="2270">
        <f t="shared" si="44"/>
        <v>24000</v>
      </c>
      <c r="L262" s="2270">
        <f t="shared" ca="1" si="39"/>
        <v>840.00000000000011</v>
      </c>
      <c r="M262" s="2270">
        <f t="shared" ca="1" si="40"/>
        <v>840.00000000000011</v>
      </c>
    </row>
    <row r="263" spans="1:13" ht="12.75" thickBot="1">
      <c r="B263" s="2313">
        <f t="shared" si="45"/>
        <v>16</v>
      </c>
      <c r="C263" s="2311">
        <f t="shared" si="41"/>
        <v>49248</v>
      </c>
      <c r="D263" s="2275">
        <f t="shared" ca="1" si="42"/>
        <v>840.00000000000011</v>
      </c>
      <c r="E263" s="2275">
        <f>'A&amp;R'!D58/1000*(16=20)</f>
        <v>0</v>
      </c>
      <c r="F263" s="2275">
        <f ca="1">'A&amp;R'!E58/1000</f>
        <v>840.00000000000011</v>
      </c>
      <c r="G263" s="2275">
        <f>'A&amp;R'!F58/1000</f>
        <v>0</v>
      </c>
      <c r="H263" s="2422">
        <f t="shared" ca="1" si="43"/>
        <v>7.0000000000000007E-2</v>
      </c>
      <c r="I263" s="2422"/>
      <c r="J263" s="2270">
        <f t="shared" si="44"/>
        <v>24000</v>
      </c>
      <c r="L263" s="2270">
        <f t="shared" ca="1" si="39"/>
        <v>840.00000000000011</v>
      </c>
      <c r="M263" s="2270">
        <f t="shared" ca="1" si="40"/>
        <v>840.00000000000011</v>
      </c>
    </row>
    <row r="264" spans="1:13" ht="12.75" thickBot="1">
      <c r="B264" s="2313">
        <f t="shared" si="45"/>
        <v>17</v>
      </c>
      <c r="C264" s="2311">
        <f t="shared" si="41"/>
        <v>49429</v>
      </c>
      <c r="D264" s="2275">
        <f t="shared" ca="1" si="42"/>
        <v>840.00000000000011</v>
      </c>
      <c r="E264" s="2275">
        <f>'A&amp;R'!D59/1000*(17=20)</f>
        <v>0</v>
      </c>
      <c r="F264" s="2275">
        <f ca="1">'A&amp;R'!E59/1000</f>
        <v>840.00000000000011</v>
      </c>
      <c r="G264" s="2275">
        <f>'A&amp;R'!F59/1000</f>
        <v>0</v>
      </c>
      <c r="H264" s="2422">
        <f t="shared" ca="1" si="43"/>
        <v>7.0000000000000007E-2</v>
      </c>
      <c r="I264" s="2422"/>
      <c r="J264" s="2270">
        <f t="shared" si="44"/>
        <v>24000</v>
      </c>
      <c r="L264" s="2270">
        <f t="shared" ca="1" si="39"/>
        <v>840.00000000000011</v>
      </c>
      <c r="M264" s="2270">
        <f t="shared" ca="1" si="40"/>
        <v>840.00000000000011</v>
      </c>
    </row>
    <row r="265" spans="1:13" ht="12.75" thickBot="1">
      <c r="B265" s="2313">
        <f t="shared" si="45"/>
        <v>18</v>
      </c>
      <c r="C265" s="2311">
        <f t="shared" si="41"/>
        <v>49613</v>
      </c>
      <c r="D265" s="2275">
        <f t="shared" ca="1" si="42"/>
        <v>840.00000000000011</v>
      </c>
      <c r="E265" s="2275">
        <f>'A&amp;R'!D60/1000*(18=20)</f>
        <v>0</v>
      </c>
      <c r="F265" s="2275">
        <f ca="1">'A&amp;R'!E60/1000</f>
        <v>840.00000000000011</v>
      </c>
      <c r="G265" s="2275">
        <f>'A&amp;R'!F60/1000</f>
        <v>0</v>
      </c>
      <c r="H265" s="2422">
        <f t="shared" ca="1" si="43"/>
        <v>7.0000000000000007E-2</v>
      </c>
      <c r="I265" s="2422"/>
      <c r="J265" s="2270">
        <f t="shared" si="44"/>
        <v>24000</v>
      </c>
      <c r="L265" s="2270">
        <f t="shared" ca="1" si="39"/>
        <v>840.00000000000011</v>
      </c>
      <c r="M265" s="2270">
        <f t="shared" ca="1" si="40"/>
        <v>840.00000000000011</v>
      </c>
    </row>
    <row r="266" spans="1:13" ht="12.75" thickBot="1">
      <c r="B266" s="2313">
        <f t="shared" si="45"/>
        <v>19</v>
      </c>
      <c r="C266" s="2311">
        <f t="shared" si="41"/>
        <v>49795</v>
      </c>
      <c r="D266" s="2275">
        <f t="shared" ca="1" si="42"/>
        <v>840.00000000000011</v>
      </c>
      <c r="E266" s="2275">
        <f>'A&amp;R'!D61/1000*(19=20)</f>
        <v>0</v>
      </c>
      <c r="F266" s="2275">
        <f ca="1">'A&amp;R'!E61/1000</f>
        <v>840.00000000000011</v>
      </c>
      <c r="G266" s="2275">
        <f>'A&amp;R'!F61/1000</f>
        <v>0</v>
      </c>
      <c r="H266" s="2422">
        <f t="shared" ca="1" si="43"/>
        <v>7.0000000000000007E-2</v>
      </c>
      <c r="I266" s="2422"/>
      <c r="J266" s="2270">
        <f t="shared" si="44"/>
        <v>24000</v>
      </c>
      <c r="L266" s="2270">
        <f t="shared" ca="1" si="39"/>
        <v>840.00000000000011</v>
      </c>
      <c r="M266" s="2270">
        <f t="shared" ca="1" si="40"/>
        <v>840.00000000000011</v>
      </c>
    </row>
    <row r="267" spans="1:13" ht="12.75" thickBot="1">
      <c r="B267" s="2313">
        <f t="shared" si="45"/>
        <v>20</v>
      </c>
      <c r="C267" s="2311">
        <f t="shared" si="41"/>
        <v>49979</v>
      </c>
      <c r="D267" s="2275">
        <f t="shared" ca="1" si="42"/>
        <v>24840</v>
      </c>
      <c r="E267" s="2275">
        <f>'A&amp;R'!D62/1000*(20=20)</f>
        <v>24000</v>
      </c>
      <c r="F267" s="2275">
        <f ca="1">'A&amp;R'!E62/1000</f>
        <v>840.00000000000011</v>
      </c>
      <c r="G267" s="2275">
        <f>'A&amp;R'!F62/1000</f>
        <v>0</v>
      </c>
      <c r="H267" s="2422">
        <f t="shared" ca="1" si="43"/>
        <v>7.0000000000000007E-2</v>
      </c>
      <c r="I267" s="2422"/>
      <c r="J267" s="2270">
        <f t="shared" si="44"/>
        <v>24000</v>
      </c>
      <c r="L267" s="2270">
        <f t="shared" ca="1" si="39"/>
        <v>24840</v>
      </c>
      <c r="M267" s="2270">
        <f t="shared" ca="1" si="40"/>
        <v>24840</v>
      </c>
    </row>
    <row r="268" spans="1:13" ht="12.75" thickBot="1">
      <c r="B268" s="2834" t="s">
        <v>1473</v>
      </c>
      <c r="C268" s="2835"/>
      <c r="D268" s="2279">
        <f ca="1">SUM(D247:D267)</f>
        <v>16800</v>
      </c>
      <c r="E268" s="2279">
        <f>SUM(E247:E267)</f>
        <v>0</v>
      </c>
      <c r="F268" s="2279">
        <f ca="1">SUM(F247:F267)</f>
        <v>16800.000000000004</v>
      </c>
      <c r="G268" s="2279">
        <f>SUM(G247:G267)</f>
        <v>0</v>
      </c>
      <c r="H268" s="2309">
        <f ca="1">F268/J268*2</f>
        <v>7.0000000000000021E-2</v>
      </c>
      <c r="I268" s="2309">
        <f ca="1">SUM(F268,G268)/J268*2</f>
        <v>7.0000000000000021E-2</v>
      </c>
      <c r="J268" s="2270">
        <f>SUM(J248:J267)</f>
        <v>480000</v>
      </c>
      <c r="L268" s="2468">
        <f ca="1">XIRR(L247:L267,C247:C267)</f>
        <v>7.1175584197044367E-2</v>
      </c>
      <c r="M268" s="2468">
        <f ca="1">XIRR(M247:M267,C247:C267)</f>
        <v>7.1175584197044367E-2</v>
      </c>
    </row>
    <row r="269" spans="1:13">
      <c r="D269" s="2470">
        <f ca="1">D268/J267+1</f>
        <v>1.7</v>
      </c>
      <c r="H269" s="2469"/>
    </row>
    <row r="270" spans="1:13">
      <c r="H270" s="2314"/>
    </row>
    <row r="271" spans="1:13" ht="12.75" thickBot="1">
      <c r="A271" s="2234" t="s">
        <v>1537</v>
      </c>
      <c r="H271" s="2314"/>
    </row>
    <row r="272" spans="1:13" ht="12.75" thickBot="1">
      <c r="B272" s="2817" t="s">
        <v>1449</v>
      </c>
      <c r="C272" s="2833"/>
      <c r="D272" s="2272" t="s">
        <v>1467</v>
      </c>
      <c r="E272" s="2272" t="s">
        <v>1468</v>
      </c>
      <c r="F272" s="2272" t="s">
        <v>1469</v>
      </c>
      <c r="G272" s="2315" t="str">
        <f>G246</f>
        <v>청산배당수입</v>
      </c>
      <c r="H272" s="2263" t="s">
        <v>1471</v>
      </c>
      <c r="I272" s="2263" t="s">
        <v>1646</v>
      </c>
      <c r="L272" s="2467" t="s">
        <v>1647</v>
      </c>
      <c r="M272" s="2467" t="s">
        <v>1648</v>
      </c>
    </row>
    <row r="273" spans="2:13" ht="12.75" thickBot="1">
      <c r="B273" s="2310" t="s">
        <v>1472</v>
      </c>
      <c r="C273" s="2311">
        <f t="shared" ref="C273:C293" si="46">C247</f>
        <v>46326</v>
      </c>
      <c r="D273" s="2275">
        <f>E273</f>
        <v>-50000</v>
      </c>
      <c r="E273" s="2275">
        <f>-'A&amp;R'!H43/1000</f>
        <v>-50000</v>
      </c>
      <c r="F273" s="2275">
        <v>0</v>
      </c>
      <c r="G273" s="2275"/>
      <c r="H273" s="2312"/>
      <c r="I273" s="2312"/>
      <c r="L273" s="2270">
        <f t="shared" ref="L273:L293" si="47">SUM(E273:F273)</f>
        <v>-50000</v>
      </c>
      <c r="M273" s="2270">
        <f t="shared" ref="M273:M293" si="48">SUM(E273:G273)</f>
        <v>-50000</v>
      </c>
    </row>
    <row r="274" spans="2:13" ht="12.75" thickBot="1">
      <c r="B274" s="2313">
        <v>1</v>
      </c>
      <c r="C274" s="2311">
        <f t="shared" si="46"/>
        <v>46507</v>
      </c>
      <c r="D274" s="2275">
        <f t="shared" ref="D274:D293" ca="1" si="49">SUM(E274:G274)</f>
        <v>1875</v>
      </c>
      <c r="E274" s="2275">
        <f>'A&amp;R'!H43/1000*(1=20)</f>
        <v>0</v>
      </c>
      <c r="F274" s="2275">
        <f ca="1">'A&amp;R'!I43/1000</f>
        <v>1875</v>
      </c>
      <c r="G274" s="2275">
        <f>'A&amp;R'!J43/1000</f>
        <v>0</v>
      </c>
      <c r="H274" s="2422">
        <f t="shared" ref="H274:H293" ca="1" si="50">IFERROR(F274/J274*2,)</f>
        <v>7.4999999999999997E-2</v>
      </c>
      <c r="I274" s="2422"/>
      <c r="J274" s="2270">
        <f>-E273</f>
        <v>50000</v>
      </c>
      <c r="L274" s="2270">
        <f t="shared" ca="1" si="47"/>
        <v>1875</v>
      </c>
      <c r="M274" s="2270">
        <f t="shared" ca="1" si="48"/>
        <v>1875</v>
      </c>
    </row>
    <row r="275" spans="2:13" ht="12.75" thickBot="1">
      <c r="B275" s="2313">
        <f>B274+1</f>
        <v>2</v>
      </c>
      <c r="C275" s="2311">
        <f t="shared" si="46"/>
        <v>46691</v>
      </c>
      <c r="D275" s="2275">
        <f t="shared" ca="1" si="49"/>
        <v>1875</v>
      </c>
      <c r="E275" s="2275">
        <f>'A&amp;R'!H44/1000*(2=20)</f>
        <v>0</v>
      </c>
      <c r="F275" s="2275">
        <f ca="1">'A&amp;R'!I44/1000</f>
        <v>1875</v>
      </c>
      <c r="G275" s="2275">
        <f>'A&amp;R'!J44/1000</f>
        <v>0</v>
      </c>
      <c r="H275" s="2422">
        <f t="shared" ca="1" si="50"/>
        <v>7.4999999999999997E-2</v>
      </c>
      <c r="I275" s="2422"/>
      <c r="J275" s="2270">
        <f t="shared" ref="J275:J293" si="51">J274-E274</f>
        <v>50000</v>
      </c>
      <c r="L275" s="2270">
        <f t="shared" ca="1" si="47"/>
        <v>1875</v>
      </c>
      <c r="M275" s="2270">
        <f t="shared" ca="1" si="48"/>
        <v>1875</v>
      </c>
    </row>
    <row r="276" spans="2:13" ht="12.75" thickBot="1">
      <c r="B276" s="2313">
        <f t="shared" ref="B276:B293" si="52">B275+1</f>
        <v>3</v>
      </c>
      <c r="C276" s="2311">
        <f t="shared" si="46"/>
        <v>46873</v>
      </c>
      <c r="D276" s="2275">
        <f t="shared" ca="1" si="49"/>
        <v>1875</v>
      </c>
      <c r="E276" s="2275">
        <f>'A&amp;R'!H45/1000*(3=20)</f>
        <v>0</v>
      </c>
      <c r="F276" s="2275">
        <f ca="1">'A&amp;R'!I45/1000</f>
        <v>1875</v>
      </c>
      <c r="G276" s="2275">
        <f>'A&amp;R'!J45/1000</f>
        <v>0</v>
      </c>
      <c r="H276" s="2422">
        <f t="shared" ca="1" si="50"/>
        <v>7.4999999999999997E-2</v>
      </c>
      <c r="I276" s="2422"/>
      <c r="J276" s="2270">
        <f t="shared" si="51"/>
        <v>50000</v>
      </c>
      <c r="L276" s="2270">
        <f t="shared" ca="1" si="47"/>
        <v>1875</v>
      </c>
      <c r="M276" s="2270">
        <f t="shared" ca="1" si="48"/>
        <v>1875</v>
      </c>
    </row>
    <row r="277" spans="2:13" ht="12.75" thickBot="1">
      <c r="B277" s="2313">
        <f t="shared" si="52"/>
        <v>4</v>
      </c>
      <c r="C277" s="2311">
        <f t="shared" si="46"/>
        <v>47057</v>
      </c>
      <c r="D277" s="2275">
        <f t="shared" ca="1" si="49"/>
        <v>1875</v>
      </c>
      <c r="E277" s="2275">
        <f>'A&amp;R'!H46/1000*(4=20)</f>
        <v>0</v>
      </c>
      <c r="F277" s="2275">
        <f ca="1">'A&amp;R'!I46/1000</f>
        <v>1875</v>
      </c>
      <c r="G277" s="2275">
        <f>'A&amp;R'!J46/1000</f>
        <v>0</v>
      </c>
      <c r="H277" s="2422">
        <f t="shared" ca="1" si="50"/>
        <v>7.4999999999999997E-2</v>
      </c>
      <c r="I277" s="2422"/>
      <c r="J277" s="2270">
        <f t="shared" si="51"/>
        <v>50000</v>
      </c>
      <c r="L277" s="2270">
        <f t="shared" ca="1" si="47"/>
        <v>1875</v>
      </c>
      <c r="M277" s="2270">
        <f t="shared" ca="1" si="48"/>
        <v>1875</v>
      </c>
    </row>
    <row r="278" spans="2:13" ht="12.75" thickBot="1">
      <c r="B278" s="2313">
        <f t="shared" si="52"/>
        <v>5</v>
      </c>
      <c r="C278" s="2311">
        <f t="shared" si="46"/>
        <v>47238</v>
      </c>
      <c r="D278" s="2275">
        <f t="shared" ca="1" si="49"/>
        <v>1875</v>
      </c>
      <c r="E278" s="2275">
        <f>'A&amp;R'!H47/1000*(5=20)</f>
        <v>0</v>
      </c>
      <c r="F278" s="2275">
        <f ca="1">'A&amp;R'!I47/1000</f>
        <v>1875</v>
      </c>
      <c r="G278" s="2275">
        <f>'A&amp;R'!J47/1000</f>
        <v>0</v>
      </c>
      <c r="H278" s="2422">
        <f t="shared" ca="1" si="50"/>
        <v>7.4999999999999997E-2</v>
      </c>
      <c r="I278" s="2422"/>
      <c r="J278" s="2270">
        <f t="shared" si="51"/>
        <v>50000</v>
      </c>
      <c r="L278" s="2270">
        <f t="shared" ca="1" si="47"/>
        <v>1875</v>
      </c>
      <c r="M278" s="2270">
        <f t="shared" ca="1" si="48"/>
        <v>1875</v>
      </c>
    </row>
    <row r="279" spans="2:13" ht="12.75" thickBot="1">
      <c r="B279" s="2313">
        <f t="shared" si="52"/>
        <v>6</v>
      </c>
      <c r="C279" s="2311">
        <f t="shared" si="46"/>
        <v>47422</v>
      </c>
      <c r="D279" s="2275">
        <f t="shared" ca="1" si="49"/>
        <v>1875</v>
      </c>
      <c r="E279" s="2275">
        <f>'A&amp;R'!H48/1000*(6=20)</f>
        <v>0</v>
      </c>
      <c r="F279" s="2275">
        <f ca="1">'A&amp;R'!I48/1000</f>
        <v>1875</v>
      </c>
      <c r="G279" s="2275">
        <f>'A&amp;R'!J48/1000</f>
        <v>0</v>
      </c>
      <c r="H279" s="2422">
        <f t="shared" ca="1" si="50"/>
        <v>7.4999999999999997E-2</v>
      </c>
      <c r="I279" s="2422"/>
      <c r="J279" s="2270">
        <f t="shared" si="51"/>
        <v>50000</v>
      </c>
      <c r="L279" s="2270">
        <f t="shared" ca="1" si="47"/>
        <v>1875</v>
      </c>
      <c r="M279" s="2270">
        <f t="shared" ca="1" si="48"/>
        <v>1875</v>
      </c>
    </row>
    <row r="280" spans="2:13" ht="12.75" thickBot="1">
      <c r="B280" s="2313">
        <f t="shared" si="52"/>
        <v>7</v>
      </c>
      <c r="C280" s="2311">
        <f t="shared" si="46"/>
        <v>47603</v>
      </c>
      <c r="D280" s="2275">
        <f t="shared" ca="1" si="49"/>
        <v>1875</v>
      </c>
      <c r="E280" s="2275">
        <f>'A&amp;R'!H49/1000*(7=20)</f>
        <v>0</v>
      </c>
      <c r="F280" s="2275">
        <f ca="1">'A&amp;R'!I49/1000</f>
        <v>1875</v>
      </c>
      <c r="G280" s="2275">
        <f>'A&amp;R'!J49/1000</f>
        <v>0</v>
      </c>
      <c r="H280" s="2422">
        <f t="shared" ca="1" si="50"/>
        <v>7.4999999999999997E-2</v>
      </c>
      <c r="I280" s="2422"/>
      <c r="J280" s="2270">
        <f t="shared" si="51"/>
        <v>50000</v>
      </c>
      <c r="L280" s="2270">
        <f t="shared" ca="1" si="47"/>
        <v>1875</v>
      </c>
      <c r="M280" s="2270">
        <f t="shared" ca="1" si="48"/>
        <v>1875</v>
      </c>
    </row>
    <row r="281" spans="2:13" ht="12.75" thickBot="1">
      <c r="B281" s="2313">
        <f t="shared" si="52"/>
        <v>8</v>
      </c>
      <c r="C281" s="2311">
        <f t="shared" si="46"/>
        <v>47787</v>
      </c>
      <c r="D281" s="2275">
        <f t="shared" ca="1" si="49"/>
        <v>1875</v>
      </c>
      <c r="E281" s="2275">
        <f>'A&amp;R'!H50/1000*(8=20)</f>
        <v>0</v>
      </c>
      <c r="F281" s="2275">
        <f ca="1">'A&amp;R'!I50/1000</f>
        <v>1875</v>
      </c>
      <c r="G281" s="2275">
        <f>'A&amp;R'!J50/1000</f>
        <v>0</v>
      </c>
      <c r="H281" s="2422">
        <f t="shared" ca="1" si="50"/>
        <v>7.4999999999999997E-2</v>
      </c>
      <c r="I281" s="2422"/>
      <c r="J281" s="2270">
        <f t="shared" si="51"/>
        <v>50000</v>
      </c>
      <c r="L281" s="2270">
        <f t="shared" ca="1" si="47"/>
        <v>1875</v>
      </c>
      <c r="M281" s="2270">
        <f t="shared" ca="1" si="48"/>
        <v>1875</v>
      </c>
    </row>
    <row r="282" spans="2:13" ht="12.75" thickBot="1">
      <c r="B282" s="2313">
        <f t="shared" si="52"/>
        <v>9</v>
      </c>
      <c r="C282" s="2311">
        <f t="shared" si="46"/>
        <v>47968</v>
      </c>
      <c r="D282" s="2275">
        <f t="shared" ca="1" si="49"/>
        <v>1856.0563038810928</v>
      </c>
      <c r="E282" s="2275">
        <f>'A&amp;R'!H51/1000*(9=20)</f>
        <v>0</v>
      </c>
      <c r="F282" s="2275">
        <f ca="1">'A&amp;R'!I51/1000</f>
        <v>1856.0563038810928</v>
      </c>
      <c r="G282" s="2275">
        <f>'A&amp;R'!J51/1000</f>
        <v>0</v>
      </c>
      <c r="H282" s="2422">
        <f t="shared" ca="1" si="50"/>
        <v>7.4242252155243715E-2</v>
      </c>
      <c r="I282" s="2422"/>
      <c r="J282" s="2270">
        <f t="shared" si="51"/>
        <v>50000</v>
      </c>
      <c r="L282" s="2270">
        <f t="shared" ca="1" si="47"/>
        <v>1856.0563038810928</v>
      </c>
      <c r="M282" s="2270">
        <f t="shared" ca="1" si="48"/>
        <v>1856.0563038810928</v>
      </c>
    </row>
    <row r="283" spans="2:13" ht="12.75" thickBot="1">
      <c r="B283" s="2313">
        <f t="shared" si="52"/>
        <v>10</v>
      </c>
      <c r="C283" s="2311">
        <f t="shared" si="46"/>
        <v>48152</v>
      </c>
      <c r="D283" s="2275">
        <f t="shared" ca="1" si="49"/>
        <v>1761.7292937996685</v>
      </c>
      <c r="E283" s="2275">
        <f>'A&amp;R'!H52/1000*(10=20)</f>
        <v>0</v>
      </c>
      <c r="F283" s="2275">
        <f ca="1">'A&amp;R'!I52/1000</f>
        <v>1761.7292937996685</v>
      </c>
      <c r="G283" s="2275">
        <f>'A&amp;R'!J52/1000</f>
        <v>0</v>
      </c>
      <c r="H283" s="2422">
        <f t="shared" ca="1" si="50"/>
        <v>7.0469171751986748E-2</v>
      </c>
      <c r="I283" s="2422"/>
      <c r="J283" s="2270">
        <f t="shared" si="51"/>
        <v>50000</v>
      </c>
      <c r="L283" s="2270">
        <f t="shared" ca="1" si="47"/>
        <v>1761.7292937996685</v>
      </c>
      <c r="M283" s="2270">
        <f t="shared" ca="1" si="48"/>
        <v>1761.7292937996685</v>
      </c>
    </row>
    <row r="284" spans="2:13" ht="12.75" thickBot="1">
      <c r="B284" s="2313">
        <f t="shared" si="52"/>
        <v>11</v>
      </c>
      <c r="C284" s="2311">
        <f t="shared" si="46"/>
        <v>48334</v>
      </c>
      <c r="D284" s="2275">
        <f t="shared" ca="1" si="49"/>
        <v>1838.0823751356359</v>
      </c>
      <c r="E284" s="2275">
        <f>'A&amp;R'!H53/1000*(11=20)</f>
        <v>0</v>
      </c>
      <c r="F284" s="2275">
        <f ca="1">'A&amp;R'!I53/1000</f>
        <v>1838.0823751356359</v>
      </c>
      <c r="G284" s="2275">
        <f>'A&amp;R'!J53/1000</f>
        <v>0</v>
      </c>
      <c r="H284" s="2422">
        <f t="shared" ca="1" si="50"/>
        <v>7.352329500542544E-2</v>
      </c>
      <c r="I284" s="2422"/>
      <c r="J284" s="2270">
        <f t="shared" si="51"/>
        <v>50000</v>
      </c>
      <c r="L284" s="2270">
        <f t="shared" ca="1" si="47"/>
        <v>1838.0823751356359</v>
      </c>
      <c r="M284" s="2270">
        <f t="shared" ca="1" si="48"/>
        <v>1838.0823751356359</v>
      </c>
    </row>
    <row r="285" spans="2:13" ht="12.75" thickBot="1">
      <c r="B285" s="2313">
        <f t="shared" si="52"/>
        <v>12</v>
      </c>
      <c r="C285" s="2311">
        <f t="shared" si="46"/>
        <v>48518</v>
      </c>
      <c r="D285" s="2275">
        <f t="shared" ca="1" si="49"/>
        <v>2044.1320271836025</v>
      </c>
      <c r="E285" s="2275">
        <f>'A&amp;R'!H54/1000*(12=20)</f>
        <v>0</v>
      </c>
      <c r="F285" s="2275">
        <f ca="1">'A&amp;R'!I54/1000</f>
        <v>2044.1320271836025</v>
      </c>
      <c r="G285" s="2275">
        <f>'A&amp;R'!J54/1000</f>
        <v>0</v>
      </c>
      <c r="H285" s="2422">
        <f t="shared" ca="1" si="50"/>
        <v>8.1765281087344099E-2</v>
      </c>
      <c r="I285" s="2422"/>
      <c r="J285" s="2270">
        <f t="shared" si="51"/>
        <v>50000</v>
      </c>
      <c r="L285" s="2270">
        <f t="shared" ca="1" si="47"/>
        <v>2044.1320271836025</v>
      </c>
      <c r="M285" s="2270">
        <f t="shared" ca="1" si="48"/>
        <v>2044.1320271836025</v>
      </c>
    </row>
    <row r="286" spans="2:13" ht="12.75" thickBot="1">
      <c r="B286" s="2313">
        <f t="shared" si="52"/>
        <v>13</v>
      </c>
      <c r="C286" s="2311">
        <f t="shared" si="46"/>
        <v>48699</v>
      </c>
      <c r="D286" s="2275">
        <f t="shared" ca="1" si="49"/>
        <v>1875</v>
      </c>
      <c r="E286" s="2275">
        <f>'A&amp;R'!H55/1000*(13=20)</f>
        <v>0</v>
      </c>
      <c r="F286" s="2275">
        <f ca="1">'A&amp;R'!I55/1000</f>
        <v>1875</v>
      </c>
      <c r="G286" s="2275">
        <f>'A&amp;R'!J55/1000</f>
        <v>0</v>
      </c>
      <c r="H286" s="2422">
        <f t="shared" ca="1" si="50"/>
        <v>7.4999999999999997E-2</v>
      </c>
      <c r="I286" s="2422"/>
      <c r="J286" s="2270">
        <f t="shared" si="51"/>
        <v>50000</v>
      </c>
      <c r="L286" s="2270">
        <f t="shared" ca="1" si="47"/>
        <v>1875</v>
      </c>
      <c r="M286" s="2270">
        <f t="shared" ca="1" si="48"/>
        <v>1875</v>
      </c>
    </row>
    <row r="287" spans="2:13" ht="12.75" thickBot="1">
      <c r="B287" s="2313">
        <f t="shared" si="52"/>
        <v>14</v>
      </c>
      <c r="C287" s="2311">
        <f t="shared" si="46"/>
        <v>48883</v>
      </c>
      <c r="D287" s="2275">
        <f t="shared" ca="1" si="49"/>
        <v>1875</v>
      </c>
      <c r="E287" s="2275">
        <f>'A&amp;R'!H56/1000*(14=20)</f>
        <v>0</v>
      </c>
      <c r="F287" s="2275">
        <f ca="1">'A&amp;R'!I56/1000</f>
        <v>1875</v>
      </c>
      <c r="G287" s="2275">
        <f>'A&amp;R'!J56/1000</f>
        <v>0</v>
      </c>
      <c r="H287" s="2422">
        <f t="shared" ca="1" si="50"/>
        <v>7.4999999999999997E-2</v>
      </c>
      <c r="I287" s="2422"/>
      <c r="J287" s="2270">
        <f t="shared" si="51"/>
        <v>50000</v>
      </c>
      <c r="L287" s="2270">
        <f t="shared" ca="1" si="47"/>
        <v>1875</v>
      </c>
      <c r="M287" s="2270">
        <f t="shared" ca="1" si="48"/>
        <v>1875</v>
      </c>
    </row>
    <row r="288" spans="2:13" ht="12.75" thickBot="1">
      <c r="B288" s="2313">
        <f t="shared" si="52"/>
        <v>15</v>
      </c>
      <c r="C288" s="2311">
        <f t="shared" si="46"/>
        <v>49064</v>
      </c>
      <c r="D288" s="2275">
        <f t="shared" ca="1" si="49"/>
        <v>1875</v>
      </c>
      <c r="E288" s="2275">
        <f>'A&amp;R'!H57/1000*(15=20)</f>
        <v>0</v>
      </c>
      <c r="F288" s="2275">
        <f ca="1">'A&amp;R'!I57/1000</f>
        <v>1875</v>
      </c>
      <c r="G288" s="2275">
        <f>'A&amp;R'!J57/1000</f>
        <v>0</v>
      </c>
      <c r="H288" s="2422">
        <f t="shared" ca="1" si="50"/>
        <v>7.4999999999999997E-2</v>
      </c>
      <c r="I288" s="2422"/>
      <c r="J288" s="2270">
        <f t="shared" si="51"/>
        <v>50000</v>
      </c>
      <c r="L288" s="2270">
        <f t="shared" ca="1" si="47"/>
        <v>1875</v>
      </c>
      <c r="M288" s="2270">
        <f t="shared" ca="1" si="48"/>
        <v>1875</v>
      </c>
    </row>
    <row r="289" spans="1:13" ht="12.75" thickBot="1">
      <c r="B289" s="2313">
        <f t="shared" si="52"/>
        <v>16</v>
      </c>
      <c r="C289" s="2311">
        <f t="shared" si="46"/>
        <v>49248</v>
      </c>
      <c r="D289" s="2275">
        <f t="shared" ca="1" si="49"/>
        <v>1875</v>
      </c>
      <c r="E289" s="2275">
        <f>'A&amp;R'!H58/1000*(16=20)</f>
        <v>0</v>
      </c>
      <c r="F289" s="2275">
        <f ca="1">'A&amp;R'!I58/1000</f>
        <v>1875</v>
      </c>
      <c r="G289" s="2275">
        <f>'A&amp;R'!J58/1000</f>
        <v>0</v>
      </c>
      <c r="H289" s="2422">
        <f t="shared" ca="1" si="50"/>
        <v>7.4999999999999997E-2</v>
      </c>
      <c r="I289" s="2422"/>
      <c r="J289" s="2270">
        <f t="shared" si="51"/>
        <v>50000</v>
      </c>
      <c r="L289" s="2270">
        <f t="shared" ca="1" si="47"/>
        <v>1875</v>
      </c>
      <c r="M289" s="2270">
        <f t="shared" ca="1" si="48"/>
        <v>1875</v>
      </c>
    </row>
    <row r="290" spans="1:13" ht="12.75" thickBot="1">
      <c r="B290" s="2313">
        <f t="shared" si="52"/>
        <v>17</v>
      </c>
      <c r="C290" s="2311">
        <f t="shared" si="46"/>
        <v>49429</v>
      </c>
      <c r="D290" s="2275">
        <f t="shared" ca="1" si="49"/>
        <v>1875</v>
      </c>
      <c r="E290" s="2275">
        <f>'A&amp;R'!H59/1000*(17=20)</f>
        <v>0</v>
      </c>
      <c r="F290" s="2275">
        <f ca="1">'A&amp;R'!I59/1000</f>
        <v>1875</v>
      </c>
      <c r="G290" s="2275">
        <f>'A&amp;R'!J59/1000</f>
        <v>0</v>
      </c>
      <c r="H290" s="2422">
        <f t="shared" ca="1" si="50"/>
        <v>7.4999999999999997E-2</v>
      </c>
      <c r="I290" s="2422"/>
      <c r="J290" s="2270">
        <f t="shared" si="51"/>
        <v>50000</v>
      </c>
      <c r="L290" s="2270">
        <f t="shared" ca="1" si="47"/>
        <v>1875</v>
      </c>
      <c r="M290" s="2270">
        <f t="shared" ca="1" si="48"/>
        <v>1875</v>
      </c>
    </row>
    <row r="291" spans="1:13" ht="12.75" thickBot="1">
      <c r="B291" s="2313">
        <f t="shared" si="52"/>
        <v>18</v>
      </c>
      <c r="C291" s="2311">
        <f t="shared" si="46"/>
        <v>49613</v>
      </c>
      <c r="D291" s="2275">
        <f t="shared" ca="1" si="49"/>
        <v>1875</v>
      </c>
      <c r="E291" s="2275">
        <f>'A&amp;R'!H60/1000*(18=20)</f>
        <v>0</v>
      </c>
      <c r="F291" s="2275">
        <f ca="1">'A&amp;R'!I60/1000</f>
        <v>1875</v>
      </c>
      <c r="G291" s="2275">
        <f>'A&amp;R'!J60/1000</f>
        <v>0</v>
      </c>
      <c r="H291" s="2422">
        <f t="shared" ca="1" si="50"/>
        <v>7.4999999999999997E-2</v>
      </c>
      <c r="I291" s="2422"/>
      <c r="J291" s="2270">
        <f t="shared" si="51"/>
        <v>50000</v>
      </c>
      <c r="L291" s="2270">
        <f t="shared" ca="1" si="47"/>
        <v>1875</v>
      </c>
      <c r="M291" s="2270">
        <f t="shared" ca="1" si="48"/>
        <v>1875</v>
      </c>
    </row>
    <row r="292" spans="1:13" ht="12.75" thickBot="1">
      <c r="B292" s="2313">
        <f t="shared" si="52"/>
        <v>19</v>
      </c>
      <c r="C292" s="2311">
        <f t="shared" si="46"/>
        <v>49795</v>
      </c>
      <c r="D292" s="2275">
        <f t="shared" ca="1" si="49"/>
        <v>1875</v>
      </c>
      <c r="E292" s="2275">
        <f>'A&amp;R'!H61/1000*(19=20)</f>
        <v>0</v>
      </c>
      <c r="F292" s="2275">
        <f ca="1">'A&amp;R'!I61/1000</f>
        <v>1875</v>
      </c>
      <c r="G292" s="2275">
        <f>'A&amp;R'!J61/1000</f>
        <v>0</v>
      </c>
      <c r="H292" s="2422">
        <f t="shared" ca="1" si="50"/>
        <v>7.4999999999999997E-2</v>
      </c>
      <c r="I292" s="2422"/>
      <c r="J292" s="2270">
        <f t="shared" si="51"/>
        <v>50000</v>
      </c>
      <c r="L292" s="2270">
        <f t="shared" ca="1" si="47"/>
        <v>1875</v>
      </c>
      <c r="M292" s="2270">
        <f t="shared" ca="1" si="48"/>
        <v>1875</v>
      </c>
    </row>
    <row r="293" spans="1:13" ht="12.75" thickBot="1">
      <c r="B293" s="2313">
        <f t="shared" si="52"/>
        <v>20</v>
      </c>
      <c r="C293" s="2311">
        <f t="shared" si="46"/>
        <v>49979</v>
      </c>
      <c r="D293" s="2275">
        <f t="shared" ca="1" si="49"/>
        <v>63990.106954888193</v>
      </c>
      <c r="E293" s="2275">
        <f>'A&amp;R'!H62/1000*(20=20)</f>
        <v>50000</v>
      </c>
      <c r="F293" s="2275">
        <f ca="1">'A&amp;R'!I62/1000</f>
        <v>1875</v>
      </c>
      <c r="G293" s="2275">
        <f>'A&amp;R'!J62/1000</f>
        <v>12115.106954888193</v>
      </c>
      <c r="H293" s="2422">
        <f t="shared" ca="1" si="50"/>
        <v>7.4999999999999997E-2</v>
      </c>
      <c r="I293" s="2422"/>
      <c r="J293" s="2270">
        <f t="shared" si="51"/>
        <v>50000</v>
      </c>
      <c r="L293" s="2270">
        <f t="shared" ca="1" si="47"/>
        <v>51875</v>
      </c>
      <c r="M293" s="2270">
        <f t="shared" ca="1" si="48"/>
        <v>63990.106954888193</v>
      </c>
    </row>
    <row r="294" spans="1:13" ht="12.75" thickBot="1">
      <c r="B294" s="2834" t="s">
        <v>1473</v>
      </c>
      <c r="C294" s="2835"/>
      <c r="D294" s="2279">
        <f ca="1">SUM(D273:D293)</f>
        <v>49615.106954888193</v>
      </c>
      <c r="E294" s="2279">
        <f>SUM(E273:E293)</f>
        <v>0</v>
      </c>
      <c r="F294" s="2279">
        <f ca="1">SUM(F273:F293)</f>
        <v>37500</v>
      </c>
      <c r="G294" s="2279">
        <f>SUM(G273:G293)</f>
        <v>12115.106954888193</v>
      </c>
      <c r="H294" s="2309">
        <f ca="1">F294/J294*2</f>
        <v>7.4999999999999997E-2</v>
      </c>
      <c r="I294" s="2309">
        <f ca="1">SUM(F294,G294)/J294*2</f>
        <v>9.9230213909776391E-2</v>
      </c>
      <c r="J294" s="2270">
        <f>SUM(J274:J293)</f>
        <v>1000000</v>
      </c>
      <c r="L294" s="2468">
        <f ca="1">XIRR(L273:L293,C273:C293)</f>
        <v>7.6330348849296584E-2</v>
      </c>
      <c r="M294" s="2468">
        <f ca="1">XIRR(M273:M293,C273:C293)</f>
        <v>9.2366400361061113E-2</v>
      </c>
    </row>
    <row r="295" spans="1:13">
      <c r="D295" s="2470">
        <f ca="1">D294/J293+1</f>
        <v>1.992302139097764</v>
      </c>
    </row>
    <row r="296" spans="1:13" ht="12.75" thickBot="1">
      <c r="A296" s="2466" t="s">
        <v>1642</v>
      </c>
    </row>
    <row r="297" spans="1:13" ht="12.75" thickBot="1">
      <c r="B297" s="2817" t="str">
        <f>B246</f>
        <v>구분</v>
      </c>
      <c r="C297" s="2833"/>
      <c r="D297" s="2272" t="str">
        <f>D246</f>
        <v>현금의 변동</v>
      </c>
      <c r="E297" s="2272" t="str">
        <f>E246</f>
        <v>투자금 납입/상환</v>
      </c>
      <c r="F297" s="2272" t="str">
        <f>F246</f>
        <v>운영배당수입</v>
      </c>
      <c r="G297" s="2315" t="str">
        <f>G246</f>
        <v>청산배당수입</v>
      </c>
      <c r="H297" s="2263" t="s">
        <v>1471</v>
      </c>
      <c r="I297" s="2263" t="s">
        <v>1646</v>
      </c>
      <c r="L297" s="2467" t="s">
        <v>1647</v>
      </c>
      <c r="M297" s="2467" t="s">
        <v>1648</v>
      </c>
    </row>
    <row r="298" spans="1:13" ht="12.75" thickBot="1">
      <c r="B298" s="2310" t="s">
        <v>1472</v>
      </c>
      <c r="C298" s="2311">
        <f t="shared" ref="C298:C318" si="53">C273</f>
        <v>46326</v>
      </c>
      <c r="D298" s="2275">
        <f>E298</f>
        <v>-10000</v>
      </c>
      <c r="E298" s="2275">
        <f>-'A&amp;R'!D73/1000</f>
        <v>-10000</v>
      </c>
      <c r="F298" s="2275">
        <v>0</v>
      </c>
      <c r="G298" s="2275">
        <v>0</v>
      </c>
      <c r="H298" s="2312"/>
      <c r="I298" s="2312"/>
      <c r="L298" s="2270">
        <f t="shared" ref="L298:L318" si="54">SUM(E298:F298)</f>
        <v>-10000</v>
      </c>
      <c r="M298" s="2270">
        <f t="shared" ref="M298:M318" si="55">SUM(E298:G298)</f>
        <v>-10000</v>
      </c>
    </row>
    <row r="299" spans="1:13" ht="12.75" thickBot="1">
      <c r="B299" s="2313">
        <v>1</v>
      </c>
      <c r="C299" s="2311">
        <f t="shared" si="53"/>
        <v>46507</v>
      </c>
      <c r="D299" s="2275">
        <f t="shared" ref="D299:D318" si="56">SUM(E299:G299)</f>
        <v>0</v>
      </c>
      <c r="E299" s="2275">
        <f>'A&amp;R'!H45/1000*(1=20)</f>
        <v>0</v>
      </c>
      <c r="F299" s="2275">
        <f>'A&amp;R'!E73/1000</f>
        <v>0</v>
      </c>
      <c r="G299" s="2275">
        <f>'A&amp;R'!F73/1000</f>
        <v>0</v>
      </c>
      <c r="H299" s="2422">
        <f>IFERROR(F299/J299*2,)</f>
        <v>0</v>
      </c>
      <c r="I299" s="2422"/>
      <c r="J299" s="2270">
        <f>-E298</f>
        <v>10000</v>
      </c>
      <c r="L299" s="2270">
        <f t="shared" si="54"/>
        <v>0</v>
      </c>
      <c r="M299" s="2270">
        <f t="shared" si="55"/>
        <v>0</v>
      </c>
    </row>
    <row r="300" spans="1:13" ht="12.75" thickBot="1">
      <c r="B300" s="2313">
        <v>2</v>
      </c>
      <c r="C300" s="2311">
        <f t="shared" si="53"/>
        <v>46691</v>
      </c>
      <c r="D300" s="2275">
        <f t="shared" si="56"/>
        <v>0</v>
      </c>
      <c r="E300" s="2275">
        <f>'A&amp;R'!H46/1000*(2=20)</f>
        <v>0</v>
      </c>
      <c r="F300" s="2275">
        <f>'A&amp;R'!E74/1000</f>
        <v>0</v>
      </c>
      <c r="G300" s="2275">
        <f>'A&amp;R'!F74/1000</f>
        <v>0</v>
      </c>
      <c r="H300" s="2422">
        <f t="shared" ref="H300:H318" si="57">IFERROR(F300/J300*2,)</f>
        <v>0</v>
      </c>
      <c r="I300" s="2422"/>
      <c r="J300" s="2270">
        <f t="shared" ref="J300:J318" si="58">J299-E299</f>
        <v>10000</v>
      </c>
      <c r="L300" s="2270">
        <f t="shared" si="54"/>
        <v>0</v>
      </c>
      <c r="M300" s="2270">
        <f t="shared" si="55"/>
        <v>0</v>
      </c>
    </row>
    <row r="301" spans="1:13" ht="12.75" thickBot="1">
      <c r="B301" s="2313">
        <v>3</v>
      </c>
      <c r="C301" s="2311">
        <f t="shared" si="53"/>
        <v>46873</v>
      </c>
      <c r="D301" s="2275">
        <f t="shared" si="56"/>
        <v>0</v>
      </c>
      <c r="E301" s="2275">
        <f>'A&amp;R'!H47/1000*(3=20)</f>
        <v>0</v>
      </c>
      <c r="F301" s="2275">
        <f>'A&amp;R'!E75/1000</f>
        <v>0</v>
      </c>
      <c r="G301" s="2275">
        <f>'A&amp;R'!F75/1000</f>
        <v>0</v>
      </c>
      <c r="H301" s="2422">
        <f t="shared" si="57"/>
        <v>0</v>
      </c>
      <c r="I301" s="2422"/>
      <c r="J301" s="2270">
        <f t="shared" si="58"/>
        <v>10000</v>
      </c>
      <c r="L301" s="2270">
        <f t="shared" si="54"/>
        <v>0</v>
      </c>
      <c r="M301" s="2270">
        <f t="shared" si="55"/>
        <v>0</v>
      </c>
    </row>
    <row r="302" spans="1:13" ht="12.75" thickBot="1">
      <c r="B302" s="2313">
        <v>4</v>
      </c>
      <c r="C302" s="2311">
        <f t="shared" si="53"/>
        <v>47057</v>
      </c>
      <c r="D302" s="2275">
        <f t="shared" si="56"/>
        <v>10000</v>
      </c>
      <c r="E302" s="2275">
        <f>-E298</f>
        <v>10000</v>
      </c>
      <c r="F302" s="2275">
        <f>'A&amp;R'!E76/1000</f>
        <v>0</v>
      </c>
      <c r="G302" s="2275">
        <f>'A&amp;R'!F76/1000</f>
        <v>0</v>
      </c>
      <c r="H302" s="2422">
        <f t="shared" si="57"/>
        <v>0</v>
      </c>
      <c r="I302" s="2422"/>
      <c r="J302" s="2270">
        <f t="shared" si="58"/>
        <v>10000</v>
      </c>
      <c r="L302" s="2270">
        <f t="shared" si="54"/>
        <v>10000</v>
      </c>
      <c r="M302" s="2270">
        <f t="shared" si="55"/>
        <v>10000</v>
      </c>
    </row>
    <row r="303" spans="1:13" ht="12.75" thickBot="1">
      <c r="B303" s="2313">
        <v>5</v>
      </c>
      <c r="C303" s="2311">
        <f t="shared" si="53"/>
        <v>47238</v>
      </c>
      <c r="D303" s="2275">
        <f t="shared" si="56"/>
        <v>0</v>
      </c>
      <c r="E303" s="2275">
        <f>'A&amp;R'!H49/1000*(5=20)</f>
        <v>0</v>
      </c>
      <c r="F303" s="2275">
        <f>'A&amp;R'!E77/1000</f>
        <v>0</v>
      </c>
      <c r="G303" s="2275">
        <f>'A&amp;R'!F77/1000</f>
        <v>0</v>
      </c>
      <c r="H303" s="2422">
        <f t="shared" si="57"/>
        <v>0</v>
      </c>
      <c r="I303" s="2422"/>
      <c r="J303" s="2270">
        <f t="shared" si="58"/>
        <v>0</v>
      </c>
      <c r="L303" s="2270">
        <f t="shared" si="54"/>
        <v>0</v>
      </c>
      <c r="M303" s="2270">
        <f t="shared" si="55"/>
        <v>0</v>
      </c>
    </row>
    <row r="304" spans="1:13" ht="12.75" thickBot="1">
      <c r="B304" s="2313">
        <v>6</v>
      </c>
      <c r="C304" s="2311">
        <f t="shared" si="53"/>
        <v>47422</v>
      </c>
      <c r="D304" s="2275">
        <f t="shared" si="56"/>
        <v>0</v>
      </c>
      <c r="E304" s="2275">
        <f>'A&amp;R'!H50/1000*(6=20)</f>
        <v>0</v>
      </c>
      <c r="F304" s="2275">
        <f>'A&amp;R'!E78/1000</f>
        <v>0</v>
      </c>
      <c r="G304" s="2275">
        <f>'A&amp;R'!F78/1000</f>
        <v>0</v>
      </c>
      <c r="H304" s="2422">
        <f t="shared" si="57"/>
        <v>0</v>
      </c>
      <c r="I304" s="2422"/>
      <c r="J304" s="2270">
        <f t="shared" si="58"/>
        <v>0</v>
      </c>
      <c r="L304" s="2270">
        <f t="shared" si="54"/>
        <v>0</v>
      </c>
      <c r="M304" s="2270">
        <f t="shared" si="55"/>
        <v>0</v>
      </c>
    </row>
    <row r="305" spans="2:13" ht="12.75" thickBot="1">
      <c r="B305" s="2313">
        <v>7</v>
      </c>
      <c r="C305" s="2311">
        <f t="shared" si="53"/>
        <v>47603</v>
      </c>
      <c r="D305" s="2275">
        <f t="shared" si="56"/>
        <v>0</v>
      </c>
      <c r="E305" s="2275">
        <f>'A&amp;R'!H51/1000*(7=20)</f>
        <v>0</v>
      </c>
      <c r="F305" s="2275">
        <f>'A&amp;R'!E79/1000</f>
        <v>0</v>
      </c>
      <c r="G305" s="2275">
        <f>'A&amp;R'!F79/1000</f>
        <v>0</v>
      </c>
      <c r="H305" s="2422">
        <f t="shared" si="57"/>
        <v>0</v>
      </c>
      <c r="I305" s="2422"/>
      <c r="J305" s="2270">
        <f t="shared" si="58"/>
        <v>0</v>
      </c>
      <c r="L305" s="2270">
        <f t="shared" si="54"/>
        <v>0</v>
      </c>
      <c r="M305" s="2270">
        <f t="shared" si="55"/>
        <v>0</v>
      </c>
    </row>
    <row r="306" spans="2:13" ht="12.75" thickBot="1">
      <c r="B306" s="2313">
        <v>8</v>
      </c>
      <c r="C306" s="2311">
        <f t="shared" si="53"/>
        <v>47787</v>
      </c>
      <c r="D306" s="2275">
        <f t="shared" si="56"/>
        <v>0</v>
      </c>
      <c r="E306" s="2275">
        <f>'A&amp;R'!H52/1000*(8=20)</f>
        <v>0</v>
      </c>
      <c r="F306" s="2275">
        <f>'A&amp;R'!E80/1000</f>
        <v>0</v>
      </c>
      <c r="G306" s="2275">
        <f>'A&amp;R'!F80/1000</f>
        <v>0</v>
      </c>
      <c r="H306" s="2422">
        <f t="shared" si="57"/>
        <v>0</v>
      </c>
      <c r="I306" s="2422"/>
      <c r="J306" s="2270">
        <f t="shared" si="58"/>
        <v>0</v>
      </c>
      <c r="L306" s="2270">
        <f t="shared" si="54"/>
        <v>0</v>
      </c>
      <c r="M306" s="2270">
        <f t="shared" si="55"/>
        <v>0</v>
      </c>
    </row>
    <row r="307" spans="2:13" ht="12.75" thickBot="1">
      <c r="B307" s="2313">
        <v>9</v>
      </c>
      <c r="C307" s="2311">
        <f t="shared" si="53"/>
        <v>47968</v>
      </c>
      <c r="D307" s="2275">
        <f t="shared" si="56"/>
        <v>0</v>
      </c>
      <c r="E307" s="2275">
        <f>'A&amp;R'!H53/1000*(9=20)</f>
        <v>0</v>
      </c>
      <c r="F307" s="2275">
        <f>'A&amp;R'!E81/1000</f>
        <v>0</v>
      </c>
      <c r="G307" s="2275">
        <f>'A&amp;R'!F81/1000</f>
        <v>0</v>
      </c>
      <c r="H307" s="2422">
        <f t="shared" si="57"/>
        <v>0</v>
      </c>
      <c r="I307" s="2422"/>
      <c r="J307" s="2270">
        <f t="shared" si="58"/>
        <v>0</v>
      </c>
      <c r="L307" s="2270">
        <f t="shared" si="54"/>
        <v>0</v>
      </c>
      <c r="M307" s="2270">
        <f t="shared" si="55"/>
        <v>0</v>
      </c>
    </row>
    <row r="308" spans="2:13" ht="12.75" thickBot="1">
      <c r="B308" s="2313">
        <v>10</v>
      </c>
      <c r="C308" s="2311">
        <f t="shared" si="53"/>
        <v>48152</v>
      </c>
      <c r="D308" s="2275">
        <f t="shared" si="56"/>
        <v>0</v>
      </c>
      <c r="E308" s="2275">
        <f>'A&amp;R'!H54/1000*(10=20)</f>
        <v>0</v>
      </c>
      <c r="F308" s="2275">
        <f>'A&amp;R'!E82/1000</f>
        <v>0</v>
      </c>
      <c r="G308" s="2275">
        <f>'A&amp;R'!F82/1000</f>
        <v>0</v>
      </c>
      <c r="H308" s="2422">
        <f t="shared" si="57"/>
        <v>0</v>
      </c>
      <c r="I308" s="2422"/>
      <c r="J308" s="2270">
        <f t="shared" si="58"/>
        <v>0</v>
      </c>
      <c r="L308" s="2270">
        <f t="shared" si="54"/>
        <v>0</v>
      </c>
      <c r="M308" s="2270">
        <f t="shared" si="55"/>
        <v>0</v>
      </c>
    </row>
    <row r="309" spans="2:13" ht="12.75" thickBot="1">
      <c r="B309" s="2313">
        <v>11</v>
      </c>
      <c r="C309" s="2311">
        <f t="shared" si="53"/>
        <v>48334</v>
      </c>
      <c r="D309" s="2275">
        <f t="shared" si="56"/>
        <v>0</v>
      </c>
      <c r="E309" s="2275">
        <f>'A&amp;R'!H55/1000*(11=20)</f>
        <v>0</v>
      </c>
      <c r="F309" s="2275">
        <f>'A&amp;R'!E83/1000</f>
        <v>0</v>
      </c>
      <c r="G309" s="2275">
        <f>'A&amp;R'!F83/1000</f>
        <v>0</v>
      </c>
      <c r="H309" s="2422">
        <f t="shared" si="57"/>
        <v>0</v>
      </c>
      <c r="I309" s="2422"/>
      <c r="J309" s="2270">
        <f t="shared" si="58"/>
        <v>0</v>
      </c>
      <c r="L309" s="2270">
        <f t="shared" si="54"/>
        <v>0</v>
      </c>
      <c r="M309" s="2270">
        <f t="shared" si="55"/>
        <v>0</v>
      </c>
    </row>
    <row r="310" spans="2:13" ht="12.75" thickBot="1">
      <c r="B310" s="2313">
        <v>12</v>
      </c>
      <c r="C310" s="2311">
        <f t="shared" si="53"/>
        <v>48518</v>
      </c>
      <c r="D310" s="2275">
        <f t="shared" si="56"/>
        <v>0</v>
      </c>
      <c r="E310" s="2275">
        <f>'A&amp;R'!H56/1000*(12=20)</f>
        <v>0</v>
      </c>
      <c r="F310" s="2275">
        <f>'A&amp;R'!E84/1000</f>
        <v>0</v>
      </c>
      <c r="G310" s="2275">
        <f>'A&amp;R'!F84/1000</f>
        <v>0</v>
      </c>
      <c r="H310" s="2422">
        <f t="shared" si="57"/>
        <v>0</v>
      </c>
      <c r="I310" s="2422"/>
      <c r="J310" s="2270">
        <f t="shared" si="58"/>
        <v>0</v>
      </c>
      <c r="L310" s="2270">
        <f t="shared" si="54"/>
        <v>0</v>
      </c>
      <c r="M310" s="2270">
        <f t="shared" si="55"/>
        <v>0</v>
      </c>
    </row>
    <row r="311" spans="2:13" ht="12.75" thickBot="1">
      <c r="B311" s="2313">
        <v>13</v>
      </c>
      <c r="C311" s="2311">
        <f t="shared" si="53"/>
        <v>48699</v>
      </c>
      <c r="D311" s="2275">
        <f t="shared" si="56"/>
        <v>0</v>
      </c>
      <c r="E311" s="2275">
        <f>'A&amp;R'!H57/1000*(13=20)</f>
        <v>0</v>
      </c>
      <c r="F311" s="2275">
        <f>'A&amp;R'!E85/1000</f>
        <v>0</v>
      </c>
      <c r="G311" s="2275">
        <f>'A&amp;R'!F85/1000</f>
        <v>0</v>
      </c>
      <c r="H311" s="2422">
        <f t="shared" si="57"/>
        <v>0</v>
      </c>
      <c r="I311" s="2422"/>
      <c r="J311" s="2270">
        <f t="shared" si="58"/>
        <v>0</v>
      </c>
      <c r="L311" s="2270">
        <f t="shared" si="54"/>
        <v>0</v>
      </c>
      <c r="M311" s="2270">
        <f t="shared" si="55"/>
        <v>0</v>
      </c>
    </row>
    <row r="312" spans="2:13" ht="12.75" thickBot="1">
      <c r="B312" s="2313">
        <v>14</v>
      </c>
      <c r="C312" s="2311">
        <f t="shared" si="53"/>
        <v>48883</v>
      </c>
      <c r="D312" s="2275">
        <f t="shared" si="56"/>
        <v>0</v>
      </c>
      <c r="E312" s="2275">
        <f>'A&amp;R'!H58/1000*(14=20)</f>
        <v>0</v>
      </c>
      <c r="F312" s="2275">
        <f>'A&amp;R'!E86/1000</f>
        <v>0</v>
      </c>
      <c r="G312" s="2275">
        <f>'A&amp;R'!F86/1000</f>
        <v>0</v>
      </c>
      <c r="H312" s="2422">
        <f t="shared" si="57"/>
        <v>0</v>
      </c>
      <c r="I312" s="2422"/>
      <c r="J312" s="2270">
        <f t="shared" si="58"/>
        <v>0</v>
      </c>
      <c r="L312" s="2270">
        <f t="shared" si="54"/>
        <v>0</v>
      </c>
      <c r="M312" s="2270">
        <f t="shared" si="55"/>
        <v>0</v>
      </c>
    </row>
    <row r="313" spans="2:13" ht="12.75" thickBot="1">
      <c r="B313" s="2313">
        <v>15</v>
      </c>
      <c r="C313" s="2311">
        <f t="shared" si="53"/>
        <v>49064</v>
      </c>
      <c r="D313" s="2275">
        <f t="shared" si="56"/>
        <v>0</v>
      </c>
      <c r="E313" s="2275">
        <f>'A&amp;R'!H59/1000*(15=20)</f>
        <v>0</v>
      </c>
      <c r="F313" s="2275">
        <f>'A&amp;R'!E87/1000</f>
        <v>0</v>
      </c>
      <c r="G313" s="2275">
        <f>'A&amp;R'!F87/1000</f>
        <v>0</v>
      </c>
      <c r="H313" s="2422">
        <f t="shared" si="57"/>
        <v>0</v>
      </c>
      <c r="I313" s="2422"/>
      <c r="J313" s="2270">
        <f t="shared" si="58"/>
        <v>0</v>
      </c>
      <c r="L313" s="2270">
        <f t="shared" si="54"/>
        <v>0</v>
      </c>
      <c r="M313" s="2270">
        <f t="shared" si="55"/>
        <v>0</v>
      </c>
    </row>
    <row r="314" spans="2:13" ht="12.75" thickBot="1">
      <c r="B314" s="2313">
        <v>16</v>
      </c>
      <c r="C314" s="2311">
        <f t="shared" si="53"/>
        <v>49248</v>
      </c>
      <c r="D314" s="2275">
        <f t="shared" si="56"/>
        <v>0</v>
      </c>
      <c r="E314" s="2275">
        <f>'A&amp;R'!H60/1000*(16=20)</f>
        <v>0</v>
      </c>
      <c r="F314" s="2275">
        <f>'A&amp;R'!E88/1000</f>
        <v>0</v>
      </c>
      <c r="G314" s="2275">
        <f>'A&amp;R'!F88/1000</f>
        <v>0</v>
      </c>
      <c r="H314" s="2422">
        <f t="shared" si="57"/>
        <v>0</v>
      </c>
      <c r="I314" s="2422"/>
      <c r="J314" s="2270">
        <f t="shared" si="58"/>
        <v>0</v>
      </c>
      <c r="L314" s="2270">
        <f t="shared" si="54"/>
        <v>0</v>
      </c>
      <c r="M314" s="2270">
        <f t="shared" si="55"/>
        <v>0</v>
      </c>
    </row>
    <row r="315" spans="2:13" ht="12.75" thickBot="1">
      <c r="B315" s="2313">
        <v>17</v>
      </c>
      <c r="C315" s="2311">
        <f t="shared" si="53"/>
        <v>49429</v>
      </c>
      <c r="D315" s="2275">
        <f t="shared" si="56"/>
        <v>0</v>
      </c>
      <c r="E315" s="2275">
        <f>'A&amp;R'!H61/1000*(17=20)</f>
        <v>0</v>
      </c>
      <c r="F315" s="2275">
        <f>'A&amp;R'!E89/1000</f>
        <v>0</v>
      </c>
      <c r="G315" s="2275">
        <f>'A&amp;R'!F89/1000</f>
        <v>0</v>
      </c>
      <c r="H315" s="2422">
        <f t="shared" si="57"/>
        <v>0</v>
      </c>
      <c r="I315" s="2422"/>
      <c r="J315" s="2270">
        <f t="shared" si="58"/>
        <v>0</v>
      </c>
      <c r="L315" s="2270">
        <f t="shared" si="54"/>
        <v>0</v>
      </c>
      <c r="M315" s="2270">
        <f t="shared" si="55"/>
        <v>0</v>
      </c>
    </row>
    <row r="316" spans="2:13" ht="12.75" thickBot="1">
      <c r="B316" s="2313">
        <v>18</v>
      </c>
      <c r="C316" s="2311">
        <f t="shared" si="53"/>
        <v>49613</v>
      </c>
      <c r="D316" s="2275">
        <f t="shared" si="56"/>
        <v>0</v>
      </c>
      <c r="E316" s="2275">
        <f>'A&amp;R'!H62/1000*(18=20)</f>
        <v>0</v>
      </c>
      <c r="F316" s="2275">
        <f>'A&amp;R'!E90/1000</f>
        <v>0</v>
      </c>
      <c r="G316" s="2275">
        <f>'A&amp;R'!F90/1000</f>
        <v>0</v>
      </c>
      <c r="H316" s="2422">
        <f t="shared" si="57"/>
        <v>0</v>
      </c>
      <c r="I316" s="2422"/>
      <c r="J316" s="2270">
        <f t="shared" si="58"/>
        <v>0</v>
      </c>
      <c r="L316" s="2270">
        <f t="shared" si="54"/>
        <v>0</v>
      </c>
      <c r="M316" s="2270">
        <f t="shared" si="55"/>
        <v>0</v>
      </c>
    </row>
    <row r="317" spans="2:13" ht="12.75" thickBot="1">
      <c r="B317" s="2313">
        <v>19</v>
      </c>
      <c r="C317" s="2311">
        <f t="shared" si="53"/>
        <v>49795</v>
      </c>
      <c r="D317" s="2275">
        <f t="shared" si="56"/>
        <v>0</v>
      </c>
      <c r="E317" s="2275">
        <f>'A&amp;R'!H63/1000*(19=20)</f>
        <v>0</v>
      </c>
      <c r="F317" s="2275">
        <f>'A&amp;R'!E91/1000</f>
        <v>0</v>
      </c>
      <c r="G317" s="2275">
        <f>'A&amp;R'!F91/1000</f>
        <v>0</v>
      </c>
      <c r="H317" s="2422">
        <f t="shared" si="57"/>
        <v>0</v>
      </c>
      <c r="I317" s="2422"/>
      <c r="J317" s="2270">
        <f t="shared" si="58"/>
        <v>0</v>
      </c>
      <c r="L317" s="2270">
        <f t="shared" si="54"/>
        <v>0</v>
      </c>
      <c r="M317" s="2270">
        <f t="shared" si="55"/>
        <v>0</v>
      </c>
    </row>
    <row r="318" spans="2:13" ht="12.75" thickBot="1">
      <c r="B318" s="2313">
        <v>20</v>
      </c>
      <c r="C318" s="2311">
        <f t="shared" si="53"/>
        <v>49979</v>
      </c>
      <c r="D318" s="2275">
        <f t="shared" si="56"/>
        <v>0</v>
      </c>
      <c r="E318" s="2275">
        <f>'A&amp;R'!H64/1000*(20=20)</f>
        <v>0</v>
      </c>
      <c r="F318" s="2275">
        <f>'A&amp;R'!E92/1000</f>
        <v>0</v>
      </c>
      <c r="G318" s="2275">
        <f>'A&amp;R'!F92/1000</f>
        <v>0</v>
      </c>
      <c r="H318" s="2422">
        <f t="shared" si="57"/>
        <v>0</v>
      </c>
      <c r="I318" s="2422"/>
      <c r="J318" s="2270">
        <f t="shared" si="58"/>
        <v>0</v>
      </c>
      <c r="L318" s="2270">
        <f t="shared" si="54"/>
        <v>0</v>
      </c>
      <c r="M318" s="2270">
        <f t="shared" si="55"/>
        <v>0</v>
      </c>
    </row>
    <row r="319" spans="2:13" ht="12.75" thickBot="1">
      <c r="B319" s="2834" t="s">
        <v>1473</v>
      </c>
      <c r="C319" s="2835"/>
      <c r="D319" s="2279">
        <f>SUM(D298:D318)</f>
        <v>0</v>
      </c>
      <c r="E319" s="2279">
        <f>SUM(E298:E318)</f>
        <v>0</v>
      </c>
      <c r="F319" s="2279">
        <f>SUM(F298:F318)</f>
        <v>0</v>
      </c>
      <c r="G319" s="2279">
        <f>SUM(G298:G318)</f>
        <v>0</v>
      </c>
      <c r="H319" s="2309">
        <f>F319/J319*2</f>
        <v>0</v>
      </c>
      <c r="I319" s="2309">
        <f>SUM(F319,G319)/J319*2</f>
        <v>0</v>
      </c>
      <c r="J319" s="2270">
        <f>SUM(J299:J318)</f>
        <v>40000</v>
      </c>
      <c r="L319" s="2468">
        <f>XIRR(L298:L318,C298:C318)</f>
        <v>2.9802322387695314E-9</v>
      </c>
      <c r="M319" s="2468">
        <f>XIRR(M298:M318,C298:C318)</f>
        <v>2.9802322387695314E-9</v>
      </c>
    </row>
    <row r="320" spans="2:13">
      <c r="D320" s="2470" t="e">
        <f>D319/J318+1</f>
        <v>#DIV/0!</v>
      </c>
    </row>
    <row r="322" spans="1:13" ht="12.75" thickBot="1">
      <c r="A322" s="2234" t="s">
        <v>1536</v>
      </c>
    </row>
    <row r="323" spans="1:13" ht="12.75" thickBot="1">
      <c r="B323" s="2817" t="str">
        <f>B272</f>
        <v>구분</v>
      </c>
      <c r="C323" s="2833"/>
      <c r="D323" s="2272" t="str">
        <f>D272</f>
        <v>현금의 변동</v>
      </c>
      <c r="E323" s="2272" t="str">
        <f>E272</f>
        <v>투자금 납입/상환</v>
      </c>
      <c r="F323" s="2272" t="str">
        <f>F272</f>
        <v>운영배당수입</v>
      </c>
      <c r="G323" s="2315" t="str">
        <f>G272</f>
        <v>청산배당수입</v>
      </c>
      <c r="H323" s="2263" t="s">
        <v>1471</v>
      </c>
      <c r="I323" s="2263" t="s">
        <v>1646</v>
      </c>
      <c r="L323" s="2467" t="s">
        <v>1647</v>
      </c>
      <c r="M323" s="2467" t="s">
        <v>1648</v>
      </c>
    </row>
    <row r="324" spans="1:13" ht="12.75" thickBot="1">
      <c r="B324" s="2310" t="s">
        <v>1472</v>
      </c>
      <c r="C324" s="2311">
        <f t="shared" ref="C324:C344" si="59">C298</f>
        <v>46326</v>
      </c>
      <c r="D324" s="2275">
        <f>E324</f>
        <v>-14800</v>
      </c>
      <c r="E324" s="2275">
        <f>-'A&amp;R'!H73/1000</f>
        <v>-14800</v>
      </c>
      <c r="F324" s="2275">
        <v>0</v>
      </c>
      <c r="G324" s="2275">
        <v>0</v>
      </c>
      <c r="H324" s="2312"/>
      <c r="I324" s="2312"/>
      <c r="L324" s="2270">
        <f t="shared" ref="L324:L344" si="60">SUM(E324:F324)</f>
        <v>-14800</v>
      </c>
      <c r="M324" s="2270">
        <f t="shared" ref="M324:M344" si="61">SUM(E324:G324)</f>
        <v>-14800</v>
      </c>
    </row>
    <row r="325" spans="1:13" ht="12.75" thickBot="1">
      <c r="B325" s="2313">
        <v>1</v>
      </c>
      <c r="C325" s="2311">
        <f t="shared" si="59"/>
        <v>46507</v>
      </c>
      <c r="D325" s="2275">
        <f t="shared" ref="D325:D344" ca="1" si="62">SUM(E325:G325)</f>
        <v>555</v>
      </c>
      <c r="E325" s="2275">
        <f>'A&amp;R'!H73/1000*(1=20)</f>
        <v>0</v>
      </c>
      <c r="F325" s="2275">
        <f ca="1">'A&amp;R'!I73/1000</f>
        <v>555</v>
      </c>
      <c r="G325" s="2275">
        <f>'A&amp;R'!J73/1000</f>
        <v>0</v>
      </c>
      <c r="H325" s="2422">
        <f t="shared" ref="H325:H345" ca="1" si="63">F325/J325*2</f>
        <v>7.4999999999999997E-2</v>
      </c>
      <c r="I325" s="2422"/>
      <c r="J325" s="2270">
        <f>-E324</f>
        <v>14800</v>
      </c>
      <c r="L325" s="2270">
        <f t="shared" ca="1" si="60"/>
        <v>555</v>
      </c>
      <c r="M325" s="2270">
        <f t="shared" ca="1" si="61"/>
        <v>555</v>
      </c>
    </row>
    <row r="326" spans="1:13" ht="12.75" thickBot="1">
      <c r="B326" s="2313">
        <v>2</v>
      </c>
      <c r="C326" s="2311">
        <f t="shared" si="59"/>
        <v>46691</v>
      </c>
      <c r="D326" s="2275">
        <f t="shared" ca="1" si="62"/>
        <v>555</v>
      </c>
      <c r="E326" s="2275">
        <f>'A&amp;R'!H74/1000*(2=20)</f>
        <v>0</v>
      </c>
      <c r="F326" s="2275">
        <f ca="1">'A&amp;R'!I74/1000</f>
        <v>555</v>
      </c>
      <c r="G326" s="2275">
        <f>'A&amp;R'!J74/1000</f>
        <v>0</v>
      </c>
      <c r="H326" s="2422">
        <f t="shared" ca="1" si="63"/>
        <v>7.4999999999999997E-2</v>
      </c>
      <c r="I326" s="2422"/>
      <c r="J326" s="2270">
        <f t="shared" ref="J326:J344" si="64">J325-E325</f>
        <v>14800</v>
      </c>
      <c r="L326" s="2270">
        <f t="shared" ca="1" si="60"/>
        <v>555</v>
      </c>
      <c r="M326" s="2270">
        <f t="shared" ca="1" si="61"/>
        <v>555</v>
      </c>
    </row>
    <row r="327" spans="1:13" ht="12.75" thickBot="1">
      <c r="B327" s="2313">
        <v>3</v>
      </c>
      <c r="C327" s="2311">
        <f t="shared" si="59"/>
        <v>46873</v>
      </c>
      <c r="D327" s="2275">
        <f t="shared" ca="1" si="62"/>
        <v>0</v>
      </c>
      <c r="E327" s="2275">
        <f>'A&amp;R'!H75/1000*(3=20)</f>
        <v>0</v>
      </c>
      <c r="F327" s="2275">
        <f ca="1">'A&amp;R'!I75/1000</f>
        <v>0</v>
      </c>
      <c r="G327" s="2275">
        <f>'A&amp;R'!J75/1000</f>
        <v>0</v>
      </c>
      <c r="H327" s="2422">
        <f t="shared" ca="1" si="63"/>
        <v>0</v>
      </c>
      <c r="I327" s="2422"/>
      <c r="J327" s="2270">
        <f t="shared" si="64"/>
        <v>14800</v>
      </c>
      <c r="L327" s="2270">
        <f t="shared" ca="1" si="60"/>
        <v>0</v>
      </c>
      <c r="M327" s="2270">
        <f t="shared" ca="1" si="61"/>
        <v>0</v>
      </c>
    </row>
    <row r="328" spans="1:13" ht="12.75" thickBot="1">
      <c r="B328" s="2313">
        <v>4</v>
      </c>
      <c r="C328" s="2311">
        <f t="shared" si="59"/>
        <v>47057</v>
      </c>
      <c r="D328" s="2275">
        <f t="shared" ca="1" si="62"/>
        <v>0</v>
      </c>
      <c r="E328" s="2275">
        <f>'A&amp;R'!H76/1000*(4=20)</f>
        <v>0</v>
      </c>
      <c r="F328" s="2275">
        <f ca="1">'A&amp;R'!I76/1000</f>
        <v>0</v>
      </c>
      <c r="G328" s="2275">
        <f>'A&amp;R'!J76/1000</f>
        <v>0</v>
      </c>
      <c r="H328" s="2422">
        <f t="shared" ca="1" si="63"/>
        <v>0</v>
      </c>
      <c r="I328" s="2422"/>
      <c r="J328" s="2270">
        <f t="shared" si="64"/>
        <v>14800</v>
      </c>
      <c r="L328" s="2270">
        <f t="shared" ca="1" si="60"/>
        <v>0</v>
      </c>
      <c r="M328" s="2270">
        <f t="shared" ca="1" si="61"/>
        <v>0</v>
      </c>
    </row>
    <row r="329" spans="1:13" ht="12.75" thickBot="1">
      <c r="B329" s="2313">
        <v>5</v>
      </c>
      <c r="C329" s="2311">
        <f t="shared" si="59"/>
        <v>47238</v>
      </c>
      <c r="D329" s="2275">
        <f t="shared" ca="1" si="62"/>
        <v>0</v>
      </c>
      <c r="E329" s="2275">
        <f>'A&amp;R'!H77/1000*(5=20)</f>
        <v>0</v>
      </c>
      <c r="F329" s="2275">
        <f ca="1">'A&amp;R'!I77/1000</f>
        <v>0</v>
      </c>
      <c r="G329" s="2275">
        <f>'A&amp;R'!J77/1000</f>
        <v>0</v>
      </c>
      <c r="H329" s="2422">
        <f t="shared" ca="1" si="63"/>
        <v>0</v>
      </c>
      <c r="I329" s="2422"/>
      <c r="J329" s="2270">
        <f t="shared" si="64"/>
        <v>14800</v>
      </c>
      <c r="L329" s="2270">
        <f t="shared" ca="1" si="60"/>
        <v>0</v>
      </c>
      <c r="M329" s="2270">
        <f t="shared" ca="1" si="61"/>
        <v>0</v>
      </c>
    </row>
    <row r="330" spans="1:13" ht="12.75" thickBot="1">
      <c r="B330" s="2313">
        <v>6</v>
      </c>
      <c r="C330" s="2311">
        <f t="shared" si="59"/>
        <v>47422</v>
      </c>
      <c r="D330" s="2275">
        <f t="shared" ca="1" si="62"/>
        <v>0</v>
      </c>
      <c r="E330" s="2275">
        <f>'A&amp;R'!H78/1000*(6=20)</f>
        <v>0</v>
      </c>
      <c r="F330" s="2275">
        <f ca="1">'A&amp;R'!I78/1000</f>
        <v>0</v>
      </c>
      <c r="G330" s="2275">
        <f>'A&amp;R'!J78/1000</f>
        <v>0</v>
      </c>
      <c r="H330" s="2422">
        <f t="shared" ca="1" si="63"/>
        <v>0</v>
      </c>
      <c r="I330" s="2422"/>
      <c r="J330" s="2270">
        <f t="shared" si="64"/>
        <v>14800</v>
      </c>
      <c r="L330" s="2270">
        <f t="shared" ca="1" si="60"/>
        <v>0</v>
      </c>
      <c r="M330" s="2270">
        <f t="shared" ca="1" si="61"/>
        <v>0</v>
      </c>
    </row>
    <row r="331" spans="1:13" ht="12.75" thickBot="1">
      <c r="B331" s="2313">
        <v>7</v>
      </c>
      <c r="C331" s="2311">
        <f t="shared" si="59"/>
        <v>47603</v>
      </c>
      <c r="D331" s="2275">
        <f t="shared" ca="1" si="62"/>
        <v>0</v>
      </c>
      <c r="E331" s="2275">
        <f>'A&amp;R'!H79/1000*(7=20)</f>
        <v>0</v>
      </c>
      <c r="F331" s="2275">
        <f ca="1">'A&amp;R'!I79/1000</f>
        <v>0</v>
      </c>
      <c r="G331" s="2275">
        <f>'A&amp;R'!J79/1000</f>
        <v>0</v>
      </c>
      <c r="H331" s="2422">
        <f t="shared" ca="1" si="63"/>
        <v>0</v>
      </c>
      <c r="I331" s="2422"/>
      <c r="J331" s="2270">
        <f t="shared" si="64"/>
        <v>14800</v>
      </c>
      <c r="L331" s="2270">
        <f t="shared" ca="1" si="60"/>
        <v>0</v>
      </c>
      <c r="M331" s="2270">
        <f t="shared" ca="1" si="61"/>
        <v>0</v>
      </c>
    </row>
    <row r="332" spans="1:13" ht="12.75" thickBot="1">
      <c r="B332" s="2313">
        <v>8</v>
      </c>
      <c r="C332" s="2311">
        <f t="shared" si="59"/>
        <v>47787</v>
      </c>
      <c r="D332" s="2275">
        <f t="shared" ca="1" si="62"/>
        <v>0</v>
      </c>
      <c r="E332" s="2275">
        <f>'A&amp;R'!H80/1000*(8=20)</f>
        <v>0</v>
      </c>
      <c r="F332" s="2275">
        <f ca="1">'A&amp;R'!I80/1000</f>
        <v>0</v>
      </c>
      <c r="G332" s="2275">
        <f>'A&amp;R'!J80/1000</f>
        <v>0</v>
      </c>
      <c r="H332" s="2422">
        <f t="shared" ca="1" si="63"/>
        <v>0</v>
      </c>
      <c r="I332" s="2422"/>
      <c r="J332" s="2270">
        <f t="shared" si="64"/>
        <v>14800</v>
      </c>
      <c r="L332" s="2270">
        <f t="shared" ca="1" si="60"/>
        <v>0</v>
      </c>
      <c r="M332" s="2270">
        <f t="shared" ca="1" si="61"/>
        <v>0</v>
      </c>
    </row>
    <row r="333" spans="1:13" ht="12.75" thickBot="1">
      <c r="B333" s="2313">
        <v>9</v>
      </c>
      <c r="C333" s="2311">
        <f t="shared" si="59"/>
        <v>47968</v>
      </c>
      <c r="D333" s="2275">
        <f t="shared" ca="1" si="62"/>
        <v>0</v>
      </c>
      <c r="E333" s="2275">
        <f>'A&amp;R'!H81/1000*(9=20)</f>
        <v>0</v>
      </c>
      <c r="F333" s="2275">
        <f ca="1">'A&amp;R'!I81/1000</f>
        <v>0</v>
      </c>
      <c r="G333" s="2275">
        <f>'A&amp;R'!J81/1000</f>
        <v>0</v>
      </c>
      <c r="H333" s="2422">
        <f t="shared" ca="1" si="63"/>
        <v>0</v>
      </c>
      <c r="I333" s="2422"/>
      <c r="J333" s="2270">
        <f t="shared" si="64"/>
        <v>14800</v>
      </c>
      <c r="L333" s="2270">
        <f t="shared" ca="1" si="60"/>
        <v>0</v>
      </c>
      <c r="M333" s="2270">
        <f t="shared" ca="1" si="61"/>
        <v>0</v>
      </c>
    </row>
    <row r="334" spans="1:13" ht="12.75" thickBot="1">
      <c r="B334" s="2313">
        <v>10</v>
      </c>
      <c r="C334" s="2311">
        <f t="shared" si="59"/>
        <v>48152</v>
      </c>
      <c r="D334" s="2275">
        <f t="shared" ca="1" si="62"/>
        <v>0</v>
      </c>
      <c r="E334" s="2275">
        <f>'A&amp;R'!H82/1000*(10=20)</f>
        <v>0</v>
      </c>
      <c r="F334" s="2275">
        <f ca="1">'A&amp;R'!I82/1000</f>
        <v>0</v>
      </c>
      <c r="G334" s="2275">
        <f>'A&amp;R'!J82/1000</f>
        <v>0</v>
      </c>
      <c r="H334" s="2422">
        <f t="shared" ca="1" si="63"/>
        <v>0</v>
      </c>
      <c r="I334" s="2422"/>
      <c r="J334" s="2270">
        <f t="shared" si="64"/>
        <v>14800</v>
      </c>
      <c r="L334" s="2270">
        <f t="shared" ca="1" si="60"/>
        <v>0</v>
      </c>
      <c r="M334" s="2270">
        <f t="shared" ca="1" si="61"/>
        <v>0</v>
      </c>
    </row>
    <row r="335" spans="1:13" ht="12.75" thickBot="1">
      <c r="B335" s="2313">
        <v>11</v>
      </c>
      <c r="C335" s="2311">
        <f t="shared" si="59"/>
        <v>48334</v>
      </c>
      <c r="D335" s="2275">
        <f t="shared" ca="1" si="62"/>
        <v>0</v>
      </c>
      <c r="E335" s="2275">
        <f>'A&amp;R'!H83/1000*(11=20)</f>
        <v>0</v>
      </c>
      <c r="F335" s="2275">
        <f ca="1">'A&amp;R'!I83/1000</f>
        <v>0</v>
      </c>
      <c r="G335" s="2275">
        <f>'A&amp;R'!J83/1000</f>
        <v>0</v>
      </c>
      <c r="H335" s="2422">
        <f t="shared" ca="1" si="63"/>
        <v>0</v>
      </c>
      <c r="I335" s="2422"/>
      <c r="J335" s="2270">
        <f t="shared" si="64"/>
        <v>14800</v>
      </c>
      <c r="L335" s="2270">
        <f t="shared" ca="1" si="60"/>
        <v>0</v>
      </c>
      <c r="M335" s="2270">
        <f t="shared" ca="1" si="61"/>
        <v>0</v>
      </c>
    </row>
    <row r="336" spans="1:13" ht="12.75" thickBot="1">
      <c r="B336" s="2313">
        <v>12</v>
      </c>
      <c r="C336" s="2311">
        <f t="shared" si="59"/>
        <v>48518</v>
      </c>
      <c r="D336" s="2275">
        <f t="shared" ca="1" si="62"/>
        <v>0</v>
      </c>
      <c r="E336" s="2275">
        <f>'A&amp;R'!H84/1000*(12=20)</f>
        <v>0</v>
      </c>
      <c r="F336" s="2275">
        <f ca="1">'A&amp;R'!I84/1000</f>
        <v>0</v>
      </c>
      <c r="G336" s="2275">
        <f>'A&amp;R'!J84/1000</f>
        <v>0</v>
      </c>
      <c r="H336" s="2422">
        <f t="shared" ca="1" si="63"/>
        <v>0</v>
      </c>
      <c r="I336" s="2422"/>
      <c r="J336" s="2270">
        <f t="shared" si="64"/>
        <v>14800</v>
      </c>
      <c r="L336" s="2270">
        <f t="shared" ca="1" si="60"/>
        <v>0</v>
      </c>
      <c r="M336" s="2270">
        <f t="shared" ca="1" si="61"/>
        <v>0</v>
      </c>
    </row>
    <row r="337" spans="1:13" ht="12.75" thickBot="1">
      <c r="B337" s="2313">
        <v>13</v>
      </c>
      <c r="C337" s="2311">
        <f t="shared" si="59"/>
        <v>48699</v>
      </c>
      <c r="D337" s="2275">
        <f t="shared" ca="1" si="62"/>
        <v>0</v>
      </c>
      <c r="E337" s="2275">
        <f>'A&amp;R'!H85/1000*(13=20)</f>
        <v>0</v>
      </c>
      <c r="F337" s="2275">
        <f ca="1">'A&amp;R'!I85/1000</f>
        <v>0</v>
      </c>
      <c r="G337" s="2275">
        <f>'A&amp;R'!J85/1000</f>
        <v>0</v>
      </c>
      <c r="H337" s="2422">
        <f t="shared" ca="1" si="63"/>
        <v>0</v>
      </c>
      <c r="I337" s="2422"/>
      <c r="J337" s="2270">
        <f t="shared" si="64"/>
        <v>14800</v>
      </c>
      <c r="L337" s="2270">
        <f t="shared" ca="1" si="60"/>
        <v>0</v>
      </c>
      <c r="M337" s="2270">
        <f t="shared" ca="1" si="61"/>
        <v>0</v>
      </c>
    </row>
    <row r="338" spans="1:13" ht="12.75" thickBot="1">
      <c r="B338" s="2313">
        <v>14</v>
      </c>
      <c r="C338" s="2311">
        <f t="shared" si="59"/>
        <v>48883</v>
      </c>
      <c r="D338" s="2275">
        <f t="shared" ca="1" si="62"/>
        <v>0</v>
      </c>
      <c r="E338" s="2275">
        <f>'A&amp;R'!H86/1000*(14=20)</f>
        <v>0</v>
      </c>
      <c r="F338" s="2275">
        <f ca="1">'A&amp;R'!I86/1000</f>
        <v>0</v>
      </c>
      <c r="G338" s="2275">
        <f>'A&amp;R'!J86/1000</f>
        <v>0</v>
      </c>
      <c r="H338" s="2422">
        <f t="shared" ca="1" si="63"/>
        <v>0</v>
      </c>
      <c r="I338" s="2422"/>
      <c r="J338" s="2270">
        <f t="shared" si="64"/>
        <v>14800</v>
      </c>
      <c r="L338" s="2270">
        <f t="shared" ca="1" si="60"/>
        <v>0</v>
      </c>
      <c r="M338" s="2270">
        <f t="shared" ca="1" si="61"/>
        <v>0</v>
      </c>
    </row>
    <row r="339" spans="1:13" ht="12.75" thickBot="1">
      <c r="B339" s="2313">
        <v>15</v>
      </c>
      <c r="C339" s="2311">
        <f t="shared" si="59"/>
        <v>49064</v>
      </c>
      <c r="D339" s="2275">
        <f t="shared" ca="1" si="62"/>
        <v>0</v>
      </c>
      <c r="E339" s="2275">
        <f>'A&amp;R'!H87/1000*(15=20)</f>
        <v>0</v>
      </c>
      <c r="F339" s="2275">
        <f ca="1">'A&amp;R'!I87/1000</f>
        <v>0</v>
      </c>
      <c r="G339" s="2275">
        <f>'A&amp;R'!J87/1000</f>
        <v>0</v>
      </c>
      <c r="H339" s="2422">
        <f t="shared" ca="1" si="63"/>
        <v>0</v>
      </c>
      <c r="I339" s="2422"/>
      <c r="J339" s="2270">
        <f t="shared" si="64"/>
        <v>14800</v>
      </c>
      <c r="L339" s="2270">
        <f t="shared" ca="1" si="60"/>
        <v>0</v>
      </c>
      <c r="M339" s="2270">
        <f t="shared" ca="1" si="61"/>
        <v>0</v>
      </c>
    </row>
    <row r="340" spans="1:13" ht="12.75" thickBot="1">
      <c r="B340" s="2313">
        <v>16</v>
      </c>
      <c r="C340" s="2311">
        <f t="shared" si="59"/>
        <v>49248</v>
      </c>
      <c r="D340" s="2275">
        <f t="shared" ca="1" si="62"/>
        <v>0</v>
      </c>
      <c r="E340" s="2275">
        <f>'A&amp;R'!H88/1000*(16=20)</f>
        <v>0</v>
      </c>
      <c r="F340" s="2275">
        <f ca="1">'A&amp;R'!I88/1000</f>
        <v>0</v>
      </c>
      <c r="G340" s="2275">
        <f>'A&amp;R'!J88/1000</f>
        <v>0</v>
      </c>
      <c r="H340" s="2422">
        <f t="shared" ca="1" si="63"/>
        <v>0</v>
      </c>
      <c r="I340" s="2422"/>
      <c r="J340" s="2270">
        <f t="shared" si="64"/>
        <v>14800</v>
      </c>
      <c r="L340" s="2270">
        <f t="shared" ca="1" si="60"/>
        <v>0</v>
      </c>
      <c r="M340" s="2270">
        <f t="shared" ca="1" si="61"/>
        <v>0</v>
      </c>
    </row>
    <row r="341" spans="1:13" ht="12.75" thickBot="1">
      <c r="B341" s="2313">
        <v>17</v>
      </c>
      <c r="C341" s="2311">
        <f t="shared" si="59"/>
        <v>49429</v>
      </c>
      <c r="D341" s="2275">
        <f t="shared" ca="1" si="62"/>
        <v>0</v>
      </c>
      <c r="E341" s="2275">
        <f>'A&amp;R'!H89/1000*(17=20)</f>
        <v>0</v>
      </c>
      <c r="F341" s="2275">
        <f ca="1">'A&amp;R'!I89/1000</f>
        <v>0</v>
      </c>
      <c r="G341" s="2275">
        <f>'A&amp;R'!J89/1000</f>
        <v>0</v>
      </c>
      <c r="H341" s="2422">
        <f t="shared" ca="1" si="63"/>
        <v>0</v>
      </c>
      <c r="I341" s="2422"/>
      <c r="J341" s="2270">
        <f t="shared" si="64"/>
        <v>14800</v>
      </c>
      <c r="L341" s="2270">
        <f t="shared" ca="1" si="60"/>
        <v>0</v>
      </c>
      <c r="M341" s="2270">
        <f t="shared" ca="1" si="61"/>
        <v>0</v>
      </c>
    </row>
    <row r="342" spans="1:13" ht="12.75" thickBot="1">
      <c r="B342" s="2313">
        <v>18</v>
      </c>
      <c r="C342" s="2311">
        <f t="shared" si="59"/>
        <v>49613</v>
      </c>
      <c r="D342" s="2275">
        <f t="shared" ca="1" si="62"/>
        <v>0</v>
      </c>
      <c r="E342" s="2275">
        <f>'A&amp;R'!H90/1000*(18=20)</f>
        <v>0</v>
      </c>
      <c r="F342" s="2275">
        <f ca="1">'A&amp;R'!I90/1000</f>
        <v>0</v>
      </c>
      <c r="G342" s="2275">
        <f>'A&amp;R'!J90/1000</f>
        <v>0</v>
      </c>
      <c r="H342" s="2422">
        <f t="shared" ca="1" si="63"/>
        <v>0</v>
      </c>
      <c r="I342" s="2422"/>
      <c r="J342" s="2270">
        <f t="shared" si="64"/>
        <v>14800</v>
      </c>
      <c r="L342" s="2270">
        <f t="shared" ca="1" si="60"/>
        <v>0</v>
      </c>
      <c r="M342" s="2270">
        <f t="shared" ca="1" si="61"/>
        <v>0</v>
      </c>
    </row>
    <row r="343" spans="1:13" ht="12.75" thickBot="1">
      <c r="B343" s="2313">
        <v>19</v>
      </c>
      <c r="C343" s="2311">
        <f t="shared" si="59"/>
        <v>49795</v>
      </c>
      <c r="D343" s="2275">
        <f t="shared" ca="1" si="62"/>
        <v>0</v>
      </c>
      <c r="E343" s="2275">
        <f>'A&amp;R'!H91/1000*(19=20)</f>
        <v>0</v>
      </c>
      <c r="F343" s="2275">
        <f ca="1">'A&amp;R'!I91/1000</f>
        <v>0</v>
      </c>
      <c r="G343" s="2275">
        <f>'A&amp;R'!J91/1000</f>
        <v>0</v>
      </c>
      <c r="H343" s="2422">
        <f t="shared" ca="1" si="63"/>
        <v>0</v>
      </c>
      <c r="I343" s="2422"/>
      <c r="J343" s="2270">
        <f t="shared" si="64"/>
        <v>14800</v>
      </c>
      <c r="L343" s="2270">
        <f t="shared" ca="1" si="60"/>
        <v>0</v>
      </c>
      <c r="M343" s="2270">
        <f t="shared" ca="1" si="61"/>
        <v>0</v>
      </c>
    </row>
    <row r="344" spans="1:13" ht="12.75" thickBot="1">
      <c r="B344" s="2313">
        <v>20</v>
      </c>
      <c r="C344" s="2311">
        <f t="shared" si="59"/>
        <v>49979</v>
      </c>
      <c r="D344" s="2275">
        <f t="shared" ca="1" si="62"/>
        <v>63260.427819552773</v>
      </c>
      <c r="E344" s="2275">
        <f>'A&amp;R'!H92/1000*(20=20)</f>
        <v>14800</v>
      </c>
      <c r="F344" s="2275">
        <f ca="1">'A&amp;R'!I92/1000</f>
        <v>0</v>
      </c>
      <c r="G344" s="2275">
        <f>'A&amp;R'!J92/1000</f>
        <v>48460.427819552773</v>
      </c>
      <c r="H344" s="2422">
        <f t="shared" ca="1" si="63"/>
        <v>0</v>
      </c>
      <c r="I344" s="2422"/>
      <c r="J344" s="2270">
        <f t="shared" si="64"/>
        <v>14800</v>
      </c>
      <c r="L344" s="2270">
        <f t="shared" ca="1" si="60"/>
        <v>14800</v>
      </c>
      <c r="M344" s="2270">
        <f t="shared" ca="1" si="61"/>
        <v>63260.427819552773</v>
      </c>
    </row>
    <row r="345" spans="1:13" ht="12.75" thickBot="1">
      <c r="B345" s="2834" t="s">
        <v>1473</v>
      </c>
      <c r="C345" s="2835"/>
      <c r="D345" s="2279">
        <f ca="1">SUM(D324:D344)</f>
        <v>49570.427819552773</v>
      </c>
      <c r="E345" s="2279">
        <f>SUM(E324:E344)</f>
        <v>0</v>
      </c>
      <c r="F345" s="2279">
        <f ca="1">SUM(F324:F344)</f>
        <v>1110</v>
      </c>
      <c r="G345" s="2279">
        <f>SUM(G324:G344)</f>
        <v>48460.427819552773</v>
      </c>
      <c r="H345" s="2309">
        <f t="shared" ca="1" si="63"/>
        <v>7.4999999999999997E-3</v>
      </c>
      <c r="I345" s="2309">
        <f ca="1">SUM(F345,G345)/J345*2</f>
        <v>0.33493532310508628</v>
      </c>
      <c r="J345" s="2270">
        <f>SUM(J325:J344)</f>
        <v>296000</v>
      </c>
      <c r="L345" s="2468">
        <f ca="1">XIRR(L324:L344,C324:C344)</f>
        <v>7.7730506658554082E-3</v>
      </c>
      <c r="M345" s="2468">
        <f ca="1">XIRR(M324:M344,C324:C344)</f>
        <v>0.16424379944801337</v>
      </c>
    </row>
    <row r="346" spans="1:13">
      <c r="D346" s="2470">
        <f ca="1">D345/J344+1</f>
        <v>4.3493532310508627</v>
      </c>
    </row>
    <row r="347" spans="1:13" ht="12.75" thickBot="1">
      <c r="A347" s="2234" t="s">
        <v>1645</v>
      </c>
    </row>
    <row r="348" spans="1:13" ht="12.75" thickBot="1">
      <c r="B348" s="2817" t="str">
        <f>B297</f>
        <v>구분</v>
      </c>
      <c r="C348" s="2833"/>
      <c r="D348" s="2272" t="str">
        <f>D297</f>
        <v>현금의 변동</v>
      </c>
      <c r="E348" s="2272" t="str">
        <f>E297</f>
        <v>투자금 납입/상환</v>
      </c>
      <c r="F348" s="2272" t="str">
        <f>F297</f>
        <v>운영배당수입</v>
      </c>
      <c r="G348" s="2315" t="str">
        <f>G297</f>
        <v>청산배당수입</v>
      </c>
      <c r="H348" s="2263" t="s">
        <v>1471</v>
      </c>
      <c r="I348" s="2263" t="s">
        <v>1646</v>
      </c>
      <c r="L348" s="2467" t="s">
        <v>1647</v>
      </c>
      <c r="M348" s="2467" t="s">
        <v>1648</v>
      </c>
    </row>
    <row r="349" spans="1:13" ht="12.75" thickBot="1">
      <c r="B349" s="2310" t="s">
        <v>1472</v>
      </c>
      <c r="C349" s="2311">
        <f t="shared" ref="C349:C369" si="65">C324</f>
        <v>46326</v>
      </c>
      <c r="D349" s="2275">
        <f>E349</f>
        <v>-98800</v>
      </c>
      <c r="E349" s="2275">
        <f t="shared" ref="E349:G369" si="66">E247+E273+E298+E324</f>
        <v>-98800</v>
      </c>
      <c r="F349" s="2275">
        <f t="shared" si="66"/>
        <v>0</v>
      </c>
      <c r="G349" s="2275">
        <f t="shared" si="66"/>
        <v>0</v>
      </c>
      <c r="H349" s="2312"/>
      <c r="I349" s="2312"/>
      <c r="L349" s="2270">
        <f t="shared" ref="L349:L369" si="67">SUM(E349:F349)</f>
        <v>-98800</v>
      </c>
      <c r="M349" s="2270">
        <f t="shared" ref="M349:M369" si="68">SUM(E349:G349)</f>
        <v>-98800</v>
      </c>
    </row>
    <row r="350" spans="1:13" ht="12.75" thickBot="1">
      <c r="B350" s="2313">
        <v>1</v>
      </c>
      <c r="C350" s="2311">
        <f t="shared" si="65"/>
        <v>46507</v>
      </c>
      <c r="D350" s="2275">
        <f t="shared" ref="D350:D369" ca="1" si="69">SUM(E350:G350)</f>
        <v>3270</v>
      </c>
      <c r="E350" s="2275">
        <f t="shared" si="66"/>
        <v>0</v>
      </c>
      <c r="F350" s="2275">
        <f t="shared" ca="1" si="66"/>
        <v>3270</v>
      </c>
      <c r="G350" s="2275">
        <f t="shared" si="66"/>
        <v>0</v>
      </c>
      <c r="H350" s="2422">
        <f t="shared" ref="H350:H370" ca="1" si="70">F350/J350*2</f>
        <v>6.6194331983805671E-2</v>
      </c>
      <c r="I350" s="2422"/>
      <c r="J350" s="2270">
        <f>-E349</f>
        <v>98800</v>
      </c>
      <c r="L350" s="2270">
        <f t="shared" ca="1" si="67"/>
        <v>3270</v>
      </c>
      <c r="M350" s="2270">
        <f t="shared" ca="1" si="68"/>
        <v>3270</v>
      </c>
    </row>
    <row r="351" spans="1:13" ht="12.75" thickBot="1">
      <c r="B351" s="2313">
        <v>2</v>
      </c>
      <c r="C351" s="2311">
        <f t="shared" si="65"/>
        <v>46691</v>
      </c>
      <c r="D351" s="2275">
        <f t="shared" ca="1" si="69"/>
        <v>3270</v>
      </c>
      <c r="E351" s="2275">
        <f t="shared" si="66"/>
        <v>0</v>
      </c>
      <c r="F351" s="2275">
        <f t="shared" ca="1" si="66"/>
        <v>3270</v>
      </c>
      <c r="G351" s="2275">
        <f t="shared" si="66"/>
        <v>0</v>
      </c>
      <c r="H351" s="2422">
        <f t="shared" ca="1" si="70"/>
        <v>6.6194331983805671E-2</v>
      </c>
      <c r="I351" s="2422"/>
      <c r="J351" s="2270">
        <f t="shared" ref="J351:J369" si="71">J350-E350</f>
        <v>98800</v>
      </c>
      <c r="L351" s="2270">
        <f t="shared" ca="1" si="67"/>
        <v>3270</v>
      </c>
      <c r="M351" s="2270">
        <f t="shared" ca="1" si="68"/>
        <v>3270</v>
      </c>
    </row>
    <row r="352" spans="1:13" ht="12.75" thickBot="1">
      <c r="B352" s="2313">
        <v>3</v>
      </c>
      <c r="C352" s="2311">
        <f t="shared" si="65"/>
        <v>46873</v>
      </c>
      <c r="D352" s="2275">
        <f t="shared" ca="1" si="69"/>
        <v>2715</v>
      </c>
      <c r="E352" s="2275">
        <f t="shared" si="66"/>
        <v>0</v>
      </c>
      <c r="F352" s="2275">
        <f t="shared" ca="1" si="66"/>
        <v>2715</v>
      </c>
      <c r="G352" s="2275">
        <f t="shared" si="66"/>
        <v>0</v>
      </c>
      <c r="H352" s="2422">
        <f t="shared" ca="1" si="70"/>
        <v>5.4959514170040483E-2</v>
      </c>
      <c r="I352" s="2422"/>
      <c r="J352" s="2270">
        <f t="shared" si="71"/>
        <v>98800</v>
      </c>
      <c r="L352" s="2270">
        <f t="shared" ca="1" si="67"/>
        <v>2715</v>
      </c>
      <c r="M352" s="2270">
        <f t="shared" ca="1" si="68"/>
        <v>2715</v>
      </c>
    </row>
    <row r="353" spans="2:13" ht="12.75" thickBot="1">
      <c r="B353" s="2313">
        <v>4</v>
      </c>
      <c r="C353" s="2311">
        <f t="shared" si="65"/>
        <v>47057</v>
      </c>
      <c r="D353" s="2275">
        <f t="shared" ca="1" si="69"/>
        <v>12715</v>
      </c>
      <c r="E353" s="2275">
        <f t="shared" si="66"/>
        <v>10000</v>
      </c>
      <c r="F353" s="2275">
        <f t="shared" ca="1" si="66"/>
        <v>2715</v>
      </c>
      <c r="G353" s="2275">
        <f t="shared" si="66"/>
        <v>0</v>
      </c>
      <c r="H353" s="2422">
        <f t="shared" ca="1" si="70"/>
        <v>5.4959514170040483E-2</v>
      </c>
      <c r="I353" s="2422"/>
      <c r="J353" s="2270">
        <f t="shared" si="71"/>
        <v>98800</v>
      </c>
      <c r="L353" s="2270">
        <f t="shared" ca="1" si="67"/>
        <v>12715</v>
      </c>
      <c r="M353" s="2270">
        <f t="shared" ca="1" si="68"/>
        <v>12715</v>
      </c>
    </row>
    <row r="354" spans="2:13" ht="12.75" thickBot="1">
      <c r="B354" s="2313">
        <v>5</v>
      </c>
      <c r="C354" s="2311">
        <f t="shared" si="65"/>
        <v>47238</v>
      </c>
      <c r="D354" s="2275">
        <f t="shared" ca="1" si="69"/>
        <v>2715</v>
      </c>
      <c r="E354" s="2275">
        <f t="shared" si="66"/>
        <v>0</v>
      </c>
      <c r="F354" s="2275">
        <f t="shared" ca="1" si="66"/>
        <v>2715</v>
      </c>
      <c r="G354" s="2275">
        <f t="shared" si="66"/>
        <v>0</v>
      </c>
      <c r="H354" s="2422">
        <f t="shared" ca="1" si="70"/>
        <v>6.1148648648648649E-2</v>
      </c>
      <c r="I354" s="2422"/>
      <c r="J354" s="2270">
        <f t="shared" si="71"/>
        <v>88800</v>
      </c>
      <c r="L354" s="2270">
        <f t="shared" ca="1" si="67"/>
        <v>2715</v>
      </c>
      <c r="M354" s="2270">
        <f t="shared" ca="1" si="68"/>
        <v>2715</v>
      </c>
    </row>
    <row r="355" spans="2:13" ht="12.75" thickBot="1">
      <c r="B355" s="2313">
        <v>6</v>
      </c>
      <c r="C355" s="2311">
        <f t="shared" si="65"/>
        <v>47422</v>
      </c>
      <c r="D355" s="2275">
        <f t="shared" ca="1" si="69"/>
        <v>2715</v>
      </c>
      <c r="E355" s="2275">
        <f t="shared" si="66"/>
        <v>0</v>
      </c>
      <c r="F355" s="2275">
        <f t="shared" ca="1" si="66"/>
        <v>2715</v>
      </c>
      <c r="G355" s="2275">
        <f t="shared" si="66"/>
        <v>0</v>
      </c>
      <c r="H355" s="2422">
        <f t="shared" ca="1" si="70"/>
        <v>6.1148648648648649E-2</v>
      </c>
      <c r="I355" s="2422"/>
      <c r="J355" s="2270">
        <f t="shared" si="71"/>
        <v>88800</v>
      </c>
      <c r="L355" s="2270">
        <f t="shared" ca="1" si="67"/>
        <v>2715</v>
      </c>
      <c r="M355" s="2270">
        <f t="shared" ca="1" si="68"/>
        <v>2715</v>
      </c>
    </row>
    <row r="356" spans="2:13" ht="12.75" thickBot="1">
      <c r="B356" s="2313">
        <v>7</v>
      </c>
      <c r="C356" s="2311">
        <f t="shared" si="65"/>
        <v>47603</v>
      </c>
      <c r="D356" s="2275">
        <f t="shared" ca="1" si="69"/>
        <v>2715</v>
      </c>
      <c r="E356" s="2275">
        <f t="shared" si="66"/>
        <v>0</v>
      </c>
      <c r="F356" s="2275">
        <f t="shared" ca="1" si="66"/>
        <v>2715</v>
      </c>
      <c r="G356" s="2275">
        <f t="shared" si="66"/>
        <v>0</v>
      </c>
      <c r="H356" s="2422">
        <f t="shared" ca="1" si="70"/>
        <v>6.1148648648648649E-2</v>
      </c>
      <c r="I356" s="2422"/>
      <c r="J356" s="2270">
        <f t="shared" si="71"/>
        <v>88800</v>
      </c>
      <c r="L356" s="2270">
        <f t="shared" ca="1" si="67"/>
        <v>2715</v>
      </c>
      <c r="M356" s="2270">
        <f t="shared" ca="1" si="68"/>
        <v>2715</v>
      </c>
    </row>
    <row r="357" spans="2:13" ht="12.75" thickBot="1">
      <c r="B357" s="2313">
        <v>8</v>
      </c>
      <c r="C357" s="2311">
        <f t="shared" si="65"/>
        <v>47787</v>
      </c>
      <c r="D357" s="2275">
        <f t="shared" ca="1" si="69"/>
        <v>2715</v>
      </c>
      <c r="E357" s="2275">
        <f t="shared" si="66"/>
        <v>0</v>
      </c>
      <c r="F357" s="2275">
        <f t="shared" ca="1" si="66"/>
        <v>2715</v>
      </c>
      <c r="G357" s="2275">
        <f t="shared" si="66"/>
        <v>0</v>
      </c>
      <c r="H357" s="2422">
        <f t="shared" ca="1" si="70"/>
        <v>6.1148648648648649E-2</v>
      </c>
      <c r="I357" s="2422"/>
      <c r="J357" s="2270">
        <f t="shared" si="71"/>
        <v>88800</v>
      </c>
      <c r="L357" s="2270">
        <f t="shared" ca="1" si="67"/>
        <v>2715</v>
      </c>
      <c r="M357" s="2270">
        <f t="shared" ca="1" si="68"/>
        <v>2715</v>
      </c>
    </row>
    <row r="358" spans="2:13" ht="12.75" thickBot="1">
      <c r="B358" s="2313">
        <v>9</v>
      </c>
      <c r="C358" s="2311">
        <f t="shared" si="65"/>
        <v>47968</v>
      </c>
      <c r="D358" s="2275">
        <f t="shared" ca="1" si="69"/>
        <v>2696.0563038810928</v>
      </c>
      <c r="E358" s="2275">
        <f t="shared" si="66"/>
        <v>0</v>
      </c>
      <c r="F358" s="2275">
        <f t="shared" ca="1" si="66"/>
        <v>2696.0563038810928</v>
      </c>
      <c r="G358" s="2275">
        <f t="shared" si="66"/>
        <v>0</v>
      </c>
      <c r="H358" s="2422">
        <f t="shared" ca="1" si="70"/>
        <v>6.0721988826150743E-2</v>
      </c>
      <c r="I358" s="2422"/>
      <c r="J358" s="2270">
        <f t="shared" si="71"/>
        <v>88800</v>
      </c>
      <c r="L358" s="2270">
        <f t="shared" ca="1" si="67"/>
        <v>2696.0563038810928</v>
      </c>
      <c r="M358" s="2270">
        <f t="shared" ca="1" si="68"/>
        <v>2696.0563038810928</v>
      </c>
    </row>
    <row r="359" spans="2:13" ht="12.75" thickBot="1">
      <c r="B359" s="2313">
        <v>10</v>
      </c>
      <c r="C359" s="2311">
        <f t="shared" si="65"/>
        <v>48152</v>
      </c>
      <c r="D359" s="2275">
        <f t="shared" ca="1" si="69"/>
        <v>2601.7292937996685</v>
      </c>
      <c r="E359" s="2275">
        <f t="shared" si="66"/>
        <v>0</v>
      </c>
      <c r="F359" s="2275">
        <f t="shared" ca="1" si="66"/>
        <v>2601.7292937996685</v>
      </c>
      <c r="G359" s="2275">
        <f t="shared" si="66"/>
        <v>0</v>
      </c>
      <c r="H359" s="2422">
        <f t="shared" ca="1" si="70"/>
        <v>5.8597506617109649E-2</v>
      </c>
      <c r="I359" s="2422"/>
      <c r="J359" s="2270">
        <f t="shared" si="71"/>
        <v>88800</v>
      </c>
      <c r="L359" s="2270">
        <f t="shared" ca="1" si="67"/>
        <v>2601.7292937996685</v>
      </c>
      <c r="M359" s="2270">
        <f t="shared" ca="1" si="68"/>
        <v>2601.7292937996685</v>
      </c>
    </row>
    <row r="360" spans="2:13" ht="12.75" thickBot="1">
      <c r="B360" s="2313">
        <v>11</v>
      </c>
      <c r="C360" s="2311">
        <f t="shared" si="65"/>
        <v>48334</v>
      </c>
      <c r="D360" s="2275">
        <f t="shared" ca="1" si="69"/>
        <v>2678.0823751356361</v>
      </c>
      <c r="E360" s="2275">
        <f t="shared" si="66"/>
        <v>0</v>
      </c>
      <c r="F360" s="2275">
        <f t="shared" ca="1" si="66"/>
        <v>2678.0823751356361</v>
      </c>
      <c r="G360" s="2275">
        <f t="shared" si="66"/>
        <v>0</v>
      </c>
      <c r="H360" s="2422">
        <f t="shared" ca="1" si="70"/>
        <v>6.0317170611162978E-2</v>
      </c>
      <c r="I360" s="2422"/>
      <c r="J360" s="2270">
        <f t="shared" si="71"/>
        <v>88800</v>
      </c>
      <c r="L360" s="2270">
        <f t="shared" ca="1" si="67"/>
        <v>2678.0823751356361</v>
      </c>
      <c r="M360" s="2270">
        <f t="shared" ca="1" si="68"/>
        <v>2678.0823751356361</v>
      </c>
    </row>
    <row r="361" spans="2:13" ht="12.75" thickBot="1">
      <c r="B361" s="2655">
        <v>12</v>
      </c>
      <c r="C361" s="2656">
        <f t="shared" si="65"/>
        <v>48518</v>
      </c>
      <c r="D361" s="2657">
        <f t="shared" ca="1" si="69"/>
        <v>2884.1320271836025</v>
      </c>
      <c r="E361" s="2657">
        <f t="shared" si="66"/>
        <v>0</v>
      </c>
      <c r="F361" s="2657">
        <f t="shared" ca="1" si="66"/>
        <v>2884.1320271836025</v>
      </c>
      <c r="G361" s="2657">
        <f t="shared" si="66"/>
        <v>0</v>
      </c>
      <c r="H361" s="2658">
        <f t="shared" ca="1" si="70"/>
        <v>6.4957928540171225E-2</v>
      </c>
      <c r="I361" s="2658"/>
      <c r="J361" s="2270">
        <f t="shared" si="71"/>
        <v>88800</v>
      </c>
      <c r="L361" s="2270">
        <f t="shared" ca="1" si="67"/>
        <v>2884.1320271836025</v>
      </c>
      <c r="M361" s="2270">
        <f t="shared" ca="1" si="68"/>
        <v>2884.1320271836025</v>
      </c>
    </row>
    <row r="362" spans="2:13" ht="12.75" thickBot="1">
      <c r="B362" s="2655">
        <v>13</v>
      </c>
      <c r="C362" s="2656">
        <f t="shared" si="65"/>
        <v>48699</v>
      </c>
      <c r="D362" s="2657">
        <f t="shared" ca="1" si="69"/>
        <v>2715</v>
      </c>
      <c r="E362" s="2657">
        <f t="shared" si="66"/>
        <v>0</v>
      </c>
      <c r="F362" s="2657">
        <f t="shared" ca="1" si="66"/>
        <v>2715</v>
      </c>
      <c r="G362" s="2657">
        <f t="shared" si="66"/>
        <v>0</v>
      </c>
      <c r="H362" s="2658">
        <f t="shared" ca="1" si="70"/>
        <v>6.1148648648648649E-2</v>
      </c>
      <c r="I362" s="2658"/>
      <c r="J362" s="2270">
        <f t="shared" si="71"/>
        <v>88800</v>
      </c>
      <c r="L362" s="2270">
        <f t="shared" ca="1" si="67"/>
        <v>2715</v>
      </c>
      <c r="M362" s="2270">
        <f t="shared" ca="1" si="68"/>
        <v>2715</v>
      </c>
    </row>
    <row r="363" spans="2:13" ht="12.75" thickBot="1">
      <c r="B363" s="2655">
        <v>14</v>
      </c>
      <c r="C363" s="2656">
        <f t="shared" si="65"/>
        <v>48883</v>
      </c>
      <c r="D363" s="2657">
        <f t="shared" ca="1" si="69"/>
        <v>2715</v>
      </c>
      <c r="E363" s="2657">
        <f t="shared" si="66"/>
        <v>0</v>
      </c>
      <c r="F363" s="2657">
        <f t="shared" ca="1" si="66"/>
        <v>2715</v>
      </c>
      <c r="G363" s="2657">
        <f t="shared" si="66"/>
        <v>0</v>
      </c>
      <c r="H363" s="2658">
        <f t="shared" ca="1" si="70"/>
        <v>6.1148648648648649E-2</v>
      </c>
      <c r="I363" s="2658"/>
      <c r="J363" s="2270">
        <f t="shared" si="71"/>
        <v>88800</v>
      </c>
      <c r="L363" s="2270">
        <f t="shared" ca="1" si="67"/>
        <v>2715</v>
      </c>
      <c r="M363" s="2270">
        <f t="shared" ca="1" si="68"/>
        <v>2715</v>
      </c>
    </row>
    <row r="364" spans="2:13" ht="12.75" thickBot="1">
      <c r="B364" s="2655">
        <v>15</v>
      </c>
      <c r="C364" s="2656">
        <f t="shared" si="65"/>
        <v>49064</v>
      </c>
      <c r="D364" s="2657">
        <f t="shared" ca="1" si="69"/>
        <v>2715</v>
      </c>
      <c r="E364" s="2657">
        <f t="shared" si="66"/>
        <v>0</v>
      </c>
      <c r="F364" s="2657">
        <f t="shared" ca="1" si="66"/>
        <v>2715</v>
      </c>
      <c r="G364" s="2657">
        <f t="shared" si="66"/>
        <v>0</v>
      </c>
      <c r="H364" s="2658">
        <f t="shared" ca="1" si="70"/>
        <v>6.1148648648648649E-2</v>
      </c>
      <c r="I364" s="2658"/>
      <c r="J364" s="2270">
        <f t="shared" si="71"/>
        <v>88800</v>
      </c>
      <c r="L364" s="2270">
        <f t="shared" ca="1" si="67"/>
        <v>2715</v>
      </c>
      <c r="M364" s="2270">
        <f t="shared" ca="1" si="68"/>
        <v>2715</v>
      </c>
    </row>
    <row r="365" spans="2:13" ht="12.75" thickBot="1">
      <c r="B365" s="2655">
        <v>16</v>
      </c>
      <c r="C365" s="2656">
        <f t="shared" si="65"/>
        <v>49248</v>
      </c>
      <c r="D365" s="2657">
        <f t="shared" ca="1" si="69"/>
        <v>2715</v>
      </c>
      <c r="E365" s="2657">
        <f t="shared" si="66"/>
        <v>0</v>
      </c>
      <c r="F365" s="2657">
        <f t="shared" ca="1" si="66"/>
        <v>2715</v>
      </c>
      <c r="G365" s="2657">
        <f t="shared" si="66"/>
        <v>0</v>
      </c>
      <c r="H365" s="2658">
        <f t="shared" ca="1" si="70"/>
        <v>6.1148648648648649E-2</v>
      </c>
      <c r="I365" s="2658"/>
      <c r="J365" s="2270">
        <f t="shared" si="71"/>
        <v>88800</v>
      </c>
      <c r="L365" s="2270">
        <f t="shared" ca="1" si="67"/>
        <v>2715</v>
      </c>
      <c r="M365" s="2270">
        <f t="shared" ca="1" si="68"/>
        <v>2715</v>
      </c>
    </row>
    <row r="366" spans="2:13" ht="12.75" thickBot="1">
      <c r="B366" s="2655">
        <v>17</v>
      </c>
      <c r="C366" s="2656">
        <f t="shared" si="65"/>
        <v>49429</v>
      </c>
      <c r="D366" s="2657">
        <f t="shared" ca="1" si="69"/>
        <v>2715</v>
      </c>
      <c r="E366" s="2657">
        <f t="shared" si="66"/>
        <v>0</v>
      </c>
      <c r="F366" s="2657">
        <f t="shared" ca="1" si="66"/>
        <v>2715</v>
      </c>
      <c r="G366" s="2657">
        <f t="shared" si="66"/>
        <v>0</v>
      </c>
      <c r="H366" s="2658">
        <f t="shared" ca="1" si="70"/>
        <v>6.1148648648648649E-2</v>
      </c>
      <c r="I366" s="2658"/>
      <c r="J366" s="2270">
        <f t="shared" si="71"/>
        <v>88800</v>
      </c>
      <c r="L366" s="2270">
        <f t="shared" ca="1" si="67"/>
        <v>2715</v>
      </c>
      <c r="M366" s="2270">
        <f t="shared" ca="1" si="68"/>
        <v>2715</v>
      </c>
    </row>
    <row r="367" spans="2:13" ht="12.75" thickBot="1">
      <c r="B367" s="2655">
        <v>18</v>
      </c>
      <c r="C367" s="2656">
        <f t="shared" si="65"/>
        <v>49613</v>
      </c>
      <c r="D367" s="2657">
        <f t="shared" ca="1" si="69"/>
        <v>2715</v>
      </c>
      <c r="E367" s="2657">
        <f t="shared" si="66"/>
        <v>0</v>
      </c>
      <c r="F367" s="2657">
        <f t="shared" ca="1" si="66"/>
        <v>2715</v>
      </c>
      <c r="G367" s="2657">
        <f t="shared" si="66"/>
        <v>0</v>
      </c>
      <c r="H367" s="2658">
        <f t="shared" ca="1" si="70"/>
        <v>6.1148648648648649E-2</v>
      </c>
      <c r="I367" s="2658"/>
      <c r="J367" s="2270">
        <f t="shared" si="71"/>
        <v>88800</v>
      </c>
      <c r="L367" s="2270">
        <f t="shared" ca="1" si="67"/>
        <v>2715</v>
      </c>
      <c r="M367" s="2270">
        <f t="shared" ca="1" si="68"/>
        <v>2715</v>
      </c>
    </row>
    <row r="368" spans="2:13" ht="12.75" thickBot="1">
      <c r="B368" s="2655">
        <v>19</v>
      </c>
      <c r="C368" s="2656">
        <f t="shared" si="65"/>
        <v>49795</v>
      </c>
      <c r="D368" s="2657">
        <f t="shared" ca="1" si="69"/>
        <v>2715</v>
      </c>
      <c r="E368" s="2657">
        <f t="shared" si="66"/>
        <v>0</v>
      </c>
      <c r="F368" s="2657">
        <f t="shared" ca="1" si="66"/>
        <v>2715</v>
      </c>
      <c r="G368" s="2657">
        <f t="shared" si="66"/>
        <v>0</v>
      </c>
      <c r="H368" s="2658">
        <f t="shared" ca="1" si="70"/>
        <v>6.1148648648648649E-2</v>
      </c>
      <c r="I368" s="2658"/>
      <c r="J368" s="2270">
        <f t="shared" si="71"/>
        <v>88800</v>
      </c>
      <c r="L368" s="2270">
        <f t="shared" ca="1" si="67"/>
        <v>2715</v>
      </c>
      <c r="M368" s="2270">
        <f t="shared" ca="1" si="68"/>
        <v>2715</v>
      </c>
    </row>
    <row r="369" spans="1:20" ht="12.75" thickBot="1">
      <c r="B369" s="2655">
        <v>20</v>
      </c>
      <c r="C369" s="2656">
        <f t="shared" si="65"/>
        <v>49979</v>
      </c>
      <c r="D369" s="2657">
        <f t="shared" ca="1" si="69"/>
        <v>152090.53477444098</v>
      </c>
      <c r="E369" s="2657">
        <f t="shared" si="66"/>
        <v>88800</v>
      </c>
      <c r="F369" s="2657">
        <f t="shared" ca="1" si="66"/>
        <v>2715</v>
      </c>
      <c r="G369" s="2657">
        <f t="shared" si="66"/>
        <v>60575.534774440966</v>
      </c>
      <c r="H369" s="2658">
        <f t="shared" ca="1" si="70"/>
        <v>6.1148648648648649E-2</v>
      </c>
      <c r="I369" s="2658"/>
      <c r="J369" s="2270">
        <f t="shared" si="71"/>
        <v>88800</v>
      </c>
      <c r="L369" s="2270">
        <f t="shared" ca="1" si="67"/>
        <v>91515</v>
      </c>
      <c r="M369" s="2270">
        <f t="shared" ca="1" si="68"/>
        <v>152090.53477444098</v>
      </c>
    </row>
    <row r="370" spans="1:20" ht="12.75" thickBot="1">
      <c r="B370" s="2834" t="s">
        <v>1473</v>
      </c>
      <c r="C370" s="2835"/>
      <c r="D370" s="2279">
        <f ca="1">SUM(D349:D369)</f>
        <v>115985.53477444098</v>
      </c>
      <c r="E370" s="2279">
        <f>SUM(E349:E369)</f>
        <v>0</v>
      </c>
      <c r="F370" s="2279">
        <f ca="1">SUM(F349:F369)</f>
        <v>55410</v>
      </c>
      <c r="G370" s="2279">
        <f>SUM(G349:G369)</f>
        <v>60575.534774440966</v>
      </c>
      <c r="H370" s="2309">
        <f t="shared" ca="1" si="70"/>
        <v>6.1024229074889864E-2</v>
      </c>
      <c r="I370" s="2309">
        <f ca="1">SUM(F370,G370)/J370*2</f>
        <v>0.12773737309960459</v>
      </c>
      <c r="J370" s="2270">
        <f>SUM(J350:J369)</f>
        <v>1816000</v>
      </c>
      <c r="L370" s="2468">
        <f ca="1">XIRR(L349:L369,C349:C369)</f>
        <v>6.191536486148834E-2</v>
      </c>
      <c r="M370" s="2468">
        <f ca="1">XIRR(M349:M369,C349:C369)</f>
        <v>0.10330377221107484</v>
      </c>
    </row>
    <row r="371" spans="1:20">
      <c r="D371" s="2470">
        <f ca="1">D370/J369+1</f>
        <v>2.3061434096220834</v>
      </c>
    </row>
    <row r="373" spans="1:20" ht="12.75" thickBot="1">
      <c r="A373" s="2234" t="s">
        <v>1651</v>
      </c>
      <c r="L373" s="2234" t="s">
        <v>1650</v>
      </c>
      <c r="M373" s="2472">
        <v>2.1999999999999999E-2</v>
      </c>
    </row>
    <row r="374" spans="1:20" ht="12.75" thickBot="1">
      <c r="B374" s="2817" t="str">
        <f>B323</f>
        <v>구분</v>
      </c>
      <c r="C374" s="2833"/>
      <c r="D374" s="2272" t="str">
        <f>D323</f>
        <v>현금의 변동</v>
      </c>
      <c r="E374" s="2272" t="str">
        <f>E323</f>
        <v>투자금 납입/상환</v>
      </c>
      <c r="F374" s="2272" t="str">
        <f>F323</f>
        <v>운영배당수입</v>
      </c>
      <c r="G374" s="2315" t="str">
        <f>G323</f>
        <v>청산배당수입</v>
      </c>
      <c r="H374" s="2263" t="s">
        <v>1471</v>
      </c>
      <c r="I374" s="2263" t="s">
        <v>1646</v>
      </c>
      <c r="L374" s="2467" t="s">
        <v>1647</v>
      </c>
      <c r="M374" s="2467" t="s">
        <v>1648</v>
      </c>
      <c r="P374" s="2466" t="s">
        <v>1644</v>
      </c>
    </row>
    <row r="375" spans="1:20" ht="12.75" thickBot="1">
      <c r="B375" s="2310" t="s">
        <v>1472</v>
      </c>
      <c r="C375" s="2311">
        <f>C349</f>
        <v>46326</v>
      </c>
      <c r="D375" s="2275">
        <f t="shared" ref="D375:D395" si="72">SUM(E375:G375)</f>
        <v>-14800</v>
      </c>
      <c r="E375" s="2275">
        <f t="shared" ref="E375:F377" si="73">E324</f>
        <v>-14800</v>
      </c>
      <c r="F375" s="2275">
        <f t="shared" si="73"/>
        <v>0</v>
      </c>
      <c r="G375" s="2275">
        <f t="shared" ref="G375" si="74">G324</f>
        <v>0</v>
      </c>
      <c r="H375" s="2312"/>
      <c r="I375" s="2312"/>
      <c r="L375" s="2270">
        <f t="shared" ref="L375:L395" si="75">SUM(E375:F375)</f>
        <v>-14800</v>
      </c>
      <c r="M375" s="2270">
        <f t="shared" ref="M375:M395" si="76">SUM(E375:G375)</f>
        <v>-14800</v>
      </c>
      <c r="P375" s="2466" t="s">
        <v>1643</v>
      </c>
      <c r="Q375" s="2270">
        <f ca="1">SUMIFS('Sell-down'!$48:$48,'Sell-down'!$5:$5,'Report-sj'!C375)/1000</f>
        <v>-14800</v>
      </c>
      <c r="R375" s="2270">
        <f ca="1">Q375-L375</f>
        <v>0</v>
      </c>
      <c r="S375" s="2270">
        <f ca="1">SUMIFS('Sell-down'!$49:$49,'Sell-down'!$5:$5,'Report-sj'!C375)/1000</f>
        <v>-14800</v>
      </c>
      <c r="T375" s="2270">
        <f ca="1">M375-S375</f>
        <v>0</v>
      </c>
    </row>
    <row r="376" spans="1:20" ht="12.75" thickBot="1">
      <c r="B376" s="2313">
        <v>1</v>
      </c>
      <c r="C376" s="2311">
        <f t="shared" ref="C376:C395" si="77">C350</f>
        <v>46507</v>
      </c>
      <c r="D376" s="2275">
        <f t="shared" ca="1" si="72"/>
        <v>555</v>
      </c>
      <c r="E376" s="2275">
        <f t="shared" si="73"/>
        <v>0</v>
      </c>
      <c r="F376" s="2275">
        <f t="shared" ca="1" si="73"/>
        <v>555</v>
      </c>
      <c r="G376" s="2275">
        <f t="shared" ref="G376" si="78">G325</f>
        <v>0</v>
      </c>
      <c r="H376" s="2422">
        <f t="shared" ref="H376:H396" ca="1" si="79">F376/J376*2</f>
        <v>7.4999999999999997E-2</v>
      </c>
      <c r="I376" s="2422"/>
      <c r="J376" s="2270">
        <f>-E375</f>
        <v>14800</v>
      </c>
      <c r="L376" s="2270">
        <f t="shared" ca="1" si="75"/>
        <v>555</v>
      </c>
      <c r="M376" s="2270">
        <f t="shared" ca="1" si="76"/>
        <v>555</v>
      </c>
      <c r="Q376" s="2270">
        <f ca="1">SUMIFS('Sell-down'!$48:$48,'Sell-down'!$5:$5,'Report-sj'!C376)/1000</f>
        <v>555</v>
      </c>
      <c r="R376" s="2270">
        <f t="shared" ref="R376:R395" ca="1" si="80">Q376-L376</f>
        <v>0</v>
      </c>
      <c r="S376" s="2270">
        <f ca="1">SUMIFS('Sell-down'!$49:$49,'Sell-down'!$5:$5,'Report-sj'!C376)/1000</f>
        <v>555</v>
      </c>
      <c r="T376" s="2270">
        <f t="shared" ref="T376:T395" ca="1" si="81">M376-S376</f>
        <v>0</v>
      </c>
    </row>
    <row r="377" spans="1:20" ht="12.75" thickBot="1">
      <c r="B377" s="2313">
        <v>2</v>
      </c>
      <c r="C377" s="2311">
        <f t="shared" si="77"/>
        <v>46691</v>
      </c>
      <c r="D377" s="2275">
        <f t="shared" ca="1" si="72"/>
        <v>-50545</v>
      </c>
      <c r="E377" s="2275">
        <f>E326+N377+O377</f>
        <v>-51100</v>
      </c>
      <c r="F377" s="2275">
        <f t="shared" ca="1" si="73"/>
        <v>555</v>
      </c>
      <c r="G377" s="2275">
        <f t="shared" ref="G377" si="82">G326</f>
        <v>0</v>
      </c>
      <c r="H377" s="2422">
        <f t="shared" ca="1" si="79"/>
        <v>7.4999999999999997E-2</v>
      </c>
      <c r="I377" s="2422"/>
      <c r="J377" s="2270">
        <f t="shared" ref="J377:J395" si="83">J376-E376</f>
        <v>14800</v>
      </c>
      <c r="L377" s="2270">
        <f t="shared" ca="1" si="75"/>
        <v>-50545</v>
      </c>
      <c r="M377" s="2270">
        <f t="shared" ca="1" si="76"/>
        <v>-50545</v>
      </c>
      <c r="N377" s="2270">
        <f>E273</f>
        <v>-50000</v>
      </c>
      <c r="O377" s="2270">
        <f>N377*$M$373</f>
        <v>-1100</v>
      </c>
      <c r="Q377" s="2270">
        <f ca="1">SUMIFS('Sell-down'!$48:$48,'Sell-down'!$5:$5,'Report-sj'!C377)/1000</f>
        <v>-49899.607721046072</v>
      </c>
      <c r="R377" s="2270">
        <f t="shared" ca="1" si="80"/>
        <v>645.39227895392833</v>
      </c>
      <c r="S377" s="2270">
        <f ca="1">SUMIFS('Sell-down'!$49:$49,'Sell-down'!$5:$5,'Report-sj'!C377)/1000</f>
        <v>-49899.607721046072</v>
      </c>
      <c r="T377" s="2270">
        <f t="shared" ca="1" si="81"/>
        <v>-645.39227895392833</v>
      </c>
    </row>
    <row r="378" spans="1:20" ht="12.75" thickBot="1">
      <c r="B378" s="2313">
        <v>3</v>
      </c>
      <c r="C378" s="2311">
        <f t="shared" si="77"/>
        <v>46873</v>
      </c>
      <c r="D378" s="2275">
        <f t="shared" ca="1" si="72"/>
        <v>1875</v>
      </c>
      <c r="E378" s="2275">
        <f>E327+E276</f>
        <v>0</v>
      </c>
      <c r="F378" s="2275">
        <f ca="1">F276+F327</f>
        <v>1875</v>
      </c>
      <c r="G378" s="2275">
        <f>G276+G327</f>
        <v>0</v>
      </c>
      <c r="H378" s="2422">
        <f t="shared" ca="1" si="79"/>
        <v>5.6904400606980272E-2</v>
      </c>
      <c r="I378" s="2422"/>
      <c r="J378" s="2270">
        <f t="shared" si="83"/>
        <v>65900</v>
      </c>
      <c r="L378" s="2270">
        <f t="shared" ca="1" si="75"/>
        <v>1875</v>
      </c>
      <c r="M378" s="2270">
        <f t="shared" ca="1" si="76"/>
        <v>1875</v>
      </c>
      <c r="O378" s="2270"/>
      <c r="Q378" s="2270">
        <f ca="1">SUMIFS('Sell-down'!$48:$48,'Sell-down'!$5:$5,'Report-sj'!C378)/1000</f>
        <v>1875</v>
      </c>
      <c r="R378" s="2270">
        <f t="shared" ca="1" si="80"/>
        <v>0</v>
      </c>
      <c r="S378" s="2270">
        <f ca="1">SUMIFS('Sell-down'!$49:$49,'Sell-down'!$5:$5,'Report-sj'!C378)/1000</f>
        <v>1875</v>
      </c>
      <c r="T378" s="2270">
        <f t="shared" ca="1" si="81"/>
        <v>0</v>
      </c>
    </row>
    <row r="379" spans="1:20" ht="12.75" thickBot="1">
      <c r="B379" s="2313">
        <v>4</v>
      </c>
      <c r="C379" s="2311">
        <f t="shared" si="77"/>
        <v>47057</v>
      </c>
      <c r="D379" s="2275">
        <f t="shared" ca="1" si="72"/>
        <v>-22653</v>
      </c>
      <c r="E379" s="2275">
        <f>E328+E277+N379+O379</f>
        <v>-24528</v>
      </c>
      <c r="F379" s="2275">
        <f ca="1">F277+F328</f>
        <v>1875</v>
      </c>
      <c r="G379" s="2275">
        <f>G277+G328</f>
        <v>0</v>
      </c>
      <c r="H379" s="2422">
        <f t="shared" ca="1" si="79"/>
        <v>5.6904400606980272E-2</v>
      </c>
      <c r="I379" s="2422"/>
      <c r="J379" s="2270">
        <f t="shared" si="83"/>
        <v>65900</v>
      </c>
      <c r="L379" s="2270">
        <f t="shared" ca="1" si="75"/>
        <v>-22653</v>
      </c>
      <c r="M379" s="2270">
        <f t="shared" ca="1" si="76"/>
        <v>-22653</v>
      </c>
      <c r="N379" s="2270">
        <f>E247</f>
        <v>-24000</v>
      </c>
      <c r="O379" s="2270">
        <f>N379*$M$373</f>
        <v>-528</v>
      </c>
      <c r="Q379" s="2270">
        <f ca="1">SUMIFS('Sell-down'!$48:$48,'Sell-down'!$5:$5,'Report-sj'!C379)/1000</f>
        <v>-22340.232601880878</v>
      </c>
      <c r="R379" s="2270">
        <f t="shared" ca="1" si="80"/>
        <v>312.76739811912194</v>
      </c>
      <c r="S379" s="2270">
        <f ca="1">SUMIFS('Sell-down'!$49:$49,'Sell-down'!$5:$5,'Report-sj'!C379)/1000</f>
        <v>-22340.232601880878</v>
      </c>
      <c r="T379" s="2270">
        <f t="shared" ca="1" si="81"/>
        <v>-312.76739811912194</v>
      </c>
    </row>
    <row r="380" spans="1:20" ht="12.75" thickBot="1">
      <c r="B380" s="2313">
        <v>5</v>
      </c>
      <c r="C380" s="2311">
        <f t="shared" si="77"/>
        <v>47238</v>
      </c>
      <c r="D380" s="2275">
        <f t="shared" ca="1" si="72"/>
        <v>2715</v>
      </c>
      <c r="E380" s="2275">
        <f>E329+E278+E252</f>
        <v>0</v>
      </c>
      <c r="F380" s="2275">
        <f ca="1">F252+F278+F329</f>
        <v>2715</v>
      </c>
      <c r="G380" s="2275">
        <f>G252+G278+G329</f>
        <v>0</v>
      </c>
      <c r="H380" s="2422">
        <f t="shared" ca="1" si="79"/>
        <v>6.0047772813730263E-2</v>
      </c>
      <c r="I380" s="2422"/>
      <c r="J380" s="2270">
        <f t="shared" si="83"/>
        <v>90428</v>
      </c>
      <c r="L380" s="2270">
        <f t="shared" ca="1" si="75"/>
        <v>2715</v>
      </c>
      <c r="M380" s="2270">
        <f t="shared" ca="1" si="76"/>
        <v>2715</v>
      </c>
      <c r="Q380" s="2270">
        <f ca="1">SUMIFS('Sell-down'!$48:$48,'Sell-down'!$5:$5,'Report-sj'!C380)/1000</f>
        <v>2715</v>
      </c>
      <c r="R380" s="2270">
        <f t="shared" ca="1" si="80"/>
        <v>0</v>
      </c>
      <c r="S380" s="2270">
        <f ca="1">SUMIFS('Sell-down'!$49:$49,'Sell-down'!$5:$5,'Report-sj'!C380)/1000</f>
        <v>2715</v>
      </c>
      <c r="T380" s="2270">
        <f t="shared" ca="1" si="81"/>
        <v>0</v>
      </c>
    </row>
    <row r="381" spans="1:20" ht="12.75" thickBot="1">
      <c r="B381" s="2313">
        <v>6</v>
      </c>
      <c r="C381" s="2311">
        <f t="shared" si="77"/>
        <v>47422</v>
      </c>
      <c r="D381" s="2275">
        <f t="shared" ca="1" si="72"/>
        <v>2715</v>
      </c>
      <c r="E381" s="2275">
        <f t="shared" ref="E381:E394" si="84">E330+E279+E253</f>
        <v>0</v>
      </c>
      <c r="F381" s="2275">
        <f t="shared" ref="F381:G395" ca="1" si="85">F253+F279+F330</f>
        <v>2715</v>
      </c>
      <c r="G381" s="2275">
        <f t="shared" si="85"/>
        <v>0</v>
      </c>
      <c r="H381" s="2422">
        <f t="shared" ca="1" si="79"/>
        <v>6.0047772813730263E-2</v>
      </c>
      <c r="I381" s="2422"/>
      <c r="J381" s="2270">
        <f t="shared" si="83"/>
        <v>90428</v>
      </c>
      <c r="L381" s="2270">
        <f t="shared" ca="1" si="75"/>
        <v>2715</v>
      </c>
      <c r="M381" s="2270">
        <f t="shared" ca="1" si="76"/>
        <v>2715</v>
      </c>
      <c r="Q381" s="2270">
        <f ca="1">SUMIFS('Sell-down'!$48:$48,'Sell-down'!$5:$5,'Report-sj'!C381)/1000</f>
        <v>2715</v>
      </c>
      <c r="R381" s="2270">
        <f t="shared" ca="1" si="80"/>
        <v>0</v>
      </c>
      <c r="S381" s="2270">
        <f ca="1">SUMIFS('Sell-down'!$49:$49,'Sell-down'!$5:$5,'Report-sj'!C381)/1000</f>
        <v>2715</v>
      </c>
      <c r="T381" s="2270">
        <f t="shared" ca="1" si="81"/>
        <v>0</v>
      </c>
    </row>
    <row r="382" spans="1:20" ht="12.75" thickBot="1">
      <c r="B382" s="2313">
        <v>7</v>
      </c>
      <c r="C382" s="2311">
        <f t="shared" si="77"/>
        <v>47603</v>
      </c>
      <c r="D382" s="2275">
        <f t="shared" ca="1" si="72"/>
        <v>2715</v>
      </c>
      <c r="E382" s="2275">
        <f t="shared" si="84"/>
        <v>0</v>
      </c>
      <c r="F382" s="2275">
        <f t="shared" ca="1" si="85"/>
        <v>2715</v>
      </c>
      <c r="G382" s="2275">
        <f t="shared" si="85"/>
        <v>0</v>
      </c>
      <c r="H382" s="2422">
        <f t="shared" ca="1" si="79"/>
        <v>6.0047772813730263E-2</v>
      </c>
      <c r="I382" s="2422"/>
      <c r="J382" s="2270">
        <f t="shared" si="83"/>
        <v>90428</v>
      </c>
      <c r="L382" s="2270">
        <f t="shared" ca="1" si="75"/>
        <v>2715</v>
      </c>
      <c r="M382" s="2270">
        <f t="shared" ca="1" si="76"/>
        <v>2715</v>
      </c>
      <c r="Q382" s="2270">
        <f ca="1">SUMIFS('Sell-down'!$48:$48,'Sell-down'!$5:$5,'Report-sj'!C382)/1000</f>
        <v>2715</v>
      </c>
      <c r="R382" s="2270">
        <f t="shared" ca="1" si="80"/>
        <v>0</v>
      </c>
      <c r="S382" s="2270">
        <f ca="1">SUMIFS('Sell-down'!$49:$49,'Sell-down'!$5:$5,'Report-sj'!C382)/1000</f>
        <v>2715</v>
      </c>
      <c r="T382" s="2270">
        <f t="shared" ca="1" si="81"/>
        <v>0</v>
      </c>
    </row>
    <row r="383" spans="1:20" ht="12.75" thickBot="1">
      <c r="B383" s="2313">
        <v>8</v>
      </c>
      <c r="C383" s="2311">
        <f t="shared" si="77"/>
        <v>47787</v>
      </c>
      <c r="D383" s="2275">
        <f t="shared" ca="1" si="72"/>
        <v>2715</v>
      </c>
      <c r="E383" s="2275">
        <f t="shared" si="84"/>
        <v>0</v>
      </c>
      <c r="F383" s="2275">
        <f t="shared" ca="1" si="85"/>
        <v>2715</v>
      </c>
      <c r="G383" s="2275">
        <f t="shared" si="85"/>
        <v>0</v>
      </c>
      <c r="H383" s="2422">
        <f t="shared" ca="1" si="79"/>
        <v>6.0047772813730263E-2</v>
      </c>
      <c r="I383" s="2422"/>
      <c r="J383" s="2270">
        <f t="shared" si="83"/>
        <v>90428</v>
      </c>
      <c r="L383" s="2270">
        <f t="shared" ca="1" si="75"/>
        <v>2715</v>
      </c>
      <c r="M383" s="2270">
        <f t="shared" ca="1" si="76"/>
        <v>2715</v>
      </c>
      <c r="Q383" s="2270">
        <f ca="1">SUMIFS('Sell-down'!$48:$48,'Sell-down'!$5:$5,'Report-sj'!C383)/1000</f>
        <v>2715</v>
      </c>
      <c r="R383" s="2270">
        <f t="shared" ca="1" si="80"/>
        <v>0</v>
      </c>
      <c r="S383" s="2270">
        <f ca="1">SUMIFS('Sell-down'!$49:$49,'Sell-down'!$5:$5,'Report-sj'!C383)/1000</f>
        <v>2715</v>
      </c>
      <c r="T383" s="2270">
        <f t="shared" ca="1" si="81"/>
        <v>0</v>
      </c>
    </row>
    <row r="384" spans="1:20" ht="12.75" thickBot="1">
      <c r="B384" s="2313">
        <v>9</v>
      </c>
      <c r="C384" s="2311">
        <f t="shared" si="77"/>
        <v>47968</v>
      </c>
      <c r="D384" s="2275">
        <f t="shared" ca="1" si="72"/>
        <v>2696.0563038810928</v>
      </c>
      <c r="E384" s="2275">
        <f t="shared" si="84"/>
        <v>0</v>
      </c>
      <c r="F384" s="2275">
        <f t="shared" ca="1" si="85"/>
        <v>2696.0563038810928</v>
      </c>
      <c r="G384" s="2275">
        <f t="shared" si="85"/>
        <v>0</v>
      </c>
      <c r="H384" s="2422">
        <f t="shared" ca="1" si="79"/>
        <v>5.9628794264632475E-2</v>
      </c>
      <c r="I384" s="2422"/>
      <c r="J384" s="2270">
        <f t="shared" si="83"/>
        <v>90428</v>
      </c>
      <c r="L384" s="2270">
        <f t="shared" ca="1" si="75"/>
        <v>2696.0563038810928</v>
      </c>
      <c r="M384" s="2270">
        <f t="shared" ca="1" si="76"/>
        <v>2696.0563038810928</v>
      </c>
      <c r="Q384" s="2270">
        <f ca="1">SUMIFS('Sell-down'!$48:$48,'Sell-down'!$5:$5,'Report-sj'!C384)/1000</f>
        <v>2696.0563038810928</v>
      </c>
      <c r="R384" s="2270">
        <f t="shared" ca="1" si="80"/>
        <v>0</v>
      </c>
      <c r="S384" s="2270">
        <f ca="1">SUMIFS('Sell-down'!$49:$49,'Sell-down'!$5:$5,'Report-sj'!C384)/1000</f>
        <v>2696.0563038810928</v>
      </c>
      <c r="T384" s="2270">
        <f t="shared" ca="1" si="81"/>
        <v>0</v>
      </c>
    </row>
    <row r="385" spans="1:20" ht="12.75" thickBot="1">
      <c r="B385" s="2313">
        <v>10</v>
      </c>
      <c r="C385" s="2311">
        <f t="shared" si="77"/>
        <v>48152</v>
      </c>
      <c r="D385" s="2275">
        <f t="shared" ca="1" si="72"/>
        <v>2601.7292937996685</v>
      </c>
      <c r="E385" s="2275">
        <f t="shared" si="84"/>
        <v>0</v>
      </c>
      <c r="F385" s="2275">
        <f t="shared" ca="1" si="85"/>
        <v>2601.7292937996685</v>
      </c>
      <c r="G385" s="2275">
        <f t="shared" si="85"/>
        <v>0</v>
      </c>
      <c r="H385" s="2422">
        <f t="shared" ca="1" si="79"/>
        <v>5.7542559689469377E-2</v>
      </c>
      <c r="I385" s="2422"/>
      <c r="J385" s="2270">
        <f t="shared" si="83"/>
        <v>90428</v>
      </c>
      <c r="L385" s="2270">
        <f t="shared" ca="1" si="75"/>
        <v>2601.7292937996685</v>
      </c>
      <c r="M385" s="2270">
        <f t="shared" ca="1" si="76"/>
        <v>2601.7292937996685</v>
      </c>
      <c r="Q385" s="2270">
        <f ca="1">SUMIFS('Sell-down'!$48:$48,'Sell-down'!$5:$5,'Report-sj'!C385)/1000</f>
        <v>2601.7292937996685</v>
      </c>
      <c r="R385" s="2270">
        <f t="shared" ca="1" si="80"/>
        <v>0</v>
      </c>
      <c r="S385" s="2270">
        <f ca="1">SUMIFS('Sell-down'!$49:$49,'Sell-down'!$5:$5,'Report-sj'!C385)/1000</f>
        <v>2601.7292937996685</v>
      </c>
      <c r="T385" s="2270">
        <f t="shared" ca="1" si="81"/>
        <v>0</v>
      </c>
    </row>
    <row r="386" spans="1:20" ht="12.75" thickBot="1">
      <c r="B386" s="2313">
        <v>11</v>
      </c>
      <c r="C386" s="2311">
        <f t="shared" si="77"/>
        <v>48334</v>
      </c>
      <c r="D386" s="2275">
        <f t="shared" ca="1" si="72"/>
        <v>2678.0823751356361</v>
      </c>
      <c r="E386" s="2275">
        <f t="shared" si="84"/>
        <v>0</v>
      </c>
      <c r="F386" s="2275">
        <f t="shared" ca="1" si="85"/>
        <v>2678.0823751356361</v>
      </c>
      <c r="G386" s="2275">
        <f t="shared" si="85"/>
        <v>0</v>
      </c>
      <c r="H386" s="2422">
        <f t="shared" ca="1" si="79"/>
        <v>5.9231264102615033E-2</v>
      </c>
      <c r="I386" s="2422"/>
      <c r="J386" s="2270">
        <f t="shared" si="83"/>
        <v>90428</v>
      </c>
      <c r="L386" s="2270">
        <f t="shared" ca="1" si="75"/>
        <v>2678.0823751356361</v>
      </c>
      <c r="M386" s="2270">
        <f t="shared" ca="1" si="76"/>
        <v>2678.0823751356361</v>
      </c>
      <c r="Q386" s="2270">
        <f ca="1">SUMIFS('Sell-down'!$48:$48,'Sell-down'!$5:$5,'Report-sj'!C386)/1000</f>
        <v>2678.0823751356361</v>
      </c>
      <c r="R386" s="2270">
        <f t="shared" ca="1" si="80"/>
        <v>0</v>
      </c>
      <c r="S386" s="2270">
        <f ca="1">SUMIFS('Sell-down'!$49:$49,'Sell-down'!$5:$5,'Report-sj'!C386)/1000</f>
        <v>2678.0823751356361</v>
      </c>
      <c r="T386" s="2270">
        <f t="shared" ca="1" si="81"/>
        <v>0</v>
      </c>
    </row>
    <row r="387" spans="1:20" ht="12.75" thickBot="1">
      <c r="B387" s="2313">
        <v>12</v>
      </c>
      <c r="C387" s="2311">
        <f t="shared" si="77"/>
        <v>48518</v>
      </c>
      <c r="D387" s="2275">
        <f t="shared" ca="1" si="72"/>
        <v>2884.1320271836025</v>
      </c>
      <c r="E387" s="2275">
        <f t="shared" si="84"/>
        <v>0</v>
      </c>
      <c r="F387" s="2275">
        <f t="shared" ca="1" si="85"/>
        <v>2884.1320271836025</v>
      </c>
      <c r="G387" s="2275">
        <f t="shared" si="85"/>
        <v>0</v>
      </c>
      <c r="H387" s="2422">
        <f t="shared" ca="1" si="79"/>
        <v>6.3788473198204146E-2</v>
      </c>
      <c r="I387" s="2422"/>
      <c r="J387" s="2270">
        <f t="shared" si="83"/>
        <v>90428</v>
      </c>
      <c r="L387" s="2270">
        <f t="shared" ca="1" si="75"/>
        <v>2884.1320271836025</v>
      </c>
      <c r="M387" s="2270">
        <f t="shared" ca="1" si="76"/>
        <v>2884.1320271836025</v>
      </c>
      <c r="Q387" s="2270">
        <f ca="1">SUMIFS('Sell-down'!$48:$48,'Sell-down'!$5:$5,'Report-sj'!C387)/1000</f>
        <v>2884.1320271836025</v>
      </c>
      <c r="R387" s="2270">
        <f t="shared" ca="1" si="80"/>
        <v>0</v>
      </c>
      <c r="S387" s="2270">
        <f ca="1">SUMIFS('Sell-down'!$49:$49,'Sell-down'!$5:$5,'Report-sj'!C387)/1000</f>
        <v>2884.1320271836025</v>
      </c>
      <c r="T387" s="2270">
        <f t="shared" ca="1" si="81"/>
        <v>0</v>
      </c>
    </row>
    <row r="388" spans="1:20" ht="12.75" thickBot="1">
      <c r="B388" s="2313">
        <v>13</v>
      </c>
      <c r="C388" s="2311">
        <f t="shared" si="77"/>
        <v>48699</v>
      </c>
      <c r="D388" s="2275">
        <f t="shared" ca="1" si="72"/>
        <v>2715</v>
      </c>
      <c r="E388" s="2275">
        <f t="shared" si="84"/>
        <v>0</v>
      </c>
      <c r="F388" s="2275">
        <f t="shared" ca="1" si="85"/>
        <v>2715</v>
      </c>
      <c r="G388" s="2275">
        <f t="shared" si="85"/>
        <v>0</v>
      </c>
      <c r="H388" s="2422">
        <f t="shared" ca="1" si="79"/>
        <v>6.0047772813730263E-2</v>
      </c>
      <c r="I388" s="2422"/>
      <c r="J388" s="2270">
        <f t="shared" si="83"/>
        <v>90428</v>
      </c>
      <c r="L388" s="2270">
        <f t="shared" ca="1" si="75"/>
        <v>2715</v>
      </c>
      <c r="M388" s="2270">
        <f t="shared" ca="1" si="76"/>
        <v>2715</v>
      </c>
      <c r="Q388" s="2270">
        <f ca="1">SUMIFS('Sell-down'!$48:$48,'Sell-down'!$5:$5,'Report-sj'!C388)/1000</f>
        <v>2715</v>
      </c>
      <c r="R388" s="2270">
        <f t="shared" ca="1" si="80"/>
        <v>0</v>
      </c>
      <c r="S388" s="2270">
        <f ca="1">SUMIFS('Sell-down'!$49:$49,'Sell-down'!$5:$5,'Report-sj'!C388)/1000</f>
        <v>2715</v>
      </c>
      <c r="T388" s="2270">
        <f t="shared" ca="1" si="81"/>
        <v>0</v>
      </c>
    </row>
    <row r="389" spans="1:20" ht="12.75" thickBot="1">
      <c r="B389" s="2313">
        <v>14</v>
      </c>
      <c r="C389" s="2311">
        <f t="shared" si="77"/>
        <v>48883</v>
      </c>
      <c r="D389" s="2275">
        <f t="shared" ca="1" si="72"/>
        <v>2715</v>
      </c>
      <c r="E389" s="2275">
        <f t="shared" si="84"/>
        <v>0</v>
      </c>
      <c r="F389" s="2275">
        <f t="shared" ca="1" si="85"/>
        <v>2715</v>
      </c>
      <c r="G389" s="2275">
        <f t="shared" si="85"/>
        <v>0</v>
      </c>
      <c r="H389" s="2422">
        <f t="shared" ca="1" si="79"/>
        <v>6.0047772813730263E-2</v>
      </c>
      <c r="I389" s="2422"/>
      <c r="J389" s="2270">
        <f t="shared" si="83"/>
        <v>90428</v>
      </c>
      <c r="L389" s="2270">
        <f t="shared" ca="1" si="75"/>
        <v>2715</v>
      </c>
      <c r="M389" s="2270">
        <f t="shared" ca="1" si="76"/>
        <v>2715</v>
      </c>
      <c r="Q389" s="2270">
        <f ca="1">SUMIFS('Sell-down'!$48:$48,'Sell-down'!$5:$5,'Report-sj'!C389)/1000</f>
        <v>2715</v>
      </c>
      <c r="R389" s="2270">
        <f t="shared" ca="1" si="80"/>
        <v>0</v>
      </c>
      <c r="S389" s="2270">
        <f ca="1">SUMIFS('Sell-down'!$49:$49,'Sell-down'!$5:$5,'Report-sj'!C389)/1000</f>
        <v>2715</v>
      </c>
      <c r="T389" s="2270">
        <f t="shared" ca="1" si="81"/>
        <v>0</v>
      </c>
    </row>
    <row r="390" spans="1:20" ht="12.75" thickBot="1">
      <c r="B390" s="2313">
        <v>15</v>
      </c>
      <c r="C390" s="2311">
        <f t="shared" si="77"/>
        <v>49064</v>
      </c>
      <c r="D390" s="2275">
        <f t="shared" ca="1" si="72"/>
        <v>2715</v>
      </c>
      <c r="E390" s="2275">
        <f t="shared" si="84"/>
        <v>0</v>
      </c>
      <c r="F390" s="2275">
        <f t="shared" ca="1" si="85"/>
        <v>2715</v>
      </c>
      <c r="G390" s="2275">
        <f t="shared" si="85"/>
        <v>0</v>
      </c>
      <c r="H390" s="2422">
        <f t="shared" ca="1" si="79"/>
        <v>6.0047772813730263E-2</v>
      </c>
      <c r="I390" s="2422"/>
      <c r="J390" s="2270">
        <f t="shared" si="83"/>
        <v>90428</v>
      </c>
      <c r="L390" s="2270">
        <f t="shared" ca="1" si="75"/>
        <v>2715</v>
      </c>
      <c r="M390" s="2270">
        <f t="shared" ca="1" si="76"/>
        <v>2715</v>
      </c>
      <c r="Q390" s="2270">
        <f ca="1">SUMIFS('Sell-down'!$48:$48,'Sell-down'!$5:$5,'Report-sj'!C390)/1000</f>
        <v>2715</v>
      </c>
      <c r="R390" s="2270">
        <f t="shared" ca="1" si="80"/>
        <v>0</v>
      </c>
      <c r="S390" s="2270">
        <f ca="1">SUMIFS('Sell-down'!$49:$49,'Sell-down'!$5:$5,'Report-sj'!C390)/1000</f>
        <v>2715</v>
      </c>
      <c r="T390" s="2270">
        <f t="shared" ca="1" si="81"/>
        <v>0</v>
      </c>
    </row>
    <row r="391" spans="1:20" ht="12.75" thickBot="1">
      <c r="B391" s="2313">
        <v>16</v>
      </c>
      <c r="C391" s="2311">
        <f t="shared" si="77"/>
        <v>49248</v>
      </c>
      <c r="D391" s="2275">
        <f t="shared" ca="1" si="72"/>
        <v>2715</v>
      </c>
      <c r="E391" s="2275">
        <f t="shared" si="84"/>
        <v>0</v>
      </c>
      <c r="F391" s="2275">
        <f t="shared" ca="1" si="85"/>
        <v>2715</v>
      </c>
      <c r="G391" s="2275">
        <f t="shared" si="85"/>
        <v>0</v>
      </c>
      <c r="H391" s="2422">
        <f t="shared" ca="1" si="79"/>
        <v>6.0047772813730263E-2</v>
      </c>
      <c r="I391" s="2422"/>
      <c r="J391" s="2270">
        <f t="shared" si="83"/>
        <v>90428</v>
      </c>
      <c r="L391" s="2270">
        <f t="shared" ca="1" si="75"/>
        <v>2715</v>
      </c>
      <c r="M391" s="2270">
        <f t="shared" ca="1" si="76"/>
        <v>2715</v>
      </c>
      <c r="Q391" s="2270">
        <f ca="1">SUMIFS('Sell-down'!$48:$48,'Sell-down'!$5:$5,'Report-sj'!C391)/1000</f>
        <v>2715</v>
      </c>
      <c r="R391" s="2270">
        <f t="shared" ca="1" si="80"/>
        <v>0</v>
      </c>
      <c r="S391" s="2270">
        <f ca="1">SUMIFS('Sell-down'!$49:$49,'Sell-down'!$5:$5,'Report-sj'!C391)/1000</f>
        <v>2715</v>
      </c>
      <c r="T391" s="2270">
        <f t="shared" ca="1" si="81"/>
        <v>0</v>
      </c>
    </row>
    <row r="392" spans="1:20" ht="12.75" thickBot="1">
      <c r="B392" s="2313">
        <v>17</v>
      </c>
      <c r="C392" s="2311">
        <f t="shared" si="77"/>
        <v>49429</v>
      </c>
      <c r="D392" s="2275">
        <f t="shared" ca="1" si="72"/>
        <v>2715</v>
      </c>
      <c r="E392" s="2275">
        <f t="shared" si="84"/>
        <v>0</v>
      </c>
      <c r="F392" s="2275">
        <f t="shared" ca="1" si="85"/>
        <v>2715</v>
      </c>
      <c r="G392" s="2275">
        <f t="shared" si="85"/>
        <v>0</v>
      </c>
      <c r="H392" s="2422">
        <f t="shared" ca="1" si="79"/>
        <v>6.0047772813730263E-2</v>
      </c>
      <c r="I392" s="2422"/>
      <c r="J392" s="2270">
        <f t="shared" si="83"/>
        <v>90428</v>
      </c>
      <c r="L392" s="2270">
        <f t="shared" ca="1" si="75"/>
        <v>2715</v>
      </c>
      <c r="M392" s="2270">
        <f t="shared" ca="1" si="76"/>
        <v>2715</v>
      </c>
      <c r="Q392" s="2270">
        <f ca="1">SUMIFS('Sell-down'!$48:$48,'Sell-down'!$5:$5,'Report-sj'!C392)/1000</f>
        <v>2715</v>
      </c>
      <c r="R392" s="2270">
        <f t="shared" ca="1" si="80"/>
        <v>0</v>
      </c>
      <c r="S392" s="2270">
        <f ca="1">SUMIFS('Sell-down'!$49:$49,'Sell-down'!$5:$5,'Report-sj'!C392)/1000</f>
        <v>2715</v>
      </c>
      <c r="T392" s="2270">
        <f t="shared" ca="1" si="81"/>
        <v>0</v>
      </c>
    </row>
    <row r="393" spans="1:20" ht="12.75" thickBot="1">
      <c r="B393" s="2313">
        <v>18</v>
      </c>
      <c r="C393" s="2311">
        <f t="shared" si="77"/>
        <v>49613</v>
      </c>
      <c r="D393" s="2275">
        <f t="shared" ca="1" si="72"/>
        <v>2715</v>
      </c>
      <c r="E393" s="2275">
        <f t="shared" si="84"/>
        <v>0</v>
      </c>
      <c r="F393" s="2275">
        <f t="shared" ca="1" si="85"/>
        <v>2715</v>
      </c>
      <c r="G393" s="2275">
        <f t="shared" si="85"/>
        <v>0</v>
      </c>
      <c r="H393" s="2422">
        <f t="shared" ca="1" si="79"/>
        <v>6.0047772813730263E-2</v>
      </c>
      <c r="I393" s="2422"/>
      <c r="J393" s="2270">
        <f t="shared" si="83"/>
        <v>90428</v>
      </c>
      <c r="L393" s="2270">
        <f t="shared" ca="1" si="75"/>
        <v>2715</v>
      </c>
      <c r="M393" s="2270">
        <f t="shared" ca="1" si="76"/>
        <v>2715</v>
      </c>
      <c r="Q393" s="2270">
        <f ca="1">SUMIFS('Sell-down'!$48:$48,'Sell-down'!$5:$5,'Report-sj'!C393)/1000</f>
        <v>2715</v>
      </c>
      <c r="R393" s="2270">
        <f t="shared" ca="1" si="80"/>
        <v>0</v>
      </c>
      <c r="S393" s="2270">
        <f ca="1">SUMIFS('Sell-down'!$49:$49,'Sell-down'!$5:$5,'Report-sj'!C393)/1000</f>
        <v>2715</v>
      </c>
      <c r="T393" s="2270">
        <f t="shared" ca="1" si="81"/>
        <v>0</v>
      </c>
    </row>
    <row r="394" spans="1:20" ht="12.75" thickBot="1">
      <c r="B394" s="2313">
        <v>19</v>
      </c>
      <c r="C394" s="2311">
        <f t="shared" si="77"/>
        <v>49795</v>
      </c>
      <c r="D394" s="2275">
        <f t="shared" ca="1" si="72"/>
        <v>2715</v>
      </c>
      <c r="E394" s="2275">
        <f t="shared" si="84"/>
        <v>0</v>
      </c>
      <c r="F394" s="2275">
        <f t="shared" ca="1" si="85"/>
        <v>2715</v>
      </c>
      <c r="G394" s="2275">
        <f t="shared" si="85"/>
        <v>0</v>
      </c>
      <c r="H394" s="2422">
        <f t="shared" ca="1" si="79"/>
        <v>6.0047772813730263E-2</v>
      </c>
      <c r="I394" s="2422"/>
      <c r="J394" s="2270">
        <f t="shared" si="83"/>
        <v>90428</v>
      </c>
      <c r="L394" s="2270">
        <f t="shared" ca="1" si="75"/>
        <v>2715</v>
      </c>
      <c r="M394" s="2270">
        <f t="shared" ca="1" si="76"/>
        <v>2715</v>
      </c>
      <c r="Q394" s="2270">
        <f ca="1">SUMIFS('Sell-down'!$48:$48,'Sell-down'!$5:$5,'Report-sj'!C394)/1000</f>
        <v>2715</v>
      </c>
      <c r="R394" s="2270">
        <f t="shared" ca="1" si="80"/>
        <v>0</v>
      </c>
      <c r="S394" s="2270">
        <f ca="1">SUMIFS('Sell-down'!$49:$49,'Sell-down'!$5:$5,'Report-sj'!C394)/1000</f>
        <v>2715</v>
      </c>
      <c r="T394" s="2270">
        <f t="shared" ca="1" si="81"/>
        <v>0</v>
      </c>
    </row>
    <row r="395" spans="1:20" ht="12.75" thickBot="1">
      <c r="B395" s="2313">
        <v>20</v>
      </c>
      <c r="C395" s="2311">
        <f t="shared" si="77"/>
        <v>49979</v>
      </c>
      <c r="D395" s="2275">
        <f t="shared" ca="1" si="72"/>
        <v>152090.53477444098</v>
      </c>
      <c r="E395" s="2473">
        <f>E344+E293+E267+E397</f>
        <v>90428</v>
      </c>
      <c r="F395" s="2275">
        <f t="shared" ca="1" si="85"/>
        <v>2715</v>
      </c>
      <c r="G395" s="2473">
        <f>G267+G293+G344-E397</f>
        <v>58947.534774440966</v>
      </c>
      <c r="H395" s="2422">
        <f t="shared" ca="1" si="79"/>
        <v>6.0047772813730263E-2</v>
      </c>
      <c r="I395" s="2422"/>
      <c r="J395" s="2270">
        <f t="shared" si="83"/>
        <v>90428</v>
      </c>
      <c r="L395" s="2270">
        <f t="shared" ca="1" si="75"/>
        <v>93143</v>
      </c>
      <c r="M395" s="2270">
        <f t="shared" ca="1" si="76"/>
        <v>152090.53477444098</v>
      </c>
      <c r="Q395" s="2270">
        <f ca="1">SUMIFS('Sell-down'!$48:$48,'Sell-down'!$5:$5,'Report-sj'!C395)/1000</f>
        <v>91515</v>
      </c>
      <c r="R395" s="2270">
        <f t="shared" ca="1" si="80"/>
        <v>-1628</v>
      </c>
      <c r="S395" s="2270">
        <f ca="1">SUMIFS('Sell-down'!$49:$49,'Sell-down'!$5:$5,'Report-sj'!C395)/1000</f>
        <v>151420.69445151399</v>
      </c>
      <c r="T395" s="2270">
        <f t="shared" ca="1" si="81"/>
        <v>669.84032292698976</v>
      </c>
    </row>
    <row r="396" spans="1:20" ht="12.75" thickBot="1">
      <c r="B396" s="2834" t="s">
        <v>1473</v>
      </c>
      <c r="C396" s="2835"/>
      <c r="D396" s="2279">
        <f ca="1">SUM(D375:D395)</f>
        <v>107247.53477444098</v>
      </c>
      <c r="E396" s="2279">
        <f>SUM(E375:E395)</f>
        <v>0</v>
      </c>
      <c r="F396" s="2279">
        <f ca="1">SUM(F375:F395)</f>
        <v>48300</v>
      </c>
      <c r="G396" s="2279">
        <f>SUM(G375:G395)</f>
        <v>58947.534774440966</v>
      </c>
      <c r="H396" s="2309">
        <f t="shared" ca="1" si="79"/>
        <v>6.0065363053459414E-2</v>
      </c>
      <c r="I396" s="2309">
        <f ca="1">SUM(F396,G396)/J396*2</f>
        <v>0.13337188639369174</v>
      </c>
      <c r="J396" s="2270">
        <f>SUM(J376:J395)</f>
        <v>1608248</v>
      </c>
      <c r="L396" s="2468">
        <f ca="1">XIRR(L375:L395,C375:C395)</f>
        <v>6.0936352610588079E-2</v>
      </c>
      <c r="M396" s="2468">
        <f ca="1">XIRR(M375:M395,C375:C395)</f>
        <v>0.10857058167457584</v>
      </c>
      <c r="Q396" s="2270"/>
      <c r="R396" s="2270"/>
      <c r="S396" s="2270">
        <f ca="1">'Sell-down'!J49/1000</f>
        <v>107535.85412858705</v>
      </c>
      <c r="T396" s="2270">
        <f ca="1">D396-S396</f>
        <v>-288.31935414606414</v>
      </c>
    </row>
    <row r="397" spans="1:20">
      <c r="D397" s="2470">
        <f ca="1">D396/J395+1</f>
        <v>2.1859991902335669</v>
      </c>
      <c r="E397" s="2270">
        <f>-SUM(O377:O379)</f>
        <v>1628</v>
      </c>
    </row>
    <row r="399" spans="1:20">
      <c r="E399" s="2270"/>
    </row>
    <row r="400" spans="1:20" ht="12.75" thickBot="1">
      <c r="A400" s="2234" t="s">
        <v>1652</v>
      </c>
      <c r="L400" s="2234" t="s">
        <v>1650</v>
      </c>
      <c r="M400" s="2472">
        <v>2.1999999999999999E-2</v>
      </c>
    </row>
    <row r="401" spans="2:24" ht="12.75" thickBot="1">
      <c r="B401" s="2817" t="str">
        <f t="shared" ref="B401:I401" si="86">B374</f>
        <v>구분</v>
      </c>
      <c r="C401" s="2833"/>
      <c r="D401" s="2272" t="str">
        <f t="shared" si="86"/>
        <v>현금의 변동</v>
      </c>
      <c r="E401" s="2272" t="str">
        <f t="shared" si="86"/>
        <v>투자금 납입/상환</v>
      </c>
      <c r="F401" s="2272" t="str">
        <f t="shared" si="86"/>
        <v>운영배당수입</v>
      </c>
      <c r="G401" s="2315" t="str">
        <f t="shared" si="86"/>
        <v>청산배당수입</v>
      </c>
      <c r="H401" s="2263" t="str">
        <f t="shared" si="86"/>
        <v>운영배당수익률</v>
      </c>
      <c r="I401" s="2263" t="str">
        <f t="shared" si="86"/>
        <v>청산배당수익률</v>
      </c>
      <c r="L401" s="2467" t="s">
        <v>1647</v>
      </c>
      <c r="M401" s="2467" t="s">
        <v>1648</v>
      </c>
      <c r="P401" s="2476" t="s">
        <v>1654</v>
      </c>
      <c r="Q401" s="2476" t="s">
        <v>1659</v>
      </c>
      <c r="R401" s="2476" t="s">
        <v>1658</v>
      </c>
      <c r="S401" s="2478" t="s">
        <v>1655</v>
      </c>
      <c r="T401" s="2477" t="s">
        <v>1653</v>
      </c>
      <c r="U401" s="2476" t="s">
        <v>1657</v>
      </c>
      <c r="V401" s="2476" t="s">
        <v>1656</v>
      </c>
    </row>
    <row r="402" spans="2:24" ht="12.75" thickBot="1">
      <c r="B402" s="2310" t="s">
        <v>1472</v>
      </c>
      <c r="C402" s="2311">
        <f t="shared" ref="C402:C422" si="87">C375</f>
        <v>46326</v>
      </c>
      <c r="D402" s="2275">
        <f t="shared" ref="D402:D421" si="88">SUM(E402:G402)</f>
        <v>-14800</v>
      </c>
      <c r="E402" s="2275">
        <f t="shared" ref="E402:E422" si="89">E375</f>
        <v>-14800</v>
      </c>
      <c r="F402" s="2275">
        <f t="shared" ref="F402:F422" si="90">-R402</f>
        <v>0</v>
      </c>
      <c r="G402" s="2275">
        <v>0</v>
      </c>
      <c r="H402" s="2312"/>
      <c r="I402" s="2312"/>
      <c r="L402" s="2270">
        <f t="shared" ref="L402:L422" si="91">SUM(E402:F402)</f>
        <v>-14800</v>
      </c>
      <c r="M402" s="2270">
        <f t="shared" ref="M402:M422" si="92">SUM(E402:G402)</f>
        <v>-14800</v>
      </c>
      <c r="P402" s="2474">
        <v>0</v>
      </c>
      <c r="Q402" s="2270">
        <f t="shared" ref="Q402:Q422" ca="1" si="93">T402+U402-V402</f>
        <v>0</v>
      </c>
      <c r="R402" s="2270">
        <v>0</v>
      </c>
      <c r="S402" s="2479">
        <f t="shared" ref="S402:S422" ca="1" si="94">SUM(P402:R402)</f>
        <v>0</v>
      </c>
      <c r="T402" s="2270" cm="1">
        <f t="array" aca="1" ref="T402:T422" ca="1">TRANSPOSE('IS(FY)'!M51:AG51)/1000</f>
        <v>0</v>
      </c>
      <c r="U402" s="2270" cm="1">
        <f t="array" ref="U402:U422">TRANSPOSE('IS(FY)'!M20:AG20)/1000</f>
        <v>0</v>
      </c>
      <c r="V402" s="2270" cm="1">
        <f t="array" ref="V402:V422">TRANSPOSE('IS(FY)'!M39:AG39)/1000</f>
        <v>0</v>
      </c>
    </row>
    <row r="403" spans="2:24" ht="12.75" thickBot="1">
      <c r="B403" s="2313">
        <v>1</v>
      </c>
      <c r="C403" s="2311">
        <f t="shared" si="87"/>
        <v>46507</v>
      </c>
      <c r="D403" s="2275">
        <f t="shared" ca="1" si="88"/>
        <v>1032.1722237300191</v>
      </c>
      <c r="E403" s="2275">
        <f t="shared" si="89"/>
        <v>0</v>
      </c>
      <c r="F403" s="2482">
        <f t="shared" ca="1" si="90"/>
        <v>1032.1722237300191</v>
      </c>
      <c r="G403" s="2275">
        <v>0</v>
      </c>
      <c r="H403" s="2422">
        <f t="shared" ref="H403:H423" ca="1" si="95">F403/J403*2</f>
        <v>0.13948273293648908</v>
      </c>
      <c r="I403" s="2422"/>
      <c r="J403" s="2270">
        <f>-E402</f>
        <v>14800</v>
      </c>
      <c r="L403" s="2270">
        <f t="shared" ca="1" si="91"/>
        <v>1032.1722237300191</v>
      </c>
      <c r="M403" s="2270">
        <f t="shared" ca="1" si="92"/>
        <v>1032.1722237300191</v>
      </c>
      <c r="P403" s="2270">
        <f t="shared" ref="P403:P422" ca="1" si="96">S402</f>
        <v>0</v>
      </c>
      <c r="Q403" s="2270">
        <f t="shared" ca="1" si="93"/>
        <v>1032.1722237300191</v>
      </c>
      <c r="R403" s="2270">
        <f t="shared" ref="R403:R422" ca="1" si="97">-MAX(SUM(P403:Q403),0)</f>
        <v>-1032.1722237300191</v>
      </c>
      <c r="S403" s="2479">
        <f t="shared" ca="1" si="94"/>
        <v>0</v>
      </c>
      <c r="T403" s="2270">
        <f ca="1"/>
        <v>-676.67127626998069</v>
      </c>
      <c r="U403" s="2270">
        <v>1708.8434999999999</v>
      </c>
      <c r="V403" s="2270">
        <v>0</v>
      </c>
      <c r="X403" s="2270">
        <f ca="1">MAX(SUM(P403:Q403),0)</f>
        <v>1032.1722237300191</v>
      </c>
    </row>
    <row r="404" spans="2:24" ht="12.75" thickBot="1">
      <c r="B404" s="2313">
        <v>2</v>
      </c>
      <c r="C404" s="2311">
        <f t="shared" si="87"/>
        <v>46691</v>
      </c>
      <c r="D404" s="2275">
        <f t="shared" ca="1" si="88"/>
        <v>-49532.124255357478</v>
      </c>
      <c r="E404" s="2275">
        <f t="shared" si="89"/>
        <v>-51100</v>
      </c>
      <c r="F404" s="2482">
        <f t="shared" ca="1" si="90"/>
        <v>1567.8757446425211</v>
      </c>
      <c r="G404" s="2275">
        <v>0</v>
      </c>
      <c r="H404" s="2422">
        <f t="shared" ca="1" si="95"/>
        <v>0.21187510062736772</v>
      </c>
      <c r="I404" s="2422"/>
      <c r="J404" s="2270">
        <f t="shared" ref="J404:J422" si="98">J403-E403</f>
        <v>14800</v>
      </c>
      <c r="L404" s="2270">
        <f t="shared" ca="1" si="91"/>
        <v>-49532.124255357478</v>
      </c>
      <c r="M404" s="2270">
        <f t="shared" ca="1" si="92"/>
        <v>-49532.124255357478</v>
      </c>
      <c r="N404" s="2270"/>
      <c r="O404" s="2270"/>
      <c r="P404" s="2270">
        <f t="shared" ca="1" si="96"/>
        <v>0</v>
      </c>
      <c r="Q404" s="2270">
        <f t="shared" ca="1" si="93"/>
        <v>1567.8757446425211</v>
      </c>
      <c r="R404" s="2270">
        <f t="shared" ca="1" si="97"/>
        <v>-1567.8757446425211</v>
      </c>
      <c r="S404" s="2479">
        <f t="shared" ca="1" si="94"/>
        <v>0</v>
      </c>
      <c r="T404" s="2270">
        <f ca="1"/>
        <v>-140.96775535747875</v>
      </c>
      <c r="U404" s="2270">
        <v>1708.8434999999999</v>
      </c>
      <c r="V404" s="2270">
        <v>0</v>
      </c>
    </row>
    <row r="405" spans="2:24" ht="12.75" thickBot="1">
      <c r="B405" s="2313">
        <v>3</v>
      </c>
      <c r="C405" s="2311">
        <f t="shared" si="87"/>
        <v>46873</v>
      </c>
      <c r="D405" s="2275">
        <f t="shared" ca="1" si="88"/>
        <v>1289.4331038831324</v>
      </c>
      <c r="E405" s="2275">
        <f t="shared" si="89"/>
        <v>0</v>
      </c>
      <c r="F405" s="2275">
        <f t="shared" ca="1" si="90"/>
        <v>1289.4331038831324</v>
      </c>
      <c r="G405" s="2275">
        <v>0</v>
      </c>
      <c r="H405" s="2422">
        <f t="shared" ca="1" si="95"/>
        <v>3.9133022879609479E-2</v>
      </c>
      <c r="I405" s="2422"/>
      <c r="J405" s="2270">
        <f t="shared" si="98"/>
        <v>65900</v>
      </c>
      <c r="L405" s="2270">
        <f t="shared" ca="1" si="91"/>
        <v>1289.4331038831324</v>
      </c>
      <c r="M405" s="2270">
        <f t="shared" ca="1" si="92"/>
        <v>1289.4331038831324</v>
      </c>
      <c r="O405" s="2270"/>
      <c r="P405" s="2270">
        <f t="shared" ca="1" si="96"/>
        <v>0</v>
      </c>
      <c r="Q405" s="2270">
        <f t="shared" ca="1" si="93"/>
        <v>1289.4331038831324</v>
      </c>
      <c r="R405" s="2270">
        <f t="shared" ca="1" si="97"/>
        <v>-1289.4331038831324</v>
      </c>
      <c r="S405" s="2479">
        <f t="shared" ca="1" si="94"/>
        <v>0</v>
      </c>
      <c r="T405" s="2270">
        <f ca="1"/>
        <v>-419.41039611686767</v>
      </c>
      <c r="U405" s="2270">
        <v>1708.8434999999999</v>
      </c>
      <c r="V405" s="2270">
        <v>0</v>
      </c>
    </row>
    <row r="406" spans="2:24" ht="12.75" thickBot="1">
      <c r="B406" s="2313">
        <v>4</v>
      </c>
      <c r="C406" s="2311">
        <f t="shared" si="87"/>
        <v>47057</v>
      </c>
      <c r="D406" s="2275">
        <f t="shared" ca="1" si="88"/>
        <v>-22836.009752185561</v>
      </c>
      <c r="E406" s="2275">
        <f t="shared" si="89"/>
        <v>-24528</v>
      </c>
      <c r="F406" s="2275">
        <f t="shared" ca="1" si="90"/>
        <v>1691.9902478144384</v>
      </c>
      <c r="G406" s="2275">
        <v>0</v>
      </c>
      <c r="H406" s="2422">
        <f t="shared" ca="1" si="95"/>
        <v>5.1350235138526205E-2</v>
      </c>
      <c r="I406" s="2422"/>
      <c r="J406" s="2270">
        <f t="shared" si="98"/>
        <v>65900</v>
      </c>
      <c r="L406" s="2270">
        <f t="shared" ca="1" si="91"/>
        <v>-22836.009752185561</v>
      </c>
      <c r="M406" s="2270">
        <f t="shared" ca="1" si="92"/>
        <v>-22836.009752185561</v>
      </c>
      <c r="N406" s="2270"/>
      <c r="O406" s="2270"/>
      <c r="P406" s="2270">
        <f t="shared" ca="1" si="96"/>
        <v>0</v>
      </c>
      <c r="Q406" s="2270">
        <f t="shared" ca="1" si="93"/>
        <v>1691.9902478144384</v>
      </c>
      <c r="R406" s="2270">
        <f t="shared" ca="1" si="97"/>
        <v>-1691.9902478144384</v>
      </c>
      <c r="S406" s="2479">
        <f t="shared" ca="1" si="94"/>
        <v>0</v>
      </c>
      <c r="T406" s="2270">
        <f ca="1"/>
        <v>-16.853252185561693</v>
      </c>
      <c r="U406" s="2270">
        <v>1708.8434999999999</v>
      </c>
      <c r="V406" s="2270">
        <v>0</v>
      </c>
    </row>
    <row r="407" spans="2:24" ht="12.75" thickBot="1">
      <c r="B407" s="2313">
        <v>5</v>
      </c>
      <c r="C407" s="2311">
        <f t="shared" si="87"/>
        <v>47238</v>
      </c>
      <c r="D407" s="2275">
        <f t="shared" ca="1" si="88"/>
        <v>1698.176213320718</v>
      </c>
      <c r="E407" s="2275">
        <f t="shared" si="89"/>
        <v>0</v>
      </c>
      <c r="F407" s="2275">
        <f t="shared" ca="1" si="90"/>
        <v>1698.176213320718</v>
      </c>
      <c r="G407" s="2275">
        <v>0</v>
      </c>
      <c r="H407" s="2422">
        <f t="shared" ca="1" si="95"/>
        <v>3.7558637000060117E-2</v>
      </c>
      <c r="I407" s="2422"/>
      <c r="J407" s="2270">
        <f t="shared" si="98"/>
        <v>90428</v>
      </c>
      <c r="L407" s="2270">
        <f t="shared" ca="1" si="91"/>
        <v>1698.176213320718</v>
      </c>
      <c r="M407" s="2270">
        <f t="shared" ca="1" si="92"/>
        <v>1698.176213320718</v>
      </c>
      <c r="P407" s="2270">
        <f t="shared" ca="1" si="96"/>
        <v>0</v>
      </c>
      <c r="Q407" s="2270">
        <f t="shared" ca="1" si="93"/>
        <v>1698.176213320718</v>
      </c>
      <c r="R407" s="2270">
        <f t="shared" ca="1" si="97"/>
        <v>-1698.176213320718</v>
      </c>
      <c r="S407" s="2479">
        <f t="shared" ca="1" si="94"/>
        <v>0</v>
      </c>
      <c r="T407" s="2270">
        <f ca="1"/>
        <v>-10.667286679281853</v>
      </c>
      <c r="U407" s="2270">
        <v>1708.8434999999999</v>
      </c>
      <c r="V407" s="2270">
        <v>0</v>
      </c>
    </row>
    <row r="408" spans="2:24" ht="12.75" thickBot="1">
      <c r="B408" s="2313">
        <v>6</v>
      </c>
      <c r="C408" s="2311">
        <f t="shared" si="87"/>
        <v>47422</v>
      </c>
      <c r="D408" s="2275">
        <f t="shared" ca="1" si="88"/>
        <v>0</v>
      </c>
      <c r="E408" s="2275">
        <f t="shared" si="89"/>
        <v>0</v>
      </c>
      <c r="F408" s="2275">
        <f t="shared" ca="1" si="90"/>
        <v>0</v>
      </c>
      <c r="G408" s="2275">
        <v>0</v>
      </c>
      <c r="H408" s="2422">
        <f t="shared" ca="1" si="95"/>
        <v>0</v>
      </c>
      <c r="I408" s="2422"/>
      <c r="J408" s="2270">
        <f t="shared" si="98"/>
        <v>90428</v>
      </c>
      <c r="L408" s="2270">
        <f t="shared" ca="1" si="91"/>
        <v>0</v>
      </c>
      <c r="M408" s="2270">
        <f t="shared" ca="1" si="92"/>
        <v>0</v>
      </c>
      <c r="P408" s="2270">
        <f t="shared" ca="1" si="96"/>
        <v>0</v>
      </c>
      <c r="Q408" s="2270">
        <f t="shared" ca="1" si="93"/>
        <v>-3336.239871653037</v>
      </c>
      <c r="R408" s="2270">
        <f t="shared" ca="1" si="97"/>
        <v>0</v>
      </c>
      <c r="S408" s="2479">
        <f t="shared" ca="1" si="94"/>
        <v>-3336.239871653037</v>
      </c>
      <c r="T408" s="2270">
        <f ca="1"/>
        <v>-5045.0833716530369</v>
      </c>
      <c r="U408" s="2270">
        <v>1708.8434999999999</v>
      </c>
      <c r="V408" s="2270">
        <v>0</v>
      </c>
    </row>
    <row r="409" spans="2:24" ht="12.75" thickBot="1">
      <c r="B409" s="2313">
        <v>7</v>
      </c>
      <c r="C409" s="2311">
        <f t="shared" si="87"/>
        <v>47603</v>
      </c>
      <c r="D409" s="2275">
        <f t="shared" ca="1" si="88"/>
        <v>0</v>
      </c>
      <c r="E409" s="2275">
        <f t="shared" si="89"/>
        <v>0</v>
      </c>
      <c r="F409" s="2275">
        <f t="shared" ca="1" si="90"/>
        <v>0</v>
      </c>
      <c r="G409" s="2275">
        <v>0</v>
      </c>
      <c r="H409" s="2422">
        <f t="shared" ca="1" si="95"/>
        <v>0</v>
      </c>
      <c r="I409" s="2422"/>
      <c r="J409" s="2270">
        <f t="shared" si="98"/>
        <v>90428</v>
      </c>
      <c r="L409" s="2270">
        <f t="shared" ca="1" si="91"/>
        <v>0</v>
      </c>
      <c r="M409" s="2270">
        <f t="shared" ca="1" si="92"/>
        <v>0</v>
      </c>
      <c r="P409" s="2270">
        <f t="shared" ca="1" si="96"/>
        <v>-3336.239871653037</v>
      </c>
      <c r="Q409" s="2270">
        <f t="shared" ca="1" si="93"/>
        <v>2011.397012234142</v>
      </c>
      <c r="R409" s="2270">
        <f t="shared" ca="1" si="97"/>
        <v>0</v>
      </c>
      <c r="S409" s="2479">
        <f t="shared" ca="1" si="94"/>
        <v>-1324.8428594188949</v>
      </c>
      <c r="T409" s="2270">
        <f ca="1"/>
        <v>302.55351223414203</v>
      </c>
      <c r="U409" s="2270">
        <v>1708.8434999999999</v>
      </c>
      <c r="V409" s="2270">
        <v>0</v>
      </c>
    </row>
    <row r="410" spans="2:24" ht="12.75" thickBot="1">
      <c r="B410" s="2313">
        <v>8</v>
      </c>
      <c r="C410" s="2311">
        <f t="shared" si="87"/>
        <v>47787</v>
      </c>
      <c r="D410" s="2275">
        <f t="shared" ca="1" si="88"/>
        <v>957.94825676668916</v>
      </c>
      <c r="E410" s="2275">
        <f t="shared" si="89"/>
        <v>0</v>
      </c>
      <c r="F410" s="2275">
        <f t="shared" ca="1" si="90"/>
        <v>957.94825676668916</v>
      </c>
      <c r="G410" s="2275">
        <v>0</v>
      </c>
      <c r="H410" s="2422">
        <f t="shared" ca="1" si="95"/>
        <v>2.1186983163769831E-2</v>
      </c>
      <c r="I410" s="2422"/>
      <c r="J410" s="2270">
        <f t="shared" si="98"/>
        <v>90428</v>
      </c>
      <c r="L410" s="2270">
        <f t="shared" ca="1" si="91"/>
        <v>957.94825676668916</v>
      </c>
      <c r="M410" s="2270">
        <f t="shared" ca="1" si="92"/>
        <v>957.94825676668916</v>
      </c>
      <c r="P410" s="2270">
        <f t="shared" ca="1" si="96"/>
        <v>-1324.8428594188949</v>
      </c>
      <c r="Q410" s="2270">
        <f t="shared" ca="1" si="93"/>
        <v>2282.7911161855841</v>
      </c>
      <c r="R410" s="2270">
        <f t="shared" ca="1" si="97"/>
        <v>-957.94825676668916</v>
      </c>
      <c r="S410" s="2479">
        <f t="shared" ca="1" si="94"/>
        <v>0</v>
      </c>
      <c r="T410" s="2270">
        <f ca="1"/>
        <v>573.94761618558414</v>
      </c>
      <c r="U410" s="2270">
        <v>1708.8434999999999</v>
      </c>
      <c r="V410" s="2270">
        <v>0</v>
      </c>
    </row>
    <row r="411" spans="2:24" ht="12.75" thickBot="1">
      <c r="B411" s="2313">
        <v>9</v>
      </c>
      <c r="C411" s="2311">
        <f t="shared" si="87"/>
        <v>47968</v>
      </c>
      <c r="D411" s="2275">
        <f t="shared" ca="1" si="88"/>
        <v>2257.309378513366</v>
      </c>
      <c r="E411" s="2275">
        <f t="shared" si="89"/>
        <v>0</v>
      </c>
      <c r="F411" s="2275">
        <f t="shared" ca="1" si="90"/>
        <v>2257.309378513366</v>
      </c>
      <c r="G411" s="2275">
        <v>0</v>
      </c>
      <c r="H411" s="2422">
        <f t="shared" ca="1" si="95"/>
        <v>4.9925009477448712E-2</v>
      </c>
      <c r="I411" s="2422"/>
      <c r="J411" s="2270">
        <f t="shared" si="98"/>
        <v>90428</v>
      </c>
      <c r="L411" s="2270">
        <f t="shared" ca="1" si="91"/>
        <v>2257.309378513366</v>
      </c>
      <c r="M411" s="2270">
        <f t="shared" ca="1" si="92"/>
        <v>2257.309378513366</v>
      </c>
      <c r="P411" s="2270">
        <f t="shared" ca="1" si="96"/>
        <v>0</v>
      </c>
      <c r="Q411" s="2270">
        <f t="shared" ca="1" si="93"/>
        <v>2257.309378513366</v>
      </c>
      <c r="R411" s="2270">
        <f t="shared" ca="1" si="97"/>
        <v>-2257.309378513366</v>
      </c>
      <c r="S411" s="2479">
        <f t="shared" ca="1" si="94"/>
        <v>0</v>
      </c>
      <c r="T411" s="2270">
        <f ca="1"/>
        <v>548.46587851336596</v>
      </c>
      <c r="U411" s="2270">
        <v>1708.8434999999999</v>
      </c>
      <c r="V411" s="2270">
        <v>0</v>
      </c>
    </row>
    <row r="412" spans="2:24" ht="12.75" thickBot="1">
      <c r="B412" s="2313">
        <v>10</v>
      </c>
      <c r="C412" s="2311">
        <f t="shared" si="87"/>
        <v>48152</v>
      </c>
      <c r="D412" s="2275">
        <f t="shared" ca="1" si="88"/>
        <v>2486.0966414401128</v>
      </c>
      <c r="E412" s="2275">
        <f t="shared" si="89"/>
        <v>0</v>
      </c>
      <c r="F412" s="2275">
        <f t="shared" ca="1" si="90"/>
        <v>2486.0966414401128</v>
      </c>
      <c r="G412" s="2275">
        <v>0</v>
      </c>
      <c r="H412" s="2422">
        <f t="shared" ca="1" si="95"/>
        <v>5.4985107299511497E-2</v>
      </c>
      <c r="I412" s="2422"/>
      <c r="J412" s="2270">
        <f t="shared" si="98"/>
        <v>90428</v>
      </c>
      <c r="L412" s="2270">
        <f t="shared" ca="1" si="91"/>
        <v>2486.0966414401128</v>
      </c>
      <c r="M412" s="2270">
        <f t="shared" ca="1" si="92"/>
        <v>2486.0966414401128</v>
      </c>
      <c r="P412" s="2270">
        <f t="shared" ca="1" si="96"/>
        <v>0</v>
      </c>
      <c r="Q412" s="2270">
        <f t="shared" ca="1" si="93"/>
        <v>2486.0966414401128</v>
      </c>
      <c r="R412" s="2270">
        <f t="shared" ca="1" si="97"/>
        <v>-2486.0966414401128</v>
      </c>
      <c r="S412" s="2479">
        <f t="shared" ca="1" si="94"/>
        <v>0</v>
      </c>
      <c r="T412" s="2270">
        <f ca="1"/>
        <v>777.25314144011304</v>
      </c>
      <c r="U412" s="2270">
        <v>1708.8434999999999</v>
      </c>
      <c r="V412" s="2270">
        <v>0</v>
      </c>
    </row>
    <row r="413" spans="2:24" ht="12.75" thickBot="1">
      <c r="B413" s="2313">
        <v>11</v>
      </c>
      <c r="C413" s="2311">
        <f t="shared" si="87"/>
        <v>48334</v>
      </c>
      <c r="D413" s="2275">
        <f t="shared" ca="1" si="88"/>
        <v>2785.9463807303869</v>
      </c>
      <c r="E413" s="2275">
        <f t="shared" si="89"/>
        <v>0</v>
      </c>
      <c r="F413" s="2275">
        <f t="shared" ca="1" si="90"/>
        <v>2785.9463807303869</v>
      </c>
      <c r="G413" s="2275">
        <v>0</v>
      </c>
      <c r="H413" s="2422">
        <f t="shared" ca="1" si="95"/>
        <v>6.1616896994965871E-2</v>
      </c>
      <c r="I413" s="2422"/>
      <c r="J413" s="2270">
        <f t="shared" si="98"/>
        <v>90428</v>
      </c>
      <c r="L413" s="2270">
        <f t="shared" ca="1" si="91"/>
        <v>2785.9463807303869</v>
      </c>
      <c r="M413" s="2270">
        <f t="shared" ca="1" si="92"/>
        <v>2785.9463807303869</v>
      </c>
      <c r="P413" s="2270">
        <f t="shared" ca="1" si="96"/>
        <v>0</v>
      </c>
      <c r="Q413" s="2270">
        <f t="shared" ca="1" si="93"/>
        <v>2785.9463807303869</v>
      </c>
      <c r="R413" s="2270">
        <f t="shared" ca="1" si="97"/>
        <v>-2785.9463807303869</v>
      </c>
      <c r="S413" s="2479">
        <f t="shared" ca="1" si="94"/>
        <v>0</v>
      </c>
      <c r="T413" s="2270">
        <f ca="1"/>
        <v>1077.1028807303869</v>
      </c>
      <c r="U413" s="2270">
        <v>1708.8434999999999</v>
      </c>
      <c r="V413" s="2270">
        <v>0</v>
      </c>
    </row>
    <row r="414" spans="2:24" ht="12.75" thickBot="1">
      <c r="B414" s="2313">
        <v>12</v>
      </c>
      <c r="C414" s="2311">
        <f t="shared" si="87"/>
        <v>48518</v>
      </c>
      <c r="D414" s="2275">
        <f t="shared" ca="1" si="88"/>
        <v>3030.0122318941485</v>
      </c>
      <c r="E414" s="2275">
        <f t="shared" si="89"/>
        <v>0</v>
      </c>
      <c r="F414" s="2275">
        <f t="shared" ca="1" si="90"/>
        <v>3030.0122318941485</v>
      </c>
      <c r="G414" s="2275">
        <v>0</v>
      </c>
      <c r="H414" s="2422">
        <f t="shared" ca="1" si="95"/>
        <v>6.701491201606026E-2</v>
      </c>
      <c r="I414" s="2422"/>
      <c r="J414" s="2270">
        <f t="shared" si="98"/>
        <v>90428</v>
      </c>
      <c r="L414" s="2270">
        <f t="shared" ca="1" si="91"/>
        <v>3030.0122318941485</v>
      </c>
      <c r="M414" s="2270">
        <f t="shared" ca="1" si="92"/>
        <v>3030.0122318941485</v>
      </c>
      <c r="P414" s="2270">
        <f t="shared" ca="1" si="96"/>
        <v>0</v>
      </c>
      <c r="Q414" s="2270">
        <f t="shared" ca="1" si="93"/>
        <v>3030.0122318941485</v>
      </c>
      <c r="R414" s="2270">
        <f t="shared" ca="1" si="97"/>
        <v>-3030.0122318941485</v>
      </c>
      <c r="S414" s="2479">
        <f t="shared" ca="1" si="94"/>
        <v>0</v>
      </c>
      <c r="T414" s="2270">
        <f ca="1"/>
        <v>1321.1687318941486</v>
      </c>
      <c r="U414" s="2270">
        <v>1708.8434999999999</v>
      </c>
      <c r="V414" s="2270">
        <v>0</v>
      </c>
    </row>
    <row r="415" spans="2:24" ht="12.75" thickBot="1">
      <c r="B415" s="2313">
        <v>13</v>
      </c>
      <c r="C415" s="2311">
        <f t="shared" si="87"/>
        <v>48699</v>
      </c>
      <c r="D415" s="2275">
        <f t="shared" ca="1" si="88"/>
        <v>3013.0010053553187</v>
      </c>
      <c r="E415" s="2275">
        <f t="shared" si="89"/>
        <v>0</v>
      </c>
      <c r="F415" s="2275">
        <f t="shared" ca="1" si="90"/>
        <v>3013.0010053553187</v>
      </c>
      <c r="G415" s="2275">
        <v>0</v>
      </c>
      <c r="H415" s="2422">
        <f t="shared" ca="1" si="95"/>
        <v>6.6638673980521937E-2</v>
      </c>
      <c r="I415" s="2422"/>
      <c r="J415" s="2270">
        <f t="shared" si="98"/>
        <v>90428</v>
      </c>
      <c r="L415" s="2270">
        <f t="shared" ca="1" si="91"/>
        <v>3013.0010053553187</v>
      </c>
      <c r="M415" s="2270">
        <f t="shared" ca="1" si="92"/>
        <v>3013.0010053553187</v>
      </c>
      <c r="P415" s="2270">
        <f t="shared" ca="1" si="96"/>
        <v>0</v>
      </c>
      <c r="Q415" s="2270">
        <f t="shared" ca="1" si="93"/>
        <v>3013.0010053553187</v>
      </c>
      <c r="R415" s="2270">
        <f t="shared" ca="1" si="97"/>
        <v>-3013.0010053553187</v>
      </c>
      <c r="S415" s="2479">
        <f t="shared" ca="1" si="94"/>
        <v>0</v>
      </c>
      <c r="T415" s="2270">
        <f ca="1"/>
        <v>1304.157505355319</v>
      </c>
      <c r="U415" s="2270">
        <v>1708.8434999999999</v>
      </c>
      <c r="V415" s="2270">
        <v>0</v>
      </c>
    </row>
    <row r="416" spans="2:24" ht="12.75" thickBot="1">
      <c r="B416" s="2313">
        <v>14</v>
      </c>
      <c r="C416" s="2311">
        <f t="shared" si="87"/>
        <v>48883</v>
      </c>
      <c r="D416" s="2275">
        <f t="shared" ca="1" si="88"/>
        <v>3266.2074371801455</v>
      </c>
      <c r="E416" s="2275">
        <f t="shared" si="89"/>
        <v>0</v>
      </c>
      <c r="F416" s="2275">
        <f t="shared" ca="1" si="90"/>
        <v>3266.2074371801455</v>
      </c>
      <c r="G416" s="2275">
        <v>0</v>
      </c>
      <c r="H416" s="2422">
        <f t="shared" ca="1" si="95"/>
        <v>7.223885162074016E-2</v>
      </c>
      <c r="I416" s="2422"/>
      <c r="J416" s="2270">
        <f t="shared" si="98"/>
        <v>90428</v>
      </c>
      <c r="L416" s="2270">
        <f t="shared" ca="1" si="91"/>
        <v>3266.2074371801455</v>
      </c>
      <c r="M416" s="2270">
        <f t="shared" ca="1" si="92"/>
        <v>3266.2074371801455</v>
      </c>
      <c r="P416" s="2270">
        <f t="shared" ca="1" si="96"/>
        <v>0</v>
      </c>
      <c r="Q416" s="2270">
        <f t="shared" ca="1" si="93"/>
        <v>3266.2074371801455</v>
      </c>
      <c r="R416" s="2270">
        <f t="shared" ca="1" si="97"/>
        <v>-3266.2074371801455</v>
      </c>
      <c r="S416" s="2479">
        <f t="shared" ca="1" si="94"/>
        <v>0</v>
      </c>
      <c r="T416" s="2270">
        <f ca="1"/>
        <v>1557.3639371801457</v>
      </c>
      <c r="U416" s="2270">
        <v>1708.8434999999999</v>
      </c>
      <c r="V416" s="2270">
        <v>0</v>
      </c>
    </row>
    <row r="417" spans="2:22" ht="12.75" thickBot="1">
      <c r="B417" s="2313">
        <v>15</v>
      </c>
      <c r="C417" s="2311">
        <f t="shared" si="87"/>
        <v>49064</v>
      </c>
      <c r="D417" s="2275">
        <f t="shared" ca="1" si="88"/>
        <v>3255.7624850728957</v>
      </c>
      <c r="E417" s="2275">
        <f t="shared" si="89"/>
        <v>0</v>
      </c>
      <c r="F417" s="2275">
        <f t="shared" ca="1" si="90"/>
        <v>3255.7624850728957</v>
      </c>
      <c r="G417" s="2275">
        <v>0</v>
      </c>
      <c r="H417" s="2422">
        <f t="shared" ca="1" si="95"/>
        <v>7.2007840161739639E-2</v>
      </c>
      <c r="I417" s="2422"/>
      <c r="J417" s="2270">
        <f t="shared" si="98"/>
        <v>90428</v>
      </c>
      <c r="L417" s="2270">
        <f t="shared" ca="1" si="91"/>
        <v>3255.7624850728957</v>
      </c>
      <c r="M417" s="2270">
        <f t="shared" ca="1" si="92"/>
        <v>3255.7624850728957</v>
      </c>
      <c r="P417" s="2270">
        <f t="shared" ca="1" si="96"/>
        <v>0</v>
      </c>
      <c r="Q417" s="2270">
        <f t="shared" ca="1" si="93"/>
        <v>3255.7624850728957</v>
      </c>
      <c r="R417" s="2270">
        <f t="shared" ca="1" si="97"/>
        <v>-3255.7624850728957</v>
      </c>
      <c r="S417" s="2479">
        <f t="shared" ca="1" si="94"/>
        <v>0</v>
      </c>
      <c r="T417" s="2270">
        <f ca="1"/>
        <v>1546.9189850728958</v>
      </c>
      <c r="U417" s="2270">
        <v>1708.8434999999999</v>
      </c>
      <c r="V417" s="2270">
        <v>0</v>
      </c>
    </row>
    <row r="418" spans="2:22" ht="12.75" thickBot="1">
      <c r="B418" s="2313">
        <v>16</v>
      </c>
      <c r="C418" s="2311">
        <f t="shared" si="87"/>
        <v>49248</v>
      </c>
      <c r="D418" s="2275">
        <f t="shared" ca="1" si="88"/>
        <v>2609.3619053656039</v>
      </c>
      <c r="E418" s="2275">
        <f t="shared" si="89"/>
        <v>0</v>
      </c>
      <c r="F418" s="2275">
        <f t="shared" ca="1" si="90"/>
        <v>2609.3619053656039</v>
      </c>
      <c r="G418" s="2275">
        <v>0</v>
      </c>
      <c r="H418" s="2422">
        <f t="shared" ca="1" si="95"/>
        <v>5.7711370490679967E-2</v>
      </c>
      <c r="I418" s="2422"/>
      <c r="J418" s="2270">
        <f t="shared" si="98"/>
        <v>90428</v>
      </c>
      <c r="L418" s="2270">
        <f t="shared" ca="1" si="91"/>
        <v>2609.3619053656039</v>
      </c>
      <c r="M418" s="2270">
        <f t="shared" ca="1" si="92"/>
        <v>2609.3619053656039</v>
      </c>
      <c r="P418" s="2270">
        <f t="shared" ca="1" si="96"/>
        <v>0</v>
      </c>
      <c r="Q418" s="2270">
        <f t="shared" ca="1" si="93"/>
        <v>2609.3619053656039</v>
      </c>
      <c r="R418" s="2270">
        <f t="shared" ca="1" si="97"/>
        <v>-2609.3619053656039</v>
      </c>
      <c r="S418" s="2479">
        <f t="shared" ca="1" si="94"/>
        <v>0</v>
      </c>
      <c r="T418" s="2270">
        <f ca="1"/>
        <v>900.51840536560394</v>
      </c>
      <c r="U418" s="2270">
        <v>1708.8434999999999</v>
      </c>
      <c r="V418" s="2270">
        <v>0</v>
      </c>
    </row>
    <row r="419" spans="2:22" ht="12.75" thickBot="1">
      <c r="B419" s="2313">
        <v>17</v>
      </c>
      <c r="C419" s="2311">
        <f t="shared" si="87"/>
        <v>49429</v>
      </c>
      <c r="D419" s="2275">
        <f t="shared" ca="1" si="88"/>
        <v>3307.4052119484504</v>
      </c>
      <c r="E419" s="2275">
        <f t="shared" si="89"/>
        <v>0</v>
      </c>
      <c r="F419" s="2275">
        <f t="shared" ca="1" si="90"/>
        <v>3307.4052119484504</v>
      </c>
      <c r="G419" s="2275">
        <v>0</v>
      </c>
      <c r="H419" s="2422">
        <f t="shared" ca="1" si="95"/>
        <v>7.3150024593012133E-2</v>
      </c>
      <c r="I419" s="2422"/>
      <c r="J419" s="2270">
        <f t="shared" si="98"/>
        <v>90428</v>
      </c>
      <c r="L419" s="2270">
        <f t="shared" ca="1" si="91"/>
        <v>3307.4052119484504</v>
      </c>
      <c r="M419" s="2270">
        <f t="shared" ca="1" si="92"/>
        <v>3307.4052119484504</v>
      </c>
      <c r="P419" s="2270">
        <f t="shared" ca="1" si="96"/>
        <v>0</v>
      </c>
      <c r="Q419" s="2270">
        <f t="shared" ca="1" si="93"/>
        <v>3307.4052119484504</v>
      </c>
      <c r="R419" s="2270">
        <f t="shared" ca="1" si="97"/>
        <v>-3307.4052119484504</v>
      </c>
      <c r="S419" s="2479">
        <f t="shared" ca="1" si="94"/>
        <v>0</v>
      </c>
      <c r="T419" s="2270">
        <f ca="1"/>
        <v>1598.5617119484507</v>
      </c>
      <c r="U419" s="2270">
        <v>1708.8434999999999</v>
      </c>
      <c r="V419" s="2270">
        <v>0</v>
      </c>
    </row>
    <row r="420" spans="2:22" ht="12.75" thickBot="1">
      <c r="B420" s="2313">
        <v>18</v>
      </c>
      <c r="C420" s="2311">
        <f t="shared" si="87"/>
        <v>49613</v>
      </c>
      <c r="D420" s="2275">
        <f t="shared" ca="1" si="88"/>
        <v>3541.061652048812</v>
      </c>
      <c r="E420" s="2275">
        <f t="shared" si="89"/>
        <v>0</v>
      </c>
      <c r="F420" s="2275">
        <f t="shared" ca="1" si="90"/>
        <v>3541.061652048812</v>
      </c>
      <c r="G420" s="2275">
        <v>0</v>
      </c>
      <c r="H420" s="2422">
        <f t="shared" ca="1" si="95"/>
        <v>7.8317814217915074E-2</v>
      </c>
      <c r="I420" s="2422"/>
      <c r="J420" s="2270">
        <f t="shared" si="98"/>
        <v>90428</v>
      </c>
      <c r="L420" s="2270">
        <f t="shared" ca="1" si="91"/>
        <v>3541.061652048812</v>
      </c>
      <c r="M420" s="2270">
        <f t="shared" ca="1" si="92"/>
        <v>3541.061652048812</v>
      </c>
      <c r="P420" s="2270">
        <f t="shared" ca="1" si="96"/>
        <v>0</v>
      </c>
      <c r="Q420" s="2270">
        <f t="shared" ca="1" si="93"/>
        <v>3541.061652048812</v>
      </c>
      <c r="R420" s="2270">
        <f t="shared" ca="1" si="97"/>
        <v>-3541.061652048812</v>
      </c>
      <c r="S420" s="2479">
        <f t="shared" ca="1" si="94"/>
        <v>0</v>
      </c>
      <c r="T420" s="2270">
        <f ca="1"/>
        <v>1832.2181520488123</v>
      </c>
      <c r="U420" s="2270">
        <v>1708.8434999999999</v>
      </c>
      <c r="V420" s="2270">
        <v>0</v>
      </c>
    </row>
    <row r="421" spans="2:22" ht="12.75" thickBot="1">
      <c r="B421" s="2313">
        <v>19</v>
      </c>
      <c r="C421" s="2311">
        <f t="shared" si="87"/>
        <v>49795</v>
      </c>
      <c r="D421" s="2275">
        <f t="shared" ca="1" si="88"/>
        <v>3661.6776585005427</v>
      </c>
      <c r="E421" s="2275">
        <f t="shared" si="89"/>
        <v>0</v>
      </c>
      <c r="F421" s="2275">
        <f t="shared" ca="1" si="90"/>
        <v>3661.6776585005427</v>
      </c>
      <c r="G421" s="2275">
        <v>0</v>
      </c>
      <c r="H421" s="2422">
        <f t="shared" ca="1" si="95"/>
        <v>8.0985483666575458E-2</v>
      </c>
      <c r="I421" s="2422"/>
      <c r="J421" s="2270">
        <f t="shared" si="98"/>
        <v>90428</v>
      </c>
      <c r="L421" s="2270">
        <f t="shared" ca="1" si="91"/>
        <v>3661.6776585005427</v>
      </c>
      <c r="M421" s="2270">
        <f t="shared" ca="1" si="92"/>
        <v>3661.6776585005427</v>
      </c>
      <c r="P421" s="2270">
        <f t="shared" ca="1" si="96"/>
        <v>0</v>
      </c>
      <c r="Q421" s="2270">
        <f t="shared" ca="1" si="93"/>
        <v>3661.6776585005427</v>
      </c>
      <c r="R421" s="2270">
        <f t="shared" ca="1" si="97"/>
        <v>-3661.6776585005427</v>
      </c>
      <c r="S421" s="2479">
        <f t="shared" ca="1" si="94"/>
        <v>0</v>
      </c>
      <c r="T421" s="2270">
        <f ca="1"/>
        <v>1952.8341585005428</v>
      </c>
      <c r="U421" s="2270">
        <v>1708.8434999999999</v>
      </c>
      <c r="V421" s="2270">
        <v>0</v>
      </c>
    </row>
    <row r="422" spans="2:22" ht="12.75" thickBot="1">
      <c r="B422" s="2313">
        <v>20</v>
      </c>
      <c r="C422" s="2311">
        <f t="shared" si="87"/>
        <v>49979</v>
      </c>
      <c r="D422" s="2473">
        <f ca="1">D423-SUM(D402:D421)</f>
        <v>156224.09699623368</v>
      </c>
      <c r="E422" s="2473">
        <f t="shared" si="89"/>
        <v>90428</v>
      </c>
      <c r="F422" s="2275">
        <f t="shared" ca="1" si="90"/>
        <v>3812.2689509162883</v>
      </c>
      <c r="G422" s="2473">
        <f ca="1">D422-E422-F422</f>
        <v>61983.828045317394</v>
      </c>
      <c r="H422" s="2422">
        <f t="shared" ca="1" si="95"/>
        <v>8.4316117815638705E-2</v>
      </c>
      <c r="I422" s="2422"/>
      <c r="J422" s="2270">
        <f t="shared" si="98"/>
        <v>90428</v>
      </c>
      <c r="L422" s="2270">
        <f t="shared" ca="1" si="91"/>
        <v>94240.268950916288</v>
      </c>
      <c r="M422" s="2270">
        <f t="shared" ca="1" si="92"/>
        <v>156224.09699623368</v>
      </c>
      <c r="P422" s="2475">
        <f t="shared" ca="1" si="96"/>
        <v>0</v>
      </c>
      <c r="Q422" s="2475">
        <f t="shared" ca="1" si="93"/>
        <v>3812.2689509162883</v>
      </c>
      <c r="R422" s="2475">
        <f t="shared" ca="1" si="97"/>
        <v>-3812.2689509162883</v>
      </c>
      <c r="S422" s="2480">
        <f t="shared" ca="1" si="94"/>
        <v>0</v>
      </c>
      <c r="T422" s="2475">
        <f ca="1"/>
        <v>107002.12349623363</v>
      </c>
      <c r="U422" s="2475">
        <v>1708.8434999999999</v>
      </c>
      <c r="V422" s="2475">
        <v>104898.69804531735</v>
      </c>
    </row>
    <row r="423" spans="2:22" ht="12.75" thickBot="1">
      <c r="B423" s="2834" t="s">
        <v>1473</v>
      </c>
      <c r="C423" s="2835"/>
      <c r="D423" s="2481">
        <f ca="1">D396</f>
        <v>107247.53477444098</v>
      </c>
      <c r="E423" s="2279">
        <f>SUM(E402:E422)</f>
        <v>0</v>
      </c>
      <c r="F423" s="2279">
        <f ca="1">SUM(F402:F422)</f>
        <v>45263.706729123587</v>
      </c>
      <c r="G423" s="2279">
        <f ca="1">SUM(G402:G422)</f>
        <v>61983.828045317394</v>
      </c>
      <c r="H423" s="2309">
        <f t="shared" ca="1" si="95"/>
        <v>5.6289461238718891E-2</v>
      </c>
      <c r="I423" s="2309">
        <f ca="1">SUM(F423,G423)/J423*2</f>
        <v>0.13337188639369174</v>
      </c>
      <c r="J423" s="2270">
        <f>SUM(J403:J422)</f>
        <v>1608248</v>
      </c>
      <c r="L423" s="2468">
        <f ca="1">XIRR(L402:L422,C402:C422)</f>
        <v>5.503527820110321E-2</v>
      </c>
      <c r="M423" s="2468">
        <f ca="1">XIRR(M402:M422,C402:C422)</f>
        <v>0.10438014864921569</v>
      </c>
      <c r="Q423" s="2270"/>
      <c r="R423" s="2270"/>
      <c r="S423" s="2270"/>
      <c r="T423" s="2270"/>
    </row>
    <row r="424" spans="2:22">
      <c r="D424" s="2470">
        <f ca="1">D423/J422+1</f>
        <v>2.1859991902335669</v>
      </c>
      <c r="E424" s="2270"/>
    </row>
    <row r="433" spans="1:11" ht="16.5">
      <c r="A433" s="2401" t="s">
        <v>1568</v>
      </c>
      <c r="C433"/>
      <c r="D433"/>
      <c r="E433"/>
      <c r="F433"/>
      <c r="G433"/>
      <c r="H433"/>
      <c r="I433"/>
      <c r="J433" s="2314"/>
      <c r="K433" s="2314"/>
    </row>
    <row r="434" spans="1:11">
      <c r="B434" s="2283" t="s">
        <v>620</v>
      </c>
      <c r="C434" s="2284" t="s">
        <v>1569</v>
      </c>
      <c r="D434" s="2284" t="s">
        <v>1570</v>
      </c>
      <c r="E434" s="2284" t="s">
        <v>1571</v>
      </c>
      <c r="F434" s="2284" t="s">
        <v>685</v>
      </c>
      <c r="G434" s="2284" t="s">
        <v>686</v>
      </c>
      <c r="H434" s="2284" t="s">
        <v>13</v>
      </c>
      <c r="I434" s="2382" t="s">
        <v>1572</v>
      </c>
      <c r="J434" s="2314"/>
      <c r="K434" s="2314"/>
    </row>
    <row r="435" spans="1:11">
      <c r="B435" s="2384" t="s">
        <v>1561</v>
      </c>
      <c r="C435" s="2384" t="s">
        <v>1573</v>
      </c>
      <c r="D435" s="2408">
        <f>'A&amp;R'!P32/1000</f>
        <v>160000</v>
      </c>
      <c r="E435" s="2386">
        <f>'A&amp;R'!Q32</f>
        <v>4.7750000000000001E-2</v>
      </c>
      <c r="F435" s="2386">
        <f>'A&amp;R'!R32</f>
        <v>1.4500000000000001E-2</v>
      </c>
      <c r="G435" s="2386">
        <f>'A&amp;R'!S32</f>
        <v>5.5E-2</v>
      </c>
      <c r="H435" s="2387">
        <f>'A&amp;R'!M32</f>
        <v>46326</v>
      </c>
      <c r="I435" s="2388">
        <f>'A&amp;R'!N32</f>
        <v>47057</v>
      </c>
      <c r="J435" s="2314"/>
      <c r="K435" s="2314"/>
    </row>
    <row r="436" spans="1:11">
      <c r="B436" s="2384"/>
      <c r="C436" s="2384" t="s">
        <v>1574</v>
      </c>
      <c r="D436" s="2408">
        <f>'A&amp;R'!P33/1000</f>
        <v>213000</v>
      </c>
      <c r="E436" s="2386">
        <f>'A&amp;R'!Q33</f>
        <v>4.8000000000000001E-2</v>
      </c>
      <c r="F436" s="2386">
        <f>'A&amp;R'!R33</f>
        <v>0</v>
      </c>
      <c r="G436" s="2386">
        <f>'A&amp;R'!S33</f>
        <v>4.8000000000000001E-2</v>
      </c>
      <c r="H436" s="2387">
        <f>'A&amp;R'!M33</f>
        <v>47057</v>
      </c>
      <c r="I436" s="2388">
        <f>'A&amp;R'!N33</f>
        <v>48152</v>
      </c>
      <c r="J436" s="2314"/>
      <c r="K436" s="2314"/>
    </row>
    <row r="437" spans="1:11">
      <c r="B437" s="2384"/>
      <c r="C437" s="2384" t="s">
        <v>1575</v>
      </c>
      <c r="D437" s="2408">
        <f>'A&amp;R'!P34/1000</f>
        <v>213000</v>
      </c>
      <c r="E437" s="2386">
        <f>'A&amp;R'!Q34</f>
        <v>4.4999999999999998E-2</v>
      </c>
      <c r="F437" s="2386">
        <f>'A&amp;R'!R34</f>
        <v>0</v>
      </c>
      <c r="G437" s="2386">
        <f>'A&amp;R'!S34</f>
        <v>4.4999999999999998E-2</v>
      </c>
      <c r="H437" s="2387">
        <f>'A&amp;R'!M34</f>
        <v>48152</v>
      </c>
      <c r="I437" s="2388">
        <f>'A&amp;R'!N34</f>
        <v>49979</v>
      </c>
      <c r="J437" s="2314"/>
      <c r="K437" s="2314"/>
    </row>
    <row r="438" spans="1:11">
      <c r="B438" s="2384" t="s">
        <v>1563</v>
      </c>
      <c r="C438" s="2384" t="s">
        <v>1573</v>
      </c>
      <c r="D438" s="2408">
        <f>'A&amp;R'!P35/1000</f>
        <v>38000</v>
      </c>
      <c r="E438" s="2386">
        <f>'A&amp;R'!Q35</f>
        <v>0.06</v>
      </c>
      <c r="F438" s="2386">
        <f>'A&amp;R'!R35</f>
        <v>0.01</v>
      </c>
      <c r="G438" s="2386">
        <f>'A&amp;R'!S35</f>
        <v>6.5000000000000002E-2</v>
      </c>
      <c r="H438" s="2387">
        <f>'A&amp;R'!M35</f>
        <v>46326</v>
      </c>
      <c r="I438" s="2388">
        <f>'A&amp;R'!N35</f>
        <v>47057</v>
      </c>
      <c r="J438" s="2314"/>
      <c r="K438" s="2314"/>
    </row>
    <row r="439" spans="1:11">
      <c r="B439" s="2384"/>
      <c r="C439" s="2384" t="s">
        <v>1574</v>
      </c>
      <c r="D439" s="2408">
        <f>'A&amp;R'!P36/1000</f>
        <v>0</v>
      </c>
      <c r="E439" s="2386">
        <f>'A&amp;R'!Q36</f>
        <v>5.7000000000000002E-2</v>
      </c>
      <c r="F439" s="2386">
        <f>'A&amp;R'!R36</f>
        <v>0</v>
      </c>
      <c r="G439" s="2386">
        <f>'A&amp;R'!S36</f>
        <v>5.7000000000000002E-2</v>
      </c>
      <c r="H439" s="2387">
        <f>'A&amp;R'!M36</f>
        <v>47057</v>
      </c>
      <c r="I439" s="2388">
        <f>'A&amp;R'!N36</f>
        <v>48152</v>
      </c>
      <c r="J439" s="2314"/>
      <c r="K439" s="2314"/>
    </row>
    <row r="440" spans="1:11">
      <c r="B440" s="2384"/>
      <c r="C440" s="2384" t="s">
        <v>1575</v>
      </c>
      <c r="D440" s="2408">
        <f>'A&amp;R'!P37/1000</f>
        <v>0</v>
      </c>
      <c r="E440" s="2386">
        <f>'A&amp;R'!Q37</f>
        <v>5.7000000000000002E-2</v>
      </c>
      <c r="F440" s="2386">
        <f>'A&amp;R'!R37</f>
        <v>0</v>
      </c>
      <c r="G440" s="2386">
        <f>'A&amp;R'!S37</f>
        <v>5.7000000000000002E-2</v>
      </c>
      <c r="H440" s="2387">
        <f>'A&amp;R'!M37</f>
        <v>48152</v>
      </c>
      <c r="I440" s="2388">
        <f>'A&amp;R'!N37</f>
        <v>49979</v>
      </c>
      <c r="J440" s="2314"/>
      <c r="K440" s="2314"/>
    </row>
    <row r="441" spans="1:11" ht="16.5">
      <c r="A441"/>
      <c r="B441"/>
      <c r="C441"/>
      <c r="D441"/>
      <c r="E441"/>
      <c r="F441"/>
      <c r="G441"/>
      <c r="H441"/>
      <c r="I441"/>
      <c r="J441"/>
      <c r="K441" s="2314"/>
    </row>
    <row r="442" spans="1:11" ht="16.5">
      <c r="A442" s="2401" t="s">
        <v>1576</v>
      </c>
      <c r="C442"/>
      <c r="D442"/>
      <c r="E442"/>
      <c r="F442"/>
      <c r="G442" s="2400"/>
      <c r="H442" s="2400"/>
      <c r="I442" s="2400"/>
      <c r="J442" s="2314"/>
    </row>
    <row r="443" spans="1:11">
      <c r="B443" s="2825" t="s">
        <v>620</v>
      </c>
      <c r="C443" s="2826"/>
      <c r="D443" s="2389" t="s">
        <v>1577</v>
      </c>
      <c r="E443" s="2390" t="s">
        <v>1578</v>
      </c>
      <c r="F443" s="2284" t="s">
        <v>1579</v>
      </c>
      <c r="G443" s="2399" t="s">
        <v>1580</v>
      </c>
      <c r="H443" s="2389" t="s">
        <v>13</v>
      </c>
      <c r="I443" s="2391" t="s">
        <v>1572</v>
      </c>
      <c r="J443" s="2314"/>
    </row>
    <row r="444" spans="1:11">
      <c r="B444" s="2384" t="str">
        <f>D7</f>
        <v>우선주(1종)</v>
      </c>
      <c r="C444" s="2385">
        <f>'A&amp;R'!Q41/1000</f>
        <v>24000</v>
      </c>
      <c r="D444" s="2386">
        <f>'A&amp;R'!R41</f>
        <v>0.24291497975708501</v>
      </c>
      <c r="E444" s="2386">
        <f>'A&amp;R'!S41</f>
        <v>7.0000000000000007E-2</v>
      </c>
      <c r="F444" s="2386">
        <f>'A&amp;R'!T41</f>
        <v>0</v>
      </c>
      <c r="G444" s="2386">
        <f>'A&amp;R'!U41</f>
        <v>0.02</v>
      </c>
      <c r="H444" s="2387">
        <f>'A&amp;R'!M41</f>
        <v>46326</v>
      </c>
      <c r="I444" s="2388">
        <f>'A&amp;R'!N41</f>
        <v>49979</v>
      </c>
      <c r="J444" s="2314"/>
    </row>
    <row r="445" spans="1:11">
      <c r="B445" s="2384" t="str">
        <f>D8</f>
        <v>우선주(2종)</v>
      </c>
      <c r="C445" s="2385">
        <f>'A&amp;R'!Q42/1000</f>
        <v>50000</v>
      </c>
      <c r="D445" s="2386">
        <f>'A&amp;R'!R42</f>
        <v>0.50607287449392713</v>
      </c>
      <c r="E445" s="2386">
        <f>'A&amp;R'!S42</f>
        <v>7.4999999999999997E-2</v>
      </c>
      <c r="F445" s="2386">
        <f>'A&amp;R'!T42</f>
        <v>0.2</v>
      </c>
      <c r="G445" s="2386">
        <f>'A&amp;R'!U42</f>
        <v>0.02</v>
      </c>
      <c r="H445" s="2387">
        <f>'A&amp;R'!M42</f>
        <v>46326</v>
      </c>
      <c r="I445" s="2388">
        <f>'A&amp;R'!N42</f>
        <v>49979</v>
      </c>
      <c r="J445" s="2314"/>
    </row>
    <row r="446" spans="1:11">
      <c r="B446" s="2384" t="str">
        <f>D9</f>
        <v>우선주(3종)</v>
      </c>
      <c r="C446" s="2385">
        <f>'A&amp;R'!Q43/1000</f>
        <v>10000</v>
      </c>
      <c r="D446" s="2386">
        <f>'A&amp;R'!R43</f>
        <v>0.10121457489878542</v>
      </c>
      <c r="E446" s="2386">
        <f>'A&amp;R'!S43</f>
        <v>0</v>
      </c>
      <c r="F446" s="2386">
        <f>'A&amp;R'!T43</f>
        <v>0</v>
      </c>
      <c r="G446" s="2396">
        <f>'A&amp;R'!U43</f>
        <v>0</v>
      </c>
      <c r="H446" s="2387">
        <f>'A&amp;R'!M43</f>
        <v>46326</v>
      </c>
      <c r="I446" s="2388">
        <f>'A&amp;R'!N43</f>
        <v>47057</v>
      </c>
      <c r="J446" s="2314"/>
    </row>
    <row r="447" spans="1:11">
      <c r="B447" s="2384" t="str">
        <f>D10</f>
        <v>보통주</v>
      </c>
      <c r="C447" s="2385">
        <f>'A&amp;R'!Q44/1000</f>
        <v>14800</v>
      </c>
      <c r="D447" s="2386">
        <f>'A&amp;R'!R44</f>
        <v>0.14979757085020243</v>
      </c>
      <c r="E447" s="2398" t="s">
        <v>1581</v>
      </c>
      <c r="F447" s="2386">
        <f>'A&amp;R'!T44</f>
        <v>0.8</v>
      </c>
      <c r="G447" s="2386">
        <f>'A&amp;R'!U44</f>
        <v>1.4E-2</v>
      </c>
      <c r="H447" s="2387">
        <f>'A&amp;R'!M44</f>
        <v>46326</v>
      </c>
      <c r="I447" s="2388">
        <f>'A&amp;R'!N44</f>
        <v>49979</v>
      </c>
      <c r="J447" s="2314"/>
    </row>
    <row r="448" spans="1:11">
      <c r="B448" s="2392" t="s">
        <v>104</v>
      </c>
      <c r="C448" s="2394">
        <f>SUM(C444:C447)</f>
        <v>98800</v>
      </c>
      <c r="D448" s="2393">
        <f>SUM(D444:D447)</f>
        <v>0.99999999999999989</v>
      </c>
      <c r="E448" s="2393"/>
      <c r="F448" s="2393"/>
      <c r="G448" s="2397"/>
      <c r="H448" s="2394"/>
      <c r="I448" s="2395"/>
      <c r="J448" s="2314"/>
    </row>
    <row r="449" spans="1:15">
      <c r="J449" s="2314"/>
    </row>
    <row r="450" spans="1:15">
      <c r="A450" s="2234" t="s">
        <v>1618</v>
      </c>
      <c r="J450" s="2314"/>
    </row>
    <row r="451" spans="1:15">
      <c r="B451" s="2256" t="s">
        <v>24</v>
      </c>
      <c r="C451" s="2257" t="s">
        <v>1535</v>
      </c>
      <c r="D451" s="2257" t="s">
        <v>1475</v>
      </c>
      <c r="E451" s="2437">
        <v>3</v>
      </c>
      <c r="F451" s="2437">
        <f>E451+3</f>
        <v>6</v>
      </c>
      <c r="G451" s="2437">
        <f t="shared" ref="G451:L451" si="99">F451+3</f>
        <v>9</v>
      </c>
      <c r="H451" s="2437">
        <f t="shared" si="99"/>
        <v>12</v>
      </c>
      <c r="I451" s="2437">
        <f t="shared" si="99"/>
        <v>15</v>
      </c>
      <c r="J451" s="2437">
        <f t="shared" si="99"/>
        <v>18</v>
      </c>
      <c r="K451" s="2437">
        <f t="shared" si="99"/>
        <v>21</v>
      </c>
      <c r="L451" s="2438">
        <f t="shared" si="99"/>
        <v>24</v>
      </c>
    </row>
    <row r="452" spans="1:15">
      <c r="B452" s="2439" t="s">
        <v>1619</v>
      </c>
      <c r="C452" s="2440">
        <f>SUM(E452:L452)</f>
        <v>15280</v>
      </c>
      <c r="D452" s="2440">
        <f t="shared" ref="D452:D461" si="100">MIN(E452:L452)</f>
        <v>1910</v>
      </c>
      <c r="E452" s="2440">
        <f>O452</f>
        <v>1910</v>
      </c>
      <c r="F452" s="2440">
        <f t="shared" ref="F452:L453" si="101">E452</f>
        <v>1910</v>
      </c>
      <c r="G452" s="2440">
        <f t="shared" si="101"/>
        <v>1910</v>
      </c>
      <c r="H452" s="2440">
        <f t="shared" si="101"/>
        <v>1910</v>
      </c>
      <c r="I452" s="2440">
        <f t="shared" si="101"/>
        <v>1910</v>
      </c>
      <c r="J452" s="2440">
        <f t="shared" si="101"/>
        <v>1910</v>
      </c>
      <c r="K452" s="2440">
        <f t="shared" si="101"/>
        <v>1910</v>
      </c>
      <c r="L452" s="2441">
        <f t="shared" si="101"/>
        <v>1910</v>
      </c>
      <c r="M452" s="2270">
        <f>'A&amp;R'!P32/1000</f>
        <v>160000</v>
      </c>
      <c r="N452" s="2254">
        <f>'A&amp;R'!Q32</f>
        <v>4.7750000000000001E-2</v>
      </c>
      <c r="O452" s="2270">
        <f>M452*N452/4</f>
        <v>1910</v>
      </c>
    </row>
    <row r="453" spans="1:15">
      <c r="B453" s="2442" t="s">
        <v>1620</v>
      </c>
      <c r="C453" s="2443">
        <f>SUM(E453:L453)</f>
        <v>4560</v>
      </c>
      <c r="D453" s="2443">
        <f t="shared" si="100"/>
        <v>570</v>
      </c>
      <c r="E453" s="2443">
        <f>O453</f>
        <v>570</v>
      </c>
      <c r="F453" s="2443">
        <f t="shared" si="101"/>
        <v>570</v>
      </c>
      <c r="G453" s="2443">
        <f t="shared" si="101"/>
        <v>570</v>
      </c>
      <c r="H453" s="2443">
        <f t="shared" si="101"/>
        <v>570</v>
      </c>
      <c r="I453" s="2443">
        <f t="shared" si="101"/>
        <v>570</v>
      </c>
      <c r="J453" s="2443">
        <f t="shared" si="101"/>
        <v>570</v>
      </c>
      <c r="K453" s="2443">
        <f t="shared" si="101"/>
        <v>570</v>
      </c>
      <c r="L453" s="2444">
        <f t="shared" si="101"/>
        <v>570</v>
      </c>
      <c r="M453" s="2270">
        <f>'A&amp;R'!P35/1000</f>
        <v>38000</v>
      </c>
      <c r="N453" s="2254">
        <f>'A&amp;R'!Q35</f>
        <v>0.06</v>
      </c>
      <c r="O453" s="2270">
        <f>M453*N453/4</f>
        <v>570</v>
      </c>
    </row>
    <row r="454" spans="1:15">
      <c r="B454" s="2439" t="s">
        <v>484</v>
      </c>
      <c r="C454" s="2440">
        <f>SUM(E454:L454)</f>
        <v>26567.151367611241</v>
      </c>
      <c r="D454" s="2440">
        <f t="shared" si="100"/>
        <v>3125.9762084123004</v>
      </c>
      <c r="E454" s="2440">
        <f t="shared" ref="E454:L454" si="102">E560</f>
        <v>3125.9762084123004</v>
      </c>
      <c r="F454" s="2440">
        <f t="shared" si="102"/>
        <v>3217.0417975380801</v>
      </c>
      <c r="G454" s="2440">
        <f t="shared" si="102"/>
        <v>3303.8999666168315</v>
      </c>
      <c r="H454" s="2440">
        <f t="shared" si="102"/>
        <v>3458.447009179331</v>
      </c>
      <c r="I454" s="2440">
        <f t="shared" si="102"/>
        <v>3219.6813367037303</v>
      </c>
      <c r="J454" s="2440">
        <f t="shared" si="102"/>
        <v>3301.8783613076566</v>
      </c>
      <c r="K454" s="2440">
        <f t="shared" si="102"/>
        <v>3390.907984613375</v>
      </c>
      <c r="L454" s="2441">
        <f t="shared" si="102"/>
        <v>3549.3187032399373</v>
      </c>
      <c r="M454" s="2270"/>
      <c r="N454" s="2270"/>
      <c r="O454" s="2270"/>
    </row>
    <row r="455" spans="1:15">
      <c r="B455" s="2445" t="s">
        <v>1621</v>
      </c>
      <c r="C455" s="2446">
        <f>SUM(E455:L455)</f>
        <v>26567.151367611241</v>
      </c>
      <c r="D455" s="2446">
        <f t="shared" si="100"/>
        <v>3125.9762084123004</v>
      </c>
      <c r="E455" s="2446">
        <f t="shared" ref="E455:L455" si="103">SUM(E454:E454)</f>
        <v>3125.9762084123004</v>
      </c>
      <c r="F455" s="2446">
        <f t="shared" si="103"/>
        <v>3217.0417975380801</v>
      </c>
      <c r="G455" s="2446">
        <f t="shared" si="103"/>
        <v>3303.8999666168315</v>
      </c>
      <c r="H455" s="2446">
        <f t="shared" si="103"/>
        <v>3458.447009179331</v>
      </c>
      <c r="I455" s="2446">
        <f t="shared" si="103"/>
        <v>3219.6813367037303</v>
      </c>
      <c r="J455" s="2446">
        <f t="shared" si="103"/>
        <v>3301.8783613076566</v>
      </c>
      <c r="K455" s="2446">
        <f t="shared" si="103"/>
        <v>3390.907984613375</v>
      </c>
      <c r="L455" s="2447">
        <f t="shared" si="103"/>
        <v>3549.3187032399373</v>
      </c>
      <c r="M455" s="2270"/>
      <c r="N455" s="2270"/>
      <c r="O455" s="2270"/>
    </row>
    <row r="456" spans="1:15">
      <c r="B456" s="2442" t="s">
        <v>1623</v>
      </c>
      <c r="C456" s="2443"/>
      <c r="D456" s="2443">
        <f t="shared" ca="1" si="100"/>
        <v>7334.0482909385191</v>
      </c>
      <c r="E456" s="2448">
        <f ca="1">SUMIF('CF(M)'!$L$5:$EQ$5,'DSCR(선,중)'!F$4,'CF(M)'!$L$121:$EQ$121)/1000</f>
        <v>11967.154724629374</v>
      </c>
      <c r="F456" s="2448">
        <f ca="1">SUMIF('CF(M)'!$L$5:$EQ$5,'DSCR(선,중)'!G$4,'CF(M)'!$L$121:$EQ$121)/1000</f>
        <v>12637.433693499657</v>
      </c>
      <c r="G456" s="2448">
        <f ca="1">SUMIF('CF(M)'!$L$5:$EQ$5,'DSCR(선,중)'!H$4,'CF(M)'!$L$121:$EQ$121)/1000</f>
        <v>10327.827645515057</v>
      </c>
      <c r="H456" s="2448">
        <f ca="1">SUMIF('CF(M)'!$L$5:$EQ$5,'DSCR(선,중)'!I$4,'CF(M)'!$L$121:$EQ$121)/1000</f>
        <v>11163.627495580109</v>
      </c>
      <c r="I456" s="2448">
        <f ca="1">SUMIF('CF(M)'!$L$5:$EQ$5,'DSCR(선,중)'!J$4,'CF(M)'!$L$121:$EQ$121)/1000</f>
        <v>8121.581774197517</v>
      </c>
      <c r="J456" s="2448">
        <f ca="1">SUMIF('CF(M)'!$L$5:$EQ$5,'DSCR(선,중)'!K$4,'CF(M)'!$L$121:$EQ$121)/1000</f>
        <v>9035.0043032259291</v>
      </c>
      <c r="K456" s="2448">
        <f ca="1">SUMIF('CF(M)'!$L$5:$EQ$5,'DSCR(선,중)'!L$4,'CF(M)'!$L$121:$EQ$121)/1000</f>
        <v>7334.0482909385191</v>
      </c>
      <c r="L456" s="2449">
        <f ca="1">SUMIF('CF(M)'!$L$5:$EQ$5,'DSCR(선,중)'!M$4,'CF(M)'!$L$121:$EQ$121)/1000</f>
        <v>8149.5882110289604</v>
      </c>
    </row>
    <row r="457" spans="1:15">
      <c r="B457" s="2445" t="s">
        <v>1622</v>
      </c>
      <c r="C457" s="2446">
        <f ca="1">SUM(E457:L457)</f>
        <v>105303.41750622638</v>
      </c>
      <c r="D457" s="2446">
        <f t="shared" ca="1" si="100"/>
        <v>10724.956275551895</v>
      </c>
      <c r="E457" s="2373">
        <f t="shared" ref="E457:L457" ca="1" si="104">E455+E456</f>
        <v>15093.130933041673</v>
      </c>
      <c r="F457" s="2373">
        <f t="shared" ca="1" si="104"/>
        <v>15854.475491037738</v>
      </c>
      <c r="G457" s="2373">
        <f t="shared" ca="1" si="104"/>
        <v>13631.727612131888</v>
      </c>
      <c r="H457" s="2373">
        <f t="shared" ca="1" si="104"/>
        <v>14622.074504759439</v>
      </c>
      <c r="I457" s="2373">
        <f t="shared" ca="1" si="104"/>
        <v>11341.263110901247</v>
      </c>
      <c r="J457" s="2373">
        <f t="shared" ca="1" si="104"/>
        <v>12336.882664533587</v>
      </c>
      <c r="K457" s="2373">
        <f t="shared" ca="1" si="104"/>
        <v>10724.956275551895</v>
      </c>
      <c r="L457" s="2450">
        <f t="shared" ca="1" si="104"/>
        <v>11698.906914268897</v>
      </c>
    </row>
    <row r="458" spans="1:15">
      <c r="B458" s="2439" t="s">
        <v>799</v>
      </c>
      <c r="C458" s="2451">
        <f>C455/C452</f>
        <v>1.7386879167284843</v>
      </c>
      <c r="D458" s="2451">
        <f t="shared" si="100"/>
        <v>1.6366367583310473</v>
      </c>
      <c r="E458" s="2451">
        <f t="shared" ref="E458:L458" si="105">E455/E452</f>
        <v>1.6366367583310473</v>
      </c>
      <c r="F458" s="2451">
        <f t="shared" si="105"/>
        <v>1.6843150772450681</v>
      </c>
      <c r="G458" s="2451">
        <f t="shared" si="105"/>
        <v>1.7297905584381317</v>
      </c>
      <c r="H458" s="2451">
        <f t="shared" si="105"/>
        <v>1.8107052404080266</v>
      </c>
      <c r="I458" s="2451">
        <f t="shared" si="105"/>
        <v>1.685697034923419</v>
      </c>
      <c r="J458" s="2451">
        <f t="shared" si="105"/>
        <v>1.7287321263390873</v>
      </c>
      <c r="K458" s="2451">
        <f t="shared" si="105"/>
        <v>1.7753444945619765</v>
      </c>
      <c r="L458" s="2452">
        <f t="shared" si="105"/>
        <v>1.8582820435811189</v>
      </c>
    </row>
    <row r="459" spans="1:15">
      <c r="B459" s="2442" t="s">
        <v>798</v>
      </c>
      <c r="C459" s="2453">
        <f>C455/SUM(C452:C453)</f>
        <v>1.3390701294158891</v>
      </c>
      <c r="D459" s="2453">
        <f t="shared" si="100"/>
        <v>1.260474277585605</v>
      </c>
      <c r="E459" s="2453">
        <f t="shared" ref="E459:L459" si="106">E455/SUM(E452:E453)</f>
        <v>1.260474277585605</v>
      </c>
      <c r="F459" s="2453">
        <f t="shared" si="106"/>
        <v>1.2971942732008388</v>
      </c>
      <c r="G459" s="2453">
        <f t="shared" si="106"/>
        <v>1.3322177284745289</v>
      </c>
      <c r="H459" s="2453">
        <f t="shared" si="106"/>
        <v>1.3945350843465045</v>
      </c>
      <c r="I459" s="2453">
        <f t="shared" si="106"/>
        <v>1.2982586035095687</v>
      </c>
      <c r="J459" s="2453">
        <f t="shared" si="106"/>
        <v>1.33140256504341</v>
      </c>
      <c r="K459" s="2453">
        <f t="shared" si="106"/>
        <v>1.3673016066989416</v>
      </c>
      <c r="L459" s="2454">
        <f t="shared" si="106"/>
        <v>1.4311768964677167</v>
      </c>
    </row>
    <row r="460" spans="1:15" hidden="1">
      <c r="B460" s="2425" t="s">
        <v>1624</v>
      </c>
      <c r="C460" s="2429">
        <f ca="1">C457/C452</f>
        <v>6.8915849153289521</v>
      </c>
      <c r="D460" s="2429">
        <f t="shared" ca="1" si="100"/>
        <v>5.6151603536920911</v>
      </c>
      <c r="E460" s="2429">
        <f t="shared" ref="E460:L460" ca="1" si="107">E457/E452</f>
        <v>7.902162792168415</v>
      </c>
      <c r="F460" s="2429">
        <f t="shared" ca="1" si="107"/>
        <v>8.3007725083967205</v>
      </c>
      <c r="G460" s="2429">
        <f t="shared" ca="1" si="107"/>
        <v>7.137030163419837</v>
      </c>
      <c r="H460" s="2429">
        <f t="shared" ca="1" si="107"/>
        <v>7.6555363899264082</v>
      </c>
      <c r="I460" s="2429">
        <f t="shared" ca="1" si="107"/>
        <v>5.9378340894770929</v>
      </c>
      <c r="J460" s="2429">
        <f t="shared" ca="1" si="107"/>
        <v>6.4591008714835532</v>
      </c>
      <c r="K460" s="2429">
        <f t="shared" ca="1" si="107"/>
        <v>5.6151603536920911</v>
      </c>
      <c r="L460" s="2430">
        <f t="shared" ca="1" si="107"/>
        <v>6.1250821540674849</v>
      </c>
    </row>
    <row r="461" spans="1:15" hidden="1">
      <c r="B461" s="2424" t="s">
        <v>1625</v>
      </c>
      <c r="C461" s="2431">
        <f ca="1">C457/(C452+C453)</f>
        <v>5.3076319307573785</v>
      </c>
      <c r="D461" s="2431">
        <f t="shared" ca="1" si="100"/>
        <v>4.324579143367699</v>
      </c>
      <c r="E461" s="2431">
        <f t="shared" ref="E461:L461" ca="1" si="108">E457/(E452+E453)</f>
        <v>6.0859398923555137</v>
      </c>
      <c r="F461" s="2431">
        <f t="shared" ca="1" si="108"/>
        <v>6.3929336657410234</v>
      </c>
      <c r="G461" s="2431">
        <f t="shared" ca="1" si="108"/>
        <v>5.4966643597306</v>
      </c>
      <c r="H461" s="2431">
        <f t="shared" ca="1" si="108"/>
        <v>5.8959977841771929</v>
      </c>
      <c r="I461" s="2431">
        <f t="shared" ca="1" si="108"/>
        <v>4.573089964073084</v>
      </c>
      <c r="J461" s="2431">
        <f t="shared" ca="1" si="108"/>
        <v>4.9745494615054788</v>
      </c>
      <c r="K461" s="2431">
        <f t="shared" ca="1" si="108"/>
        <v>4.324579143367699</v>
      </c>
      <c r="L461" s="2432">
        <f t="shared" ca="1" si="108"/>
        <v>4.7173011751084264</v>
      </c>
    </row>
    <row r="462" spans="1:15">
      <c r="C462" s="2433"/>
      <c r="E462" s="2433"/>
      <c r="F462" s="2433"/>
      <c r="G462" s="2433"/>
      <c r="H462" s="2433"/>
      <c r="I462" s="2433"/>
      <c r="J462" s="2433"/>
      <c r="K462" s="2433"/>
      <c r="L462" s="2433"/>
    </row>
    <row r="463" spans="1:15">
      <c r="C463" s="2433"/>
      <c r="E463" s="2433"/>
      <c r="F463" s="2433"/>
      <c r="G463" s="2433"/>
      <c r="H463" s="2433"/>
      <c r="I463" s="2433"/>
      <c r="J463" s="2433"/>
      <c r="K463" s="2433"/>
      <c r="L463" s="2433"/>
    </row>
    <row r="464" spans="1:15">
      <c r="C464" s="2486">
        <f t="shared" ref="C464:C474" si="109">L464*K464/4</f>
        <v>1910</v>
      </c>
      <c r="D464" s="2486">
        <f>C464</f>
        <v>1910</v>
      </c>
      <c r="E464" s="2486">
        <f t="shared" ref="E464:J464" si="110">D464</f>
        <v>1910</v>
      </c>
      <c r="F464" s="2486">
        <f t="shared" si="110"/>
        <v>1910</v>
      </c>
      <c r="G464" s="2486">
        <f t="shared" si="110"/>
        <v>1910</v>
      </c>
      <c r="H464" s="2486">
        <f t="shared" si="110"/>
        <v>1910</v>
      </c>
      <c r="I464" s="2486">
        <f t="shared" si="110"/>
        <v>1910</v>
      </c>
      <c r="J464" s="2486">
        <f t="shared" si="110"/>
        <v>1910</v>
      </c>
      <c r="K464" s="2270">
        <f>M452</f>
        <v>160000</v>
      </c>
      <c r="L464" s="2254">
        <f>N452</f>
        <v>4.7750000000000001E-2</v>
      </c>
    </row>
    <row r="465" spans="3:12">
      <c r="C465" s="2486">
        <f t="shared" si="109"/>
        <v>1950</v>
      </c>
      <c r="D465" s="2486">
        <f t="shared" ref="D465:J465" si="111">C465</f>
        <v>1950</v>
      </c>
      <c r="E465" s="2486">
        <f t="shared" si="111"/>
        <v>1950</v>
      </c>
      <c r="F465" s="2486">
        <f t="shared" si="111"/>
        <v>1950</v>
      </c>
      <c r="G465" s="2486">
        <f t="shared" si="111"/>
        <v>1950</v>
      </c>
      <c r="H465" s="2486">
        <f t="shared" si="111"/>
        <v>1950</v>
      </c>
      <c r="I465" s="2486">
        <f t="shared" si="111"/>
        <v>1950</v>
      </c>
      <c r="J465" s="2486">
        <f t="shared" si="111"/>
        <v>1950</v>
      </c>
      <c r="K465" s="2270">
        <f>K464</f>
        <v>160000</v>
      </c>
      <c r="L465" s="2254">
        <f>L464+0.1%</f>
        <v>4.8750000000000002E-2</v>
      </c>
    </row>
    <row r="466" spans="3:12">
      <c r="C466" s="2486">
        <f t="shared" si="109"/>
        <v>1990</v>
      </c>
      <c r="D466" s="2486">
        <f t="shared" ref="D466:J466" si="112">C466</f>
        <v>1990</v>
      </c>
      <c r="E466" s="2486">
        <f t="shared" si="112"/>
        <v>1990</v>
      </c>
      <c r="F466" s="2486">
        <f t="shared" si="112"/>
        <v>1990</v>
      </c>
      <c r="G466" s="2486">
        <f t="shared" si="112"/>
        <v>1990</v>
      </c>
      <c r="H466" s="2486">
        <f t="shared" si="112"/>
        <v>1990</v>
      </c>
      <c r="I466" s="2486">
        <f t="shared" si="112"/>
        <v>1990</v>
      </c>
      <c r="J466" s="2486">
        <f t="shared" si="112"/>
        <v>1990</v>
      </c>
      <c r="K466" s="2270">
        <f t="shared" ref="K466:K474" si="113">K465</f>
        <v>160000</v>
      </c>
      <c r="L466" s="2254">
        <f t="shared" ref="L466:L474" si="114">L465+0.1%</f>
        <v>4.9750000000000003E-2</v>
      </c>
    </row>
    <row r="467" spans="3:12">
      <c r="C467" s="2486">
        <f t="shared" si="109"/>
        <v>2030.0000000000002</v>
      </c>
      <c r="D467" s="2486">
        <f t="shared" ref="D467:J467" si="115">C467</f>
        <v>2030.0000000000002</v>
      </c>
      <c r="E467" s="2486">
        <f t="shared" si="115"/>
        <v>2030.0000000000002</v>
      </c>
      <c r="F467" s="2486">
        <f t="shared" si="115"/>
        <v>2030.0000000000002</v>
      </c>
      <c r="G467" s="2486">
        <f t="shared" si="115"/>
        <v>2030.0000000000002</v>
      </c>
      <c r="H467" s="2486">
        <f t="shared" si="115"/>
        <v>2030.0000000000002</v>
      </c>
      <c r="I467" s="2486">
        <f t="shared" si="115"/>
        <v>2030.0000000000002</v>
      </c>
      <c r="J467" s="2486">
        <f t="shared" si="115"/>
        <v>2030.0000000000002</v>
      </c>
      <c r="K467" s="2270">
        <f t="shared" si="113"/>
        <v>160000</v>
      </c>
      <c r="L467" s="2254">
        <f t="shared" si="114"/>
        <v>5.0750000000000003E-2</v>
      </c>
    </row>
    <row r="468" spans="3:12">
      <c r="C468" s="2486">
        <f t="shared" si="109"/>
        <v>2070</v>
      </c>
      <c r="D468" s="2486">
        <f t="shared" ref="D468:J468" si="116">C468</f>
        <v>2070</v>
      </c>
      <c r="E468" s="2486">
        <f t="shared" si="116"/>
        <v>2070</v>
      </c>
      <c r="F468" s="2486">
        <f t="shared" si="116"/>
        <v>2070</v>
      </c>
      <c r="G468" s="2486">
        <f t="shared" si="116"/>
        <v>2070</v>
      </c>
      <c r="H468" s="2486">
        <f t="shared" si="116"/>
        <v>2070</v>
      </c>
      <c r="I468" s="2486">
        <f t="shared" si="116"/>
        <v>2070</v>
      </c>
      <c r="J468" s="2486">
        <f t="shared" si="116"/>
        <v>2070</v>
      </c>
      <c r="K468" s="2270">
        <f t="shared" si="113"/>
        <v>160000</v>
      </c>
      <c r="L468" s="2254">
        <f t="shared" si="114"/>
        <v>5.1750000000000004E-2</v>
      </c>
    </row>
    <row r="469" spans="3:12">
      <c r="C469" s="2486">
        <f t="shared" si="109"/>
        <v>2110</v>
      </c>
      <c r="D469" s="2486">
        <f t="shared" ref="D469:J469" si="117">C469</f>
        <v>2110</v>
      </c>
      <c r="E469" s="2486">
        <f t="shared" si="117"/>
        <v>2110</v>
      </c>
      <c r="F469" s="2486">
        <f t="shared" si="117"/>
        <v>2110</v>
      </c>
      <c r="G469" s="2486">
        <f t="shared" si="117"/>
        <v>2110</v>
      </c>
      <c r="H469" s="2486">
        <f t="shared" si="117"/>
        <v>2110</v>
      </c>
      <c r="I469" s="2486">
        <f t="shared" si="117"/>
        <v>2110</v>
      </c>
      <c r="J469" s="2486">
        <f t="shared" si="117"/>
        <v>2110</v>
      </c>
      <c r="K469" s="2270">
        <f t="shared" si="113"/>
        <v>160000</v>
      </c>
      <c r="L469" s="2254">
        <f t="shared" si="114"/>
        <v>5.2750000000000005E-2</v>
      </c>
    </row>
    <row r="470" spans="3:12">
      <c r="C470" s="2486">
        <f t="shared" si="109"/>
        <v>2150.0000000000005</v>
      </c>
      <c r="D470" s="2486">
        <f t="shared" ref="D470:J470" si="118">C470</f>
        <v>2150.0000000000005</v>
      </c>
      <c r="E470" s="2486">
        <f t="shared" si="118"/>
        <v>2150.0000000000005</v>
      </c>
      <c r="F470" s="2486">
        <f t="shared" si="118"/>
        <v>2150.0000000000005</v>
      </c>
      <c r="G470" s="2486">
        <f t="shared" si="118"/>
        <v>2150.0000000000005</v>
      </c>
      <c r="H470" s="2486">
        <f t="shared" si="118"/>
        <v>2150.0000000000005</v>
      </c>
      <c r="I470" s="2486">
        <f t="shared" si="118"/>
        <v>2150.0000000000005</v>
      </c>
      <c r="J470" s="2486">
        <f t="shared" si="118"/>
        <v>2150.0000000000005</v>
      </c>
      <c r="K470" s="2270">
        <f t="shared" si="113"/>
        <v>160000</v>
      </c>
      <c r="L470" s="2254">
        <f t="shared" si="114"/>
        <v>5.3750000000000006E-2</v>
      </c>
    </row>
    <row r="471" spans="3:12">
      <c r="C471" s="2486">
        <f t="shared" si="109"/>
        <v>2190.0000000000005</v>
      </c>
      <c r="D471" s="2486">
        <f t="shared" ref="D471:J471" si="119">C471</f>
        <v>2190.0000000000005</v>
      </c>
      <c r="E471" s="2486">
        <f t="shared" si="119"/>
        <v>2190.0000000000005</v>
      </c>
      <c r="F471" s="2486">
        <f t="shared" si="119"/>
        <v>2190.0000000000005</v>
      </c>
      <c r="G471" s="2486">
        <f t="shared" si="119"/>
        <v>2190.0000000000005</v>
      </c>
      <c r="H471" s="2486">
        <f t="shared" si="119"/>
        <v>2190.0000000000005</v>
      </c>
      <c r="I471" s="2486">
        <f t="shared" si="119"/>
        <v>2190.0000000000005</v>
      </c>
      <c r="J471" s="2486">
        <f t="shared" si="119"/>
        <v>2190.0000000000005</v>
      </c>
      <c r="K471" s="2270">
        <f t="shared" si="113"/>
        <v>160000</v>
      </c>
      <c r="L471" s="2254">
        <f t="shared" si="114"/>
        <v>5.4750000000000007E-2</v>
      </c>
    </row>
    <row r="472" spans="3:12">
      <c r="C472" s="2486">
        <f t="shared" si="109"/>
        <v>2230.0000000000005</v>
      </c>
      <c r="D472" s="2486">
        <f t="shared" ref="D472:J472" si="120">C472</f>
        <v>2230.0000000000005</v>
      </c>
      <c r="E472" s="2486">
        <f t="shared" si="120"/>
        <v>2230.0000000000005</v>
      </c>
      <c r="F472" s="2486">
        <f t="shared" si="120"/>
        <v>2230.0000000000005</v>
      </c>
      <c r="G472" s="2486">
        <f t="shared" si="120"/>
        <v>2230.0000000000005</v>
      </c>
      <c r="H472" s="2486">
        <f t="shared" si="120"/>
        <v>2230.0000000000005</v>
      </c>
      <c r="I472" s="2486">
        <f t="shared" si="120"/>
        <v>2230.0000000000005</v>
      </c>
      <c r="J472" s="2486">
        <f t="shared" si="120"/>
        <v>2230.0000000000005</v>
      </c>
      <c r="K472" s="2270">
        <f t="shared" si="113"/>
        <v>160000</v>
      </c>
      <c r="L472" s="2254">
        <f t="shared" si="114"/>
        <v>5.5750000000000008E-2</v>
      </c>
    </row>
    <row r="473" spans="3:12">
      <c r="C473" s="2486">
        <f t="shared" si="109"/>
        <v>2270.0000000000005</v>
      </c>
      <c r="D473" s="2486">
        <f t="shared" ref="D473:J473" si="121">C473</f>
        <v>2270.0000000000005</v>
      </c>
      <c r="E473" s="2486">
        <f t="shared" si="121"/>
        <v>2270.0000000000005</v>
      </c>
      <c r="F473" s="2486">
        <f t="shared" si="121"/>
        <v>2270.0000000000005</v>
      </c>
      <c r="G473" s="2486">
        <f t="shared" si="121"/>
        <v>2270.0000000000005</v>
      </c>
      <c r="H473" s="2486">
        <f t="shared" si="121"/>
        <v>2270.0000000000005</v>
      </c>
      <c r="I473" s="2486">
        <f t="shared" si="121"/>
        <v>2270.0000000000005</v>
      </c>
      <c r="J473" s="2486">
        <f t="shared" si="121"/>
        <v>2270.0000000000005</v>
      </c>
      <c r="K473" s="2270">
        <f t="shared" si="113"/>
        <v>160000</v>
      </c>
      <c r="L473" s="2254">
        <f t="shared" si="114"/>
        <v>5.6750000000000009E-2</v>
      </c>
    </row>
    <row r="474" spans="3:12">
      <c r="C474" s="2486">
        <f t="shared" si="109"/>
        <v>2310.0000000000005</v>
      </c>
      <c r="D474" s="2486">
        <f t="shared" ref="D474:J474" si="122">C474</f>
        <v>2310.0000000000005</v>
      </c>
      <c r="E474" s="2486">
        <f t="shared" si="122"/>
        <v>2310.0000000000005</v>
      </c>
      <c r="F474" s="2486">
        <f t="shared" si="122"/>
        <v>2310.0000000000005</v>
      </c>
      <c r="G474" s="2486">
        <f t="shared" si="122"/>
        <v>2310.0000000000005</v>
      </c>
      <c r="H474" s="2486">
        <f t="shared" si="122"/>
        <v>2310.0000000000005</v>
      </c>
      <c r="I474" s="2486">
        <f t="shared" si="122"/>
        <v>2310.0000000000005</v>
      </c>
      <c r="J474" s="2486">
        <f t="shared" si="122"/>
        <v>2310.0000000000005</v>
      </c>
      <c r="K474" s="2270">
        <f t="shared" si="113"/>
        <v>160000</v>
      </c>
      <c r="L474" s="2254">
        <f t="shared" si="114"/>
        <v>5.775000000000001E-2</v>
      </c>
    </row>
    <row r="475" spans="3:12">
      <c r="C475" s="2433"/>
      <c r="D475" s="2433"/>
      <c r="E475" s="2433"/>
      <c r="F475" s="2433"/>
      <c r="G475" s="2433"/>
      <c r="H475" s="2433"/>
      <c r="I475" s="2433"/>
      <c r="J475" s="2433"/>
      <c r="L475" s="2254"/>
    </row>
    <row r="476" spans="3:12">
      <c r="C476" s="2486">
        <f t="shared" ref="C476:C486" si="123">L476*K476/4</f>
        <v>570</v>
      </c>
      <c r="D476" s="2486">
        <f>C476</f>
        <v>570</v>
      </c>
      <c r="E476" s="2486">
        <f t="shared" ref="E476:J476" si="124">D476</f>
        <v>570</v>
      </c>
      <c r="F476" s="2486">
        <f t="shared" si="124"/>
        <v>570</v>
      </c>
      <c r="G476" s="2486">
        <f t="shared" si="124"/>
        <v>570</v>
      </c>
      <c r="H476" s="2486">
        <f t="shared" si="124"/>
        <v>570</v>
      </c>
      <c r="I476" s="2486">
        <f t="shared" si="124"/>
        <v>570</v>
      </c>
      <c r="J476" s="2486">
        <f t="shared" si="124"/>
        <v>570</v>
      </c>
      <c r="K476" s="2270">
        <f>M453</f>
        <v>38000</v>
      </c>
      <c r="L476" s="2254">
        <f>N453</f>
        <v>0.06</v>
      </c>
    </row>
    <row r="477" spans="3:12">
      <c r="C477" s="2486">
        <f t="shared" si="123"/>
        <v>579.5</v>
      </c>
      <c r="D477" s="2486">
        <f t="shared" ref="D477:J477" si="125">C477</f>
        <v>579.5</v>
      </c>
      <c r="E477" s="2486">
        <f t="shared" si="125"/>
        <v>579.5</v>
      </c>
      <c r="F477" s="2486">
        <f t="shared" si="125"/>
        <v>579.5</v>
      </c>
      <c r="G477" s="2486">
        <f t="shared" si="125"/>
        <v>579.5</v>
      </c>
      <c r="H477" s="2486">
        <f t="shared" si="125"/>
        <v>579.5</v>
      </c>
      <c r="I477" s="2486">
        <f t="shared" si="125"/>
        <v>579.5</v>
      </c>
      <c r="J477" s="2486">
        <f t="shared" si="125"/>
        <v>579.5</v>
      </c>
      <c r="K477" s="2270">
        <f>K476</f>
        <v>38000</v>
      </c>
      <c r="L477" s="2254">
        <f>L476+0.1%</f>
        <v>6.0999999999999999E-2</v>
      </c>
    </row>
    <row r="478" spans="3:12">
      <c r="C478" s="2486">
        <f t="shared" si="123"/>
        <v>589</v>
      </c>
      <c r="D478" s="2486">
        <f t="shared" ref="D478:J478" si="126">C478</f>
        <v>589</v>
      </c>
      <c r="E478" s="2486">
        <f t="shared" si="126"/>
        <v>589</v>
      </c>
      <c r="F478" s="2486">
        <f t="shared" si="126"/>
        <v>589</v>
      </c>
      <c r="G478" s="2486">
        <f t="shared" si="126"/>
        <v>589</v>
      </c>
      <c r="H478" s="2486">
        <f t="shared" si="126"/>
        <v>589</v>
      </c>
      <c r="I478" s="2486">
        <f t="shared" si="126"/>
        <v>589</v>
      </c>
      <c r="J478" s="2486">
        <f t="shared" si="126"/>
        <v>589</v>
      </c>
      <c r="K478" s="2270">
        <f t="shared" ref="K478:K486" si="127">K477</f>
        <v>38000</v>
      </c>
      <c r="L478" s="2254">
        <f t="shared" ref="L478:L486" si="128">L477+0.1%</f>
        <v>6.2E-2</v>
      </c>
    </row>
    <row r="479" spans="3:12">
      <c r="C479" s="2486">
        <f t="shared" si="123"/>
        <v>598.5</v>
      </c>
      <c r="D479" s="2486">
        <f t="shared" ref="D479:J479" si="129">C479</f>
        <v>598.5</v>
      </c>
      <c r="E479" s="2486">
        <f t="shared" si="129"/>
        <v>598.5</v>
      </c>
      <c r="F479" s="2486">
        <f t="shared" si="129"/>
        <v>598.5</v>
      </c>
      <c r="G479" s="2486">
        <f t="shared" si="129"/>
        <v>598.5</v>
      </c>
      <c r="H479" s="2486">
        <f t="shared" si="129"/>
        <v>598.5</v>
      </c>
      <c r="I479" s="2486">
        <f t="shared" si="129"/>
        <v>598.5</v>
      </c>
      <c r="J479" s="2486">
        <f t="shared" si="129"/>
        <v>598.5</v>
      </c>
      <c r="K479" s="2270">
        <f t="shared" si="127"/>
        <v>38000</v>
      </c>
      <c r="L479" s="2254">
        <f t="shared" si="128"/>
        <v>6.3E-2</v>
      </c>
    </row>
    <row r="480" spans="3:12">
      <c r="C480" s="2486">
        <f t="shared" si="123"/>
        <v>608</v>
      </c>
      <c r="D480" s="2486">
        <f t="shared" ref="D480:J480" si="130">C480</f>
        <v>608</v>
      </c>
      <c r="E480" s="2486">
        <f t="shared" si="130"/>
        <v>608</v>
      </c>
      <c r="F480" s="2486">
        <f t="shared" si="130"/>
        <v>608</v>
      </c>
      <c r="G480" s="2486">
        <f t="shared" si="130"/>
        <v>608</v>
      </c>
      <c r="H480" s="2486">
        <f t="shared" si="130"/>
        <v>608</v>
      </c>
      <c r="I480" s="2486">
        <f t="shared" si="130"/>
        <v>608</v>
      </c>
      <c r="J480" s="2486">
        <f t="shared" si="130"/>
        <v>608</v>
      </c>
      <c r="K480" s="2270">
        <f t="shared" si="127"/>
        <v>38000</v>
      </c>
      <c r="L480" s="2254">
        <f t="shared" si="128"/>
        <v>6.4000000000000001E-2</v>
      </c>
    </row>
    <row r="481" spans="1:12">
      <c r="C481" s="2486">
        <f t="shared" si="123"/>
        <v>617.5</v>
      </c>
      <c r="D481" s="2486">
        <f t="shared" ref="D481:J481" si="131">C481</f>
        <v>617.5</v>
      </c>
      <c r="E481" s="2486">
        <f t="shared" si="131"/>
        <v>617.5</v>
      </c>
      <c r="F481" s="2486">
        <f t="shared" si="131"/>
        <v>617.5</v>
      </c>
      <c r="G481" s="2486">
        <f t="shared" si="131"/>
        <v>617.5</v>
      </c>
      <c r="H481" s="2486">
        <f t="shared" si="131"/>
        <v>617.5</v>
      </c>
      <c r="I481" s="2486">
        <f t="shared" si="131"/>
        <v>617.5</v>
      </c>
      <c r="J481" s="2486">
        <f t="shared" si="131"/>
        <v>617.5</v>
      </c>
      <c r="K481" s="2270">
        <f t="shared" si="127"/>
        <v>38000</v>
      </c>
      <c r="L481" s="2254">
        <f t="shared" si="128"/>
        <v>6.5000000000000002E-2</v>
      </c>
    </row>
    <row r="482" spans="1:12">
      <c r="C482" s="2486">
        <f t="shared" si="123"/>
        <v>627</v>
      </c>
      <c r="D482" s="2486">
        <f t="shared" ref="D482:J482" si="132">C482</f>
        <v>627</v>
      </c>
      <c r="E482" s="2486">
        <f t="shared" si="132"/>
        <v>627</v>
      </c>
      <c r="F482" s="2486">
        <f t="shared" si="132"/>
        <v>627</v>
      </c>
      <c r="G482" s="2486">
        <f t="shared" si="132"/>
        <v>627</v>
      </c>
      <c r="H482" s="2486">
        <f t="shared" si="132"/>
        <v>627</v>
      </c>
      <c r="I482" s="2486">
        <f t="shared" si="132"/>
        <v>627</v>
      </c>
      <c r="J482" s="2486">
        <f t="shared" si="132"/>
        <v>627</v>
      </c>
      <c r="K482" s="2270">
        <f t="shared" si="127"/>
        <v>38000</v>
      </c>
      <c r="L482" s="2254">
        <f t="shared" si="128"/>
        <v>6.6000000000000003E-2</v>
      </c>
    </row>
    <row r="483" spans="1:12">
      <c r="C483" s="2486">
        <f t="shared" si="123"/>
        <v>636.5</v>
      </c>
      <c r="D483" s="2486">
        <f t="shared" ref="D483:J483" si="133">C483</f>
        <v>636.5</v>
      </c>
      <c r="E483" s="2486">
        <f t="shared" si="133"/>
        <v>636.5</v>
      </c>
      <c r="F483" s="2486">
        <f t="shared" si="133"/>
        <v>636.5</v>
      </c>
      <c r="G483" s="2486">
        <f t="shared" si="133"/>
        <v>636.5</v>
      </c>
      <c r="H483" s="2486">
        <f t="shared" si="133"/>
        <v>636.5</v>
      </c>
      <c r="I483" s="2486">
        <f t="shared" si="133"/>
        <v>636.5</v>
      </c>
      <c r="J483" s="2486">
        <f t="shared" si="133"/>
        <v>636.5</v>
      </c>
      <c r="K483" s="2270">
        <f t="shared" si="127"/>
        <v>38000</v>
      </c>
      <c r="L483" s="2254">
        <f t="shared" si="128"/>
        <v>6.7000000000000004E-2</v>
      </c>
    </row>
    <row r="484" spans="1:12">
      <c r="C484" s="2486">
        <f t="shared" si="123"/>
        <v>646</v>
      </c>
      <c r="D484" s="2486">
        <f t="shared" ref="D484:J484" si="134">C484</f>
        <v>646</v>
      </c>
      <c r="E484" s="2486">
        <f t="shared" si="134"/>
        <v>646</v>
      </c>
      <c r="F484" s="2486">
        <f t="shared" si="134"/>
        <v>646</v>
      </c>
      <c r="G484" s="2486">
        <f t="shared" si="134"/>
        <v>646</v>
      </c>
      <c r="H484" s="2486">
        <f t="shared" si="134"/>
        <v>646</v>
      </c>
      <c r="I484" s="2486">
        <f t="shared" si="134"/>
        <v>646</v>
      </c>
      <c r="J484" s="2486">
        <f t="shared" si="134"/>
        <v>646</v>
      </c>
      <c r="K484" s="2270">
        <f t="shared" si="127"/>
        <v>38000</v>
      </c>
      <c r="L484" s="2254">
        <f t="shared" si="128"/>
        <v>6.8000000000000005E-2</v>
      </c>
    </row>
    <row r="485" spans="1:12">
      <c r="C485" s="2486">
        <f t="shared" si="123"/>
        <v>655.5</v>
      </c>
      <c r="D485" s="2486">
        <f t="shared" ref="D485:J485" si="135">C485</f>
        <v>655.5</v>
      </c>
      <c r="E485" s="2486">
        <f t="shared" si="135"/>
        <v>655.5</v>
      </c>
      <c r="F485" s="2486">
        <f t="shared" si="135"/>
        <v>655.5</v>
      </c>
      <c r="G485" s="2486">
        <f t="shared" si="135"/>
        <v>655.5</v>
      </c>
      <c r="H485" s="2486">
        <f t="shared" si="135"/>
        <v>655.5</v>
      </c>
      <c r="I485" s="2486">
        <f t="shared" si="135"/>
        <v>655.5</v>
      </c>
      <c r="J485" s="2486">
        <f t="shared" si="135"/>
        <v>655.5</v>
      </c>
      <c r="K485" s="2270">
        <f t="shared" si="127"/>
        <v>38000</v>
      </c>
      <c r="L485" s="2254">
        <f t="shared" si="128"/>
        <v>6.9000000000000006E-2</v>
      </c>
    </row>
    <row r="486" spans="1:12">
      <c r="C486" s="2486">
        <f t="shared" si="123"/>
        <v>665.00000000000011</v>
      </c>
      <c r="D486" s="2486">
        <f t="shared" ref="D486:J486" si="136">C486</f>
        <v>665.00000000000011</v>
      </c>
      <c r="E486" s="2486">
        <f t="shared" si="136"/>
        <v>665.00000000000011</v>
      </c>
      <c r="F486" s="2486">
        <f t="shared" si="136"/>
        <v>665.00000000000011</v>
      </c>
      <c r="G486" s="2486">
        <f t="shared" si="136"/>
        <v>665.00000000000011</v>
      </c>
      <c r="H486" s="2486">
        <f t="shared" si="136"/>
        <v>665.00000000000011</v>
      </c>
      <c r="I486" s="2486">
        <f t="shared" si="136"/>
        <v>665.00000000000011</v>
      </c>
      <c r="J486" s="2486">
        <f t="shared" si="136"/>
        <v>665.00000000000011</v>
      </c>
      <c r="K486" s="2270">
        <f t="shared" si="127"/>
        <v>38000</v>
      </c>
      <c r="L486" s="2254">
        <f t="shared" si="128"/>
        <v>7.0000000000000007E-2</v>
      </c>
    </row>
    <row r="487" spans="1:12">
      <c r="C487" s="2433"/>
      <c r="E487" s="2433"/>
      <c r="F487" s="2433"/>
      <c r="G487" s="2433"/>
      <c r="H487" s="2433"/>
      <c r="I487" s="2433"/>
      <c r="J487" s="2433"/>
      <c r="K487" s="2433"/>
      <c r="L487" s="2433"/>
    </row>
    <row r="488" spans="1:12">
      <c r="A488" s="2234" t="s">
        <v>1669</v>
      </c>
      <c r="C488" s="2433"/>
      <c r="E488" s="2433"/>
      <c r="F488" s="2433"/>
      <c r="G488" s="2433"/>
      <c r="H488" s="2433"/>
      <c r="I488" s="2433"/>
      <c r="J488" s="2433"/>
      <c r="K488" s="2433"/>
      <c r="L488" s="2433"/>
    </row>
    <row r="489" spans="1:12">
      <c r="B489" s="2256" t="s">
        <v>24</v>
      </c>
      <c r="C489" s="2437">
        <v>3</v>
      </c>
      <c r="D489" s="2437">
        <f>C489+3</f>
        <v>6</v>
      </c>
      <c r="E489" s="2437">
        <f t="shared" ref="E489" si="137">D489+3</f>
        <v>9</v>
      </c>
      <c r="F489" s="2437">
        <f t="shared" ref="F489" si="138">E489+3</f>
        <v>12</v>
      </c>
      <c r="G489" s="2437">
        <f t="shared" ref="G489" si="139">F489+3</f>
        <v>15</v>
      </c>
      <c r="H489" s="2437">
        <f t="shared" ref="H489" si="140">G489+3</f>
        <v>18</v>
      </c>
      <c r="I489" s="2437">
        <f t="shared" ref="I489" si="141">H489+3</f>
        <v>21</v>
      </c>
      <c r="J489" s="2438">
        <f t="shared" ref="J489" si="142">I489+3</f>
        <v>24</v>
      </c>
    </row>
    <row r="490" spans="1:12">
      <c r="B490" s="2501" t="s">
        <v>1668</v>
      </c>
      <c r="C490" s="2502">
        <f t="shared" ref="C490:C500" si="143">E$454/C464</f>
        <v>1.6366367583310473</v>
      </c>
      <c r="D490" s="2502">
        <f t="shared" ref="D490:D500" si="144">F$454/D464</f>
        <v>1.6843150772450681</v>
      </c>
      <c r="E490" s="2502">
        <f t="shared" ref="E490:E500" si="145">G$454/E464</f>
        <v>1.7297905584381317</v>
      </c>
      <c r="F490" s="2502">
        <f t="shared" ref="F490:F500" si="146">H$454/F464</f>
        <v>1.8107052404080266</v>
      </c>
      <c r="G490" s="2502">
        <f t="shared" ref="G490:G500" si="147">I$454/G464</f>
        <v>1.685697034923419</v>
      </c>
      <c r="H490" s="2502">
        <f t="shared" ref="H490:H500" si="148">J$454/H464</f>
        <v>1.7287321263390873</v>
      </c>
      <c r="I490" s="2502">
        <f t="shared" ref="I490:I500" si="149">K$454/I464</f>
        <v>1.7753444945619765</v>
      </c>
      <c r="J490" s="2503">
        <f t="shared" ref="J490:J500" si="150">L$454/J464</f>
        <v>1.8582820435811189</v>
      </c>
    </row>
    <row r="491" spans="1:12">
      <c r="B491" s="2504">
        <v>1E-3</v>
      </c>
      <c r="C491" s="2502">
        <f t="shared" si="143"/>
        <v>1.6030647222627181</v>
      </c>
      <c r="D491" s="2502">
        <f t="shared" si="144"/>
        <v>1.6497650243785027</v>
      </c>
      <c r="E491" s="2502">
        <f t="shared" si="145"/>
        <v>1.6943076751881188</v>
      </c>
      <c r="F491" s="2502">
        <f t="shared" si="146"/>
        <v>1.7735625688099133</v>
      </c>
      <c r="G491" s="2502">
        <f t="shared" si="147"/>
        <v>1.6511186342070412</v>
      </c>
      <c r="H491" s="2502">
        <f t="shared" si="148"/>
        <v>1.693270954516747</v>
      </c>
      <c r="I491" s="2502">
        <f t="shared" si="149"/>
        <v>1.7389271715966026</v>
      </c>
      <c r="J491" s="2503">
        <f t="shared" si="150"/>
        <v>1.8201634375589422</v>
      </c>
    </row>
    <row r="492" spans="1:12">
      <c r="B492" s="2504">
        <f>B491+0.1%</f>
        <v>2E-3</v>
      </c>
      <c r="C492" s="2502">
        <f t="shared" si="143"/>
        <v>1.5708423157850755</v>
      </c>
      <c r="D492" s="2502">
        <f t="shared" si="144"/>
        <v>1.6166039183608443</v>
      </c>
      <c r="E492" s="2502">
        <f t="shared" si="145"/>
        <v>1.6602512395059454</v>
      </c>
      <c r="F492" s="2502">
        <f t="shared" si="146"/>
        <v>1.7379130699393623</v>
      </c>
      <c r="G492" s="2502">
        <f t="shared" si="147"/>
        <v>1.6179303199516233</v>
      </c>
      <c r="H492" s="2502">
        <f t="shared" si="148"/>
        <v>1.6592353574410335</v>
      </c>
      <c r="I492" s="2502">
        <f t="shared" si="149"/>
        <v>1.7039738616147613</v>
      </c>
      <c r="J492" s="2503">
        <f t="shared" si="150"/>
        <v>1.7835772378090138</v>
      </c>
    </row>
    <row r="493" spans="1:12">
      <c r="B493" s="2504">
        <f t="shared" ref="B493:B500" si="151">B492+0.1%</f>
        <v>3.0000000000000001E-3</v>
      </c>
      <c r="C493" s="2502">
        <f t="shared" si="143"/>
        <v>1.5398897578385715</v>
      </c>
      <c r="D493" s="2502">
        <f t="shared" si="144"/>
        <v>1.5847496539596453</v>
      </c>
      <c r="E493" s="2502">
        <f t="shared" si="145"/>
        <v>1.6275369293678972</v>
      </c>
      <c r="F493" s="2502">
        <f t="shared" si="146"/>
        <v>1.7036684774282416</v>
      </c>
      <c r="G493" s="2502">
        <f t="shared" si="147"/>
        <v>1.5860499195584876</v>
      </c>
      <c r="H493" s="2502">
        <f t="shared" si="148"/>
        <v>1.6265410646835745</v>
      </c>
      <c r="I493" s="2502">
        <f t="shared" si="149"/>
        <v>1.6703980219770318</v>
      </c>
      <c r="J493" s="2503">
        <f t="shared" si="150"/>
        <v>1.7484328587388851</v>
      </c>
    </row>
    <row r="494" spans="1:12">
      <c r="B494" s="2504">
        <f t="shared" si="151"/>
        <v>4.0000000000000001E-3</v>
      </c>
      <c r="C494" s="2502">
        <f t="shared" si="143"/>
        <v>1.5101334340156041</v>
      </c>
      <c r="D494" s="2502">
        <f t="shared" si="144"/>
        <v>1.5541264722406185</v>
      </c>
      <c r="E494" s="2502">
        <f t="shared" si="145"/>
        <v>1.5960869403946045</v>
      </c>
      <c r="F494" s="2502">
        <f t="shared" si="146"/>
        <v>1.6707473474296284</v>
      </c>
      <c r="G494" s="2502">
        <f t="shared" si="147"/>
        <v>1.5554016119341691</v>
      </c>
      <c r="H494" s="2502">
        <f t="shared" si="148"/>
        <v>1.595110319472298</v>
      </c>
      <c r="I494" s="2502">
        <f t="shared" si="149"/>
        <v>1.6381197993301329</v>
      </c>
      <c r="J494" s="2503">
        <f t="shared" si="150"/>
        <v>1.7146467165410326</v>
      </c>
    </row>
    <row r="495" spans="1:12">
      <c r="B495" s="2504">
        <f t="shared" si="151"/>
        <v>5.0000000000000001E-3</v>
      </c>
      <c r="C495" s="2502">
        <f t="shared" si="143"/>
        <v>1.4815053120437442</v>
      </c>
      <c r="D495" s="2502">
        <f t="shared" si="144"/>
        <v>1.5246643590227869</v>
      </c>
      <c r="E495" s="2502">
        <f t="shared" si="145"/>
        <v>1.565829368064849</v>
      </c>
      <c r="F495" s="2502">
        <f t="shared" si="146"/>
        <v>1.6390744119333323</v>
      </c>
      <c r="G495" s="2502">
        <f t="shared" si="147"/>
        <v>1.5259153254520048</v>
      </c>
      <c r="H495" s="2502">
        <f t="shared" si="148"/>
        <v>1.5648712612832496</v>
      </c>
      <c r="I495" s="2502">
        <f t="shared" si="149"/>
        <v>1.6070653955513625</v>
      </c>
      <c r="J495" s="2503">
        <f t="shared" si="150"/>
        <v>1.6821415655165579</v>
      </c>
    </row>
    <row r="496" spans="1:12">
      <c r="B496" s="2504">
        <f t="shared" si="151"/>
        <v>6.0000000000000001E-3</v>
      </c>
      <c r="C496" s="2502">
        <f t="shared" si="143"/>
        <v>1.4539424225173487</v>
      </c>
      <c r="D496" s="2502">
        <f t="shared" si="144"/>
        <v>1.4962985104828277</v>
      </c>
      <c r="E496" s="2502">
        <f t="shared" si="145"/>
        <v>1.5366976588915493</v>
      </c>
      <c r="F496" s="2502">
        <f t="shared" si="146"/>
        <v>1.608580004269456</v>
      </c>
      <c r="G496" s="2502">
        <f t="shared" si="147"/>
        <v>1.4975262031180137</v>
      </c>
      <c r="H496" s="2502">
        <f t="shared" si="148"/>
        <v>1.535757377352398</v>
      </c>
      <c r="I496" s="2502">
        <f t="shared" si="149"/>
        <v>1.5771665044713368</v>
      </c>
      <c r="J496" s="2503">
        <f t="shared" si="150"/>
        <v>1.6508459084836915</v>
      </c>
    </row>
    <row r="497" spans="1:10">
      <c r="B497" s="2504">
        <f t="shared" si="151"/>
        <v>7.0000000000000001E-3</v>
      </c>
      <c r="C497" s="2502">
        <f t="shared" si="143"/>
        <v>1.4273863965352966</v>
      </c>
      <c r="D497" s="2502">
        <f t="shared" si="144"/>
        <v>1.4689688573233239</v>
      </c>
      <c r="E497" s="2502">
        <f t="shared" si="145"/>
        <v>1.5086301217428451</v>
      </c>
      <c r="F497" s="2502">
        <f t="shared" si="146"/>
        <v>1.5791995475704705</v>
      </c>
      <c r="G497" s="2502">
        <f t="shared" si="147"/>
        <v>1.4701741263487349</v>
      </c>
      <c r="H497" s="2502">
        <f t="shared" si="148"/>
        <v>1.5077070142957334</v>
      </c>
      <c r="I497" s="2502">
        <f t="shared" si="149"/>
        <v>1.5483598103257417</v>
      </c>
      <c r="J497" s="2503">
        <f t="shared" si="150"/>
        <v>1.6206934717990578</v>
      </c>
    </row>
    <row r="498" spans="1:10">
      <c r="B498" s="2504">
        <f t="shared" si="151"/>
        <v>8.0000000000000002E-3</v>
      </c>
      <c r="C498" s="2502">
        <f t="shared" si="143"/>
        <v>1.401783053099686</v>
      </c>
      <c r="D498" s="2502">
        <f t="shared" si="144"/>
        <v>1.4426196401516052</v>
      </c>
      <c r="E498" s="2502">
        <f t="shared" si="145"/>
        <v>1.4815694917564264</v>
      </c>
      <c r="F498" s="2502">
        <f t="shared" si="146"/>
        <v>1.5508730982866952</v>
      </c>
      <c r="G498" s="2502">
        <f t="shared" si="147"/>
        <v>1.4438032900016724</v>
      </c>
      <c r="H498" s="2502">
        <f t="shared" si="148"/>
        <v>1.4806629422904287</v>
      </c>
      <c r="I498" s="2502">
        <f t="shared" si="149"/>
        <v>1.5205865401853695</v>
      </c>
      <c r="J498" s="2503">
        <f t="shared" si="150"/>
        <v>1.5916227368788953</v>
      </c>
    </row>
    <row r="499" spans="1:10">
      <c r="B499" s="2504">
        <f t="shared" si="151"/>
        <v>9.0000000000000011E-3</v>
      </c>
      <c r="C499" s="2502">
        <f t="shared" si="143"/>
        <v>1.377082030137577</v>
      </c>
      <c r="D499" s="2502">
        <f t="shared" si="144"/>
        <v>1.4171990297524579</v>
      </c>
      <c r="E499" s="2502">
        <f t="shared" si="145"/>
        <v>1.4554625403598374</v>
      </c>
      <c r="F499" s="2502">
        <f t="shared" si="146"/>
        <v>1.5235449379644628</v>
      </c>
      <c r="G499" s="2502">
        <f t="shared" si="147"/>
        <v>1.4183618223364447</v>
      </c>
      <c r="H499" s="2502">
        <f t="shared" si="148"/>
        <v>1.4545719653337692</v>
      </c>
      <c r="I499" s="2502">
        <f t="shared" si="149"/>
        <v>1.4937920637063322</v>
      </c>
      <c r="J499" s="2503">
        <f t="shared" si="150"/>
        <v>1.5635765212510735</v>
      </c>
    </row>
    <row r="500" spans="1:10">
      <c r="B500" s="2504">
        <f t="shared" si="151"/>
        <v>1.0000000000000002E-2</v>
      </c>
      <c r="C500" s="2502">
        <f t="shared" si="143"/>
        <v>1.3532364538581385</v>
      </c>
      <c r="D500" s="2502">
        <f t="shared" si="144"/>
        <v>1.3926587868130214</v>
      </c>
      <c r="E500" s="2502">
        <f t="shared" si="145"/>
        <v>1.430259725808152</v>
      </c>
      <c r="F500" s="2502">
        <f t="shared" si="146"/>
        <v>1.4971632074369394</v>
      </c>
      <c r="G500" s="2502">
        <f t="shared" si="147"/>
        <v>1.3938014444604889</v>
      </c>
      <c r="H500" s="2502">
        <f t="shared" si="148"/>
        <v>1.4293845719946563</v>
      </c>
      <c r="I500" s="2502">
        <f t="shared" si="149"/>
        <v>1.4679255344646642</v>
      </c>
      <c r="J500" s="2503">
        <f t="shared" si="150"/>
        <v>1.5365016031341716</v>
      </c>
    </row>
    <row r="501" spans="1:10">
      <c r="B501" s="2280"/>
      <c r="C501" s="2505">
        <f>C490-E458</f>
        <v>0</v>
      </c>
      <c r="D501" s="2505">
        <f t="shared" ref="D501:J501" si="152">D490-F458</f>
        <v>0</v>
      </c>
      <c r="E501" s="2505">
        <f t="shared" si="152"/>
        <v>0</v>
      </c>
      <c r="F501" s="2505">
        <f t="shared" si="152"/>
        <v>0</v>
      </c>
      <c r="G501" s="2505">
        <f t="shared" si="152"/>
        <v>0</v>
      </c>
      <c r="H501" s="2505">
        <f t="shared" si="152"/>
        <v>0</v>
      </c>
      <c r="I501" s="2505">
        <f t="shared" si="152"/>
        <v>0</v>
      </c>
      <c r="J501" s="2505">
        <f t="shared" si="152"/>
        <v>0</v>
      </c>
    </row>
    <row r="502" spans="1:10">
      <c r="A502" s="2234" t="s">
        <v>1670</v>
      </c>
      <c r="B502" s="2280"/>
      <c r="C502" s="2280"/>
      <c r="D502" s="2280"/>
      <c r="E502" s="2280"/>
      <c r="F502" s="2280"/>
      <c r="G502" s="2280"/>
      <c r="H502" s="2280"/>
      <c r="I502" s="2280"/>
      <c r="J502" s="2280"/>
    </row>
    <row r="503" spans="1:10">
      <c r="B503" s="2256" t="s">
        <v>24</v>
      </c>
      <c r="C503" s="2437">
        <v>3</v>
      </c>
      <c r="D503" s="2437">
        <f>C503+3</f>
        <v>6</v>
      </c>
      <c r="E503" s="2437">
        <f t="shared" ref="E503" si="153">D503+3</f>
        <v>9</v>
      </c>
      <c r="F503" s="2437">
        <f t="shared" ref="F503" si="154">E503+3</f>
        <v>12</v>
      </c>
      <c r="G503" s="2437">
        <f t="shared" ref="G503" si="155">F503+3</f>
        <v>15</v>
      </c>
      <c r="H503" s="2437">
        <f t="shared" ref="H503" si="156">G503+3</f>
        <v>18</v>
      </c>
      <c r="I503" s="2437">
        <f t="shared" ref="I503" si="157">H503+3</f>
        <v>21</v>
      </c>
      <c r="J503" s="2438">
        <f t="shared" ref="J503" si="158">I503+3</f>
        <v>24</v>
      </c>
    </row>
    <row r="504" spans="1:10">
      <c r="B504" s="2501" t="s">
        <v>1668</v>
      </c>
      <c r="C504" s="2502">
        <f t="shared" ref="C504:C514" si="159">E$454/SUM(C464,C476)</f>
        <v>1.260474277585605</v>
      </c>
      <c r="D504" s="2502">
        <f t="shared" ref="D504:D514" si="160">F$454/SUM(D464,D476)</f>
        <v>1.2971942732008388</v>
      </c>
      <c r="E504" s="2502">
        <f t="shared" ref="E504:E514" si="161">G$454/SUM(E464,E476)</f>
        <v>1.3322177284745289</v>
      </c>
      <c r="F504" s="2502">
        <f t="shared" ref="F504:F514" si="162">H$454/SUM(F464,F476)</f>
        <v>1.3945350843465045</v>
      </c>
      <c r="G504" s="2502">
        <f t="shared" ref="G504:G514" si="163">I$454/SUM(G464,G476)</f>
        <v>1.2982586035095687</v>
      </c>
      <c r="H504" s="2502">
        <f t="shared" ref="H504:H514" si="164">J$454/SUM(H464,H476)</f>
        <v>1.33140256504341</v>
      </c>
      <c r="I504" s="2502">
        <f t="shared" ref="I504:I514" si="165">K$454/SUM(I464,I476)</f>
        <v>1.3673016066989416</v>
      </c>
      <c r="J504" s="2503">
        <f t="shared" ref="J504:J514" si="166">L$454/SUM(J464,J476)</f>
        <v>1.4311768964677167</v>
      </c>
    </row>
    <row r="505" spans="1:10">
      <c r="B505" s="2504">
        <v>1E-3</v>
      </c>
      <c r="C505" s="2502">
        <f t="shared" si="159"/>
        <v>1.2358079495601109</v>
      </c>
      <c r="D505" s="2502">
        <f t="shared" si="160"/>
        <v>1.2718093684673177</v>
      </c>
      <c r="E505" s="2502">
        <f t="shared" si="161"/>
        <v>1.30614744677479</v>
      </c>
      <c r="F505" s="2502">
        <f t="shared" si="162"/>
        <v>1.3672453090252346</v>
      </c>
      <c r="G505" s="2502">
        <f t="shared" si="163"/>
        <v>1.2728528708059814</v>
      </c>
      <c r="H505" s="2502">
        <f t="shared" si="164"/>
        <v>1.30534823534598</v>
      </c>
      <c r="I505" s="2502">
        <f t="shared" si="165"/>
        <v>1.3405447656111387</v>
      </c>
      <c r="J505" s="2503">
        <f t="shared" si="166"/>
        <v>1.4031700744178444</v>
      </c>
    </row>
    <row r="506" spans="1:10">
      <c r="B506" s="2504">
        <f>B505+0.1%</f>
        <v>2E-3</v>
      </c>
      <c r="C506" s="2502">
        <f t="shared" si="159"/>
        <v>1.2120884871703375</v>
      </c>
      <c r="D506" s="2502">
        <f t="shared" si="160"/>
        <v>1.2473989133532688</v>
      </c>
      <c r="E506" s="2502">
        <f t="shared" si="161"/>
        <v>1.2810779242407258</v>
      </c>
      <c r="F506" s="2502">
        <f t="shared" si="162"/>
        <v>1.3410031055367704</v>
      </c>
      <c r="G506" s="2502">
        <f t="shared" si="163"/>
        <v>1.2484223872445639</v>
      </c>
      <c r="H506" s="2502">
        <f t="shared" si="164"/>
        <v>1.2802940524651636</v>
      </c>
      <c r="I506" s="2502">
        <f t="shared" si="165"/>
        <v>1.3148150386248061</v>
      </c>
      <c r="J506" s="2503">
        <f t="shared" si="166"/>
        <v>1.3762383494532522</v>
      </c>
    </row>
    <row r="507" spans="1:10">
      <c r="B507" s="2504">
        <f t="shared" ref="B507:B514" si="167">B506+0.1%</f>
        <v>3.0000000000000001E-3</v>
      </c>
      <c r="C507" s="2502">
        <f t="shared" si="159"/>
        <v>1.1892623962002284</v>
      </c>
      <c r="D507" s="2502">
        <f t="shared" si="160"/>
        <v>1.223907855255119</v>
      </c>
      <c r="E507" s="2502">
        <f t="shared" si="161"/>
        <v>1.256952621881998</v>
      </c>
      <c r="F507" s="2502">
        <f t="shared" si="162"/>
        <v>1.3157492901576302</v>
      </c>
      <c r="G507" s="2502">
        <f t="shared" si="163"/>
        <v>1.2249120550518282</v>
      </c>
      <c r="H507" s="2502">
        <f t="shared" si="164"/>
        <v>1.2561835120059566</v>
      </c>
      <c r="I507" s="2502">
        <f t="shared" si="165"/>
        <v>1.2900543977985068</v>
      </c>
      <c r="J507" s="2503">
        <f t="shared" si="166"/>
        <v>1.3503209827810301</v>
      </c>
    </row>
    <row r="508" spans="1:10">
      <c r="B508" s="2504">
        <f t="shared" si="167"/>
        <v>4.0000000000000001E-3</v>
      </c>
      <c r="C508" s="2502">
        <f t="shared" si="159"/>
        <v>1.1672801375699404</v>
      </c>
      <c r="D508" s="2502">
        <f t="shared" si="160"/>
        <v>1.2012852119260942</v>
      </c>
      <c r="E508" s="2502">
        <f t="shared" si="161"/>
        <v>1.2337191809622223</v>
      </c>
      <c r="F508" s="2502">
        <f t="shared" si="162"/>
        <v>1.2914290549586747</v>
      </c>
      <c r="G508" s="2502">
        <f t="shared" si="163"/>
        <v>1.2022708501507582</v>
      </c>
      <c r="H508" s="2502">
        <f t="shared" si="164"/>
        <v>1.2329642872694759</v>
      </c>
      <c r="I508" s="2502">
        <f t="shared" si="165"/>
        <v>1.2662091055315068</v>
      </c>
      <c r="J508" s="2503">
        <f t="shared" si="166"/>
        <v>1.3253617263778705</v>
      </c>
    </row>
    <row r="509" spans="1:10">
      <c r="B509" s="2504">
        <f t="shared" si="167"/>
        <v>5.0000000000000001E-3</v>
      </c>
      <c r="C509" s="2502">
        <f t="shared" si="159"/>
        <v>1.1460957684371404</v>
      </c>
      <c r="D509" s="2502">
        <f t="shared" si="160"/>
        <v>1.1794837021221192</v>
      </c>
      <c r="E509" s="2502">
        <f t="shared" si="161"/>
        <v>1.2113290436725321</v>
      </c>
      <c r="F509" s="2502">
        <f t="shared" si="162"/>
        <v>1.2679915707348601</v>
      </c>
      <c r="G509" s="2502">
        <f t="shared" si="163"/>
        <v>1.1804514525036591</v>
      </c>
      <c r="H509" s="2502">
        <f t="shared" si="164"/>
        <v>1.2105878501586276</v>
      </c>
      <c r="I509" s="2502">
        <f t="shared" si="165"/>
        <v>1.2432293252478002</v>
      </c>
      <c r="J509" s="2503">
        <f t="shared" si="166"/>
        <v>1.3013084154866865</v>
      </c>
    </row>
    <row r="510" spans="1:10">
      <c r="B510" s="2504">
        <f t="shared" si="167"/>
        <v>6.0000000000000001E-3</v>
      </c>
      <c r="C510" s="2502">
        <f t="shared" si="159"/>
        <v>1.1256666216824991</v>
      </c>
      <c r="D510" s="2502">
        <f t="shared" si="160"/>
        <v>1.1584594157501187</v>
      </c>
      <c r="E510" s="2502">
        <f t="shared" si="161"/>
        <v>1.1897371143740838</v>
      </c>
      <c r="F510" s="2502">
        <f t="shared" si="162"/>
        <v>1.2453896324016314</v>
      </c>
      <c r="G510" s="2502">
        <f t="shared" si="163"/>
        <v>1.1594099159898199</v>
      </c>
      <c r="H510" s="2502">
        <f t="shared" si="164"/>
        <v>1.189009132627892</v>
      </c>
      <c r="I510" s="2502">
        <f t="shared" si="165"/>
        <v>1.2210687737174557</v>
      </c>
      <c r="J510" s="2503">
        <f t="shared" si="166"/>
        <v>1.2781126046956921</v>
      </c>
    </row>
    <row r="511" spans="1:10">
      <c r="B511" s="2504">
        <f t="shared" si="167"/>
        <v>7.0000000000000001E-3</v>
      </c>
      <c r="C511" s="2502">
        <f t="shared" si="159"/>
        <v>1.1059530190738722</v>
      </c>
      <c r="D511" s="2502">
        <f t="shared" si="160"/>
        <v>1.1381715186761294</v>
      </c>
      <c r="E511" s="2502">
        <f t="shared" si="161"/>
        <v>1.1689014564361688</v>
      </c>
      <c r="F511" s="2502">
        <f t="shared" si="162"/>
        <v>1.2235793416519831</v>
      </c>
      <c r="G511" s="2502">
        <f t="shared" si="163"/>
        <v>1.139105372971424</v>
      </c>
      <c r="H511" s="2502">
        <f t="shared" si="164"/>
        <v>1.1681862237069365</v>
      </c>
      <c r="I511" s="2502">
        <f t="shared" si="165"/>
        <v>1.1996844099109762</v>
      </c>
      <c r="J511" s="2503">
        <f t="shared" si="166"/>
        <v>1.2557292422571862</v>
      </c>
    </row>
    <row r="512" spans="1:10">
      <c r="B512" s="2504">
        <f t="shared" si="167"/>
        <v>8.0000000000000002E-3</v>
      </c>
      <c r="C512" s="2502">
        <f t="shared" si="159"/>
        <v>1.0869180140515646</v>
      </c>
      <c r="D512" s="2502">
        <f t="shared" si="160"/>
        <v>1.118581988017413</v>
      </c>
      <c r="E512" s="2502">
        <f t="shared" si="161"/>
        <v>1.1487830203813738</v>
      </c>
      <c r="F512" s="2502">
        <f t="shared" si="162"/>
        <v>1.2025198223850244</v>
      </c>
      <c r="G512" s="2502">
        <f t="shared" si="163"/>
        <v>1.1194997693684734</v>
      </c>
      <c r="H512" s="2502">
        <f t="shared" si="164"/>
        <v>1.1480800978121197</v>
      </c>
      <c r="I512" s="2502">
        <f t="shared" si="165"/>
        <v>1.179036155985179</v>
      </c>
      <c r="J512" s="2503">
        <f t="shared" si="166"/>
        <v>1.234116378038921</v>
      </c>
    </row>
    <row r="513" spans="1:12">
      <c r="B513" s="2504">
        <f t="shared" si="167"/>
        <v>9.0000000000000011E-3</v>
      </c>
      <c r="C513" s="2502">
        <f t="shared" si="159"/>
        <v>1.0685271606263202</v>
      </c>
      <c r="D513" s="2502">
        <f t="shared" si="160"/>
        <v>1.0996553743080089</v>
      </c>
      <c r="E513" s="2502">
        <f t="shared" si="161"/>
        <v>1.1293453996297491</v>
      </c>
      <c r="F513" s="2502">
        <f t="shared" si="162"/>
        <v>1.1821729650245532</v>
      </c>
      <c r="G513" s="2502">
        <f t="shared" si="163"/>
        <v>1.1005576266292019</v>
      </c>
      <c r="H513" s="2502">
        <f t="shared" si="164"/>
        <v>1.1286543706401149</v>
      </c>
      <c r="I513" s="2502">
        <f t="shared" si="165"/>
        <v>1.1590866465948981</v>
      </c>
      <c r="J513" s="2503">
        <f t="shared" si="166"/>
        <v>1.2132349011245724</v>
      </c>
    </row>
    <row r="514" spans="1:12">
      <c r="B514" s="2504">
        <f t="shared" si="167"/>
        <v>1.0000000000000002E-2</v>
      </c>
      <c r="C514" s="2502">
        <f t="shared" si="159"/>
        <v>1.0507483053486721</v>
      </c>
      <c r="D514" s="2502">
        <f t="shared" si="160"/>
        <v>1.0813585874077578</v>
      </c>
      <c r="E514" s="2502">
        <f t="shared" si="161"/>
        <v>1.1105546106275062</v>
      </c>
      <c r="F514" s="2502">
        <f t="shared" si="162"/>
        <v>1.1625031963628001</v>
      </c>
      <c r="G514" s="2502">
        <f t="shared" si="163"/>
        <v>1.0822458274634386</v>
      </c>
      <c r="H514" s="2502">
        <f t="shared" si="164"/>
        <v>1.1098750794311449</v>
      </c>
      <c r="I514" s="2502">
        <f t="shared" si="165"/>
        <v>1.1398010032313863</v>
      </c>
      <c r="J514" s="2503">
        <f t="shared" si="166"/>
        <v>1.1930483036100628</v>
      </c>
    </row>
    <row r="515" spans="1:12">
      <c r="C515" s="2433">
        <f>E459-C504</f>
        <v>0</v>
      </c>
      <c r="D515" s="2433">
        <f t="shared" ref="D515:J515" si="168">F459-D504</f>
        <v>0</v>
      </c>
      <c r="E515" s="2433">
        <f t="shared" si="168"/>
        <v>0</v>
      </c>
      <c r="F515" s="2433">
        <f t="shared" si="168"/>
        <v>0</v>
      </c>
      <c r="G515" s="2433">
        <f t="shared" si="168"/>
        <v>0</v>
      </c>
      <c r="H515" s="2433">
        <f t="shared" si="168"/>
        <v>0</v>
      </c>
      <c r="I515" s="2433">
        <f t="shared" si="168"/>
        <v>0</v>
      </c>
      <c r="J515" s="2433">
        <f t="shared" si="168"/>
        <v>0</v>
      </c>
      <c r="K515" s="2433"/>
      <c r="L515" s="2433"/>
    </row>
    <row r="516" spans="1:12">
      <c r="C516" s="2433"/>
      <c r="E516" s="2433"/>
      <c r="F516" s="2433"/>
      <c r="G516" s="2433"/>
      <c r="H516" s="2433"/>
      <c r="I516" s="2433"/>
      <c r="J516" s="2433"/>
      <c r="K516" s="2433"/>
      <c r="L516" s="2433"/>
    </row>
    <row r="517" spans="1:12">
      <c r="J517" s="2314"/>
    </row>
    <row r="518" spans="1:12">
      <c r="J518" s="2314"/>
    </row>
    <row r="521" spans="1:12">
      <c r="A521" s="2234" t="s">
        <v>1626</v>
      </c>
    </row>
    <row r="522" spans="1:12">
      <c r="B522" s="2283" t="s">
        <v>620</v>
      </c>
      <c r="C522" s="2284" t="s">
        <v>680</v>
      </c>
      <c r="D522" s="2382" t="s">
        <v>669</v>
      </c>
    </row>
    <row r="523" spans="1:12">
      <c r="B523" s="2425" t="s">
        <v>1628</v>
      </c>
      <c r="C523" s="2426">
        <f>G130</f>
        <v>9076.1890386719206</v>
      </c>
      <c r="D523" s="2456" t="s">
        <v>1632</v>
      </c>
    </row>
    <row r="524" spans="1:12">
      <c r="B524" s="2428" t="s">
        <v>1640</v>
      </c>
      <c r="C524" s="2427">
        <f>-(SUM('Rent-roll'!AO108:AZ109)+SUM('Rent-roll'!AO111:AZ115)+SUM('Rent-roll'!AO117:AZ117)+SUM('Rent-roll'!AO122:AZ123))/1000</f>
        <v>5309.5660927180998</v>
      </c>
      <c r="D524" s="2455" t="s">
        <v>1631</v>
      </c>
    </row>
    <row r="525" spans="1:12">
      <c r="B525" s="2425" t="s">
        <v>1628</v>
      </c>
      <c r="C525" s="2426">
        <f>SUM(C523:C524)</f>
        <v>14385.75513139002</v>
      </c>
      <c r="D525" s="2383" t="s">
        <v>1634</v>
      </c>
    </row>
    <row r="526" spans="1:12">
      <c r="B526" s="2428" t="s">
        <v>1630</v>
      </c>
      <c r="C526" s="2427">
        <f>-C524*12/60</f>
        <v>-1061.9132185436199</v>
      </c>
      <c r="D526" s="2383" t="s">
        <v>1633</v>
      </c>
    </row>
    <row r="527" spans="1:12">
      <c r="B527" s="2425" t="s">
        <v>1629</v>
      </c>
      <c r="C527" s="2500">
        <f>SUM(C525:C526)</f>
        <v>13323.841912846401</v>
      </c>
      <c r="D527" s="2456" t="s">
        <v>1635</v>
      </c>
    </row>
    <row r="528" spans="1:12">
      <c r="B528" s="2459" t="s">
        <v>1636</v>
      </c>
      <c r="C528" s="2487">
        <f>'A&amp;R'!Y55</f>
        <v>4.8918868912827713E-2</v>
      </c>
      <c r="D528" s="2457" t="s">
        <v>1637</v>
      </c>
    </row>
    <row r="529" spans="1:12">
      <c r="B529" s="2424" t="s">
        <v>1434</v>
      </c>
      <c r="C529" s="2427">
        <f>'A&amp;R'!P31/1000</f>
        <v>2100</v>
      </c>
      <c r="D529" s="2455"/>
    </row>
    <row r="530" spans="1:12">
      <c r="B530" s="2392" t="s">
        <v>1638</v>
      </c>
      <c r="C530" s="2409">
        <f>C527/C528+C529</f>
        <v>274466.10757679574</v>
      </c>
      <c r="D530" s="2383" t="str">
        <f>"평당 약 "&amp;TEXT(C530*100/'A&amp;R'!K31,"#,##0")&amp;"만원"</f>
        <v>평당 약 950만원</v>
      </c>
    </row>
    <row r="531" spans="1:12">
      <c r="B531" s="2425" t="str">
        <f>D5</f>
        <v>담보차입금(선순위)</v>
      </c>
      <c r="C531" s="2426">
        <f>E5</f>
        <v>160000</v>
      </c>
      <c r="D531" s="2456"/>
    </row>
    <row r="532" spans="1:12">
      <c r="B532" s="2424" t="str">
        <f>D6</f>
        <v>담보차입금(중순위)</v>
      </c>
      <c r="C532" s="2427">
        <f>E6</f>
        <v>38000</v>
      </c>
      <c r="D532" s="2455"/>
    </row>
    <row r="533" spans="1:12">
      <c r="B533" s="2425" t="s">
        <v>1627</v>
      </c>
      <c r="C533" s="2460">
        <f>C531/C530</f>
        <v>0.58294993656086269</v>
      </c>
      <c r="D533" s="2456"/>
    </row>
    <row r="534" spans="1:12">
      <c r="B534" s="2424" t="s">
        <v>1639</v>
      </c>
      <c r="C534" s="2458">
        <f>C532/C530+C533</f>
        <v>0.7214005464940676</v>
      </c>
      <c r="D534" s="2455"/>
    </row>
    <row r="542" spans="1:12">
      <c r="A542" s="2234" t="s">
        <v>1663</v>
      </c>
      <c r="E542" s="2417">
        <f t="shared" ref="E542:L542" si="169">D543+1</f>
        <v>46327</v>
      </c>
      <c r="F542" s="2417">
        <f t="shared" si="169"/>
        <v>46419</v>
      </c>
      <c r="G542" s="2417">
        <f t="shared" si="169"/>
        <v>46508</v>
      </c>
      <c r="H542" s="2417">
        <f t="shared" si="169"/>
        <v>46600</v>
      </c>
      <c r="I542" s="2417">
        <f t="shared" si="169"/>
        <v>46692</v>
      </c>
      <c r="J542" s="2417">
        <f t="shared" si="169"/>
        <v>46784</v>
      </c>
      <c r="K542" s="2417">
        <f t="shared" si="169"/>
        <v>46874</v>
      </c>
      <c r="L542" s="2417">
        <f t="shared" si="169"/>
        <v>46966</v>
      </c>
    </row>
    <row r="543" spans="1:12">
      <c r="D543" s="2381">
        <f>'IS(M)'!M6</f>
        <v>46326</v>
      </c>
      <c r="E543" s="2417">
        <f t="shared" ref="E543:L543" si="170">EOMONTH(D543,3)</f>
        <v>46418</v>
      </c>
      <c r="F543" s="2417">
        <f t="shared" si="170"/>
        <v>46507</v>
      </c>
      <c r="G543" s="2417">
        <f t="shared" si="170"/>
        <v>46599</v>
      </c>
      <c r="H543" s="2417">
        <f t="shared" si="170"/>
        <v>46691</v>
      </c>
      <c r="I543" s="2417">
        <f t="shared" si="170"/>
        <v>46783</v>
      </c>
      <c r="J543" s="2417">
        <f t="shared" si="170"/>
        <v>46873</v>
      </c>
      <c r="K543" s="2417">
        <f t="shared" si="170"/>
        <v>46965</v>
      </c>
      <c r="L543" s="2417">
        <f t="shared" si="170"/>
        <v>47057</v>
      </c>
    </row>
    <row r="544" spans="1:12">
      <c r="B544" s="2808" t="s">
        <v>1449</v>
      </c>
      <c r="C544" s="2810" t="s">
        <v>1460</v>
      </c>
      <c r="D544" s="2418" t="str">
        <f t="shared" ref="D544:L544" si="171">TEXT(D543,"yy.mm")</f>
        <v>26.10</v>
      </c>
      <c r="E544" s="2418" t="str">
        <f t="shared" si="171"/>
        <v>27.01</v>
      </c>
      <c r="F544" s="2418" t="str">
        <f t="shared" si="171"/>
        <v>27.04</v>
      </c>
      <c r="G544" s="2418" t="str">
        <f t="shared" si="171"/>
        <v>27.07</v>
      </c>
      <c r="H544" s="2418" t="str">
        <f t="shared" si="171"/>
        <v>27.10</v>
      </c>
      <c r="I544" s="2418" t="str">
        <f t="shared" si="171"/>
        <v>28.01</v>
      </c>
      <c r="J544" s="2418" t="str">
        <f t="shared" si="171"/>
        <v>28.04</v>
      </c>
      <c r="K544" s="2418" t="str">
        <f t="shared" si="171"/>
        <v>28.07</v>
      </c>
      <c r="L544" s="2419" t="str">
        <f t="shared" si="171"/>
        <v>28.10</v>
      </c>
    </row>
    <row r="545" spans="2:12" ht="12.75" thickBot="1">
      <c r="B545" s="2809"/>
      <c r="C545" s="2811"/>
      <c r="D545" s="2287" t="s">
        <v>1461</v>
      </c>
      <c r="E545" s="2434">
        <v>1</v>
      </c>
      <c r="F545" s="2434">
        <f t="shared" ref="F545:L545" si="172">E545+1</f>
        <v>2</v>
      </c>
      <c r="G545" s="2434">
        <f t="shared" si="172"/>
        <v>3</v>
      </c>
      <c r="H545" s="2434">
        <f t="shared" si="172"/>
        <v>4</v>
      </c>
      <c r="I545" s="2434">
        <f t="shared" si="172"/>
        <v>5</v>
      </c>
      <c r="J545" s="2434">
        <f t="shared" si="172"/>
        <v>6</v>
      </c>
      <c r="K545" s="2434">
        <f t="shared" si="172"/>
        <v>7</v>
      </c>
      <c r="L545" s="2435">
        <f t="shared" si="172"/>
        <v>8</v>
      </c>
    </row>
    <row r="546" spans="2:12" ht="12.75" thickBot="1">
      <c r="B546" s="2289" t="s">
        <v>1504</v>
      </c>
      <c r="C546" s="2290">
        <f t="shared" ref="C546:C574" si="173">SUM(D546:L546)</f>
        <v>31019.959627661996</v>
      </c>
      <c r="D546" s="2290">
        <f t="shared" ref="D546:L546" si="174">SUM(D547:D549)</f>
        <v>0</v>
      </c>
      <c r="E546" s="2290">
        <f t="shared" si="174"/>
        <v>3692.0650452947502</v>
      </c>
      <c r="F546" s="2290">
        <f t="shared" si="174"/>
        <v>3772.2572644205302</v>
      </c>
      <c r="G546" s="2290">
        <f t="shared" si="174"/>
        <v>3859.1154334992816</v>
      </c>
      <c r="H546" s="2290">
        <f t="shared" si="174"/>
        <v>4013.662476061781</v>
      </c>
      <c r="I546" s="2290">
        <f t="shared" si="174"/>
        <v>3774.9495923339682</v>
      </c>
      <c r="J546" s="2290">
        <f t="shared" si="174"/>
        <v>3857.1466169378946</v>
      </c>
      <c r="K546" s="2290">
        <f t="shared" si="174"/>
        <v>3946.1762402436129</v>
      </c>
      <c r="L546" s="2291">
        <f t="shared" si="174"/>
        <v>4104.5869588701753</v>
      </c>
    </row>
    <row r="547" spans="2:12">
      <c r="B547" s="2292" t="s">
        <v>656</v>
      </c>
      <c r="C547" s="2293">
        <f t="shared" si="173"/>
        <v>29157.84655407703</v>
      </c>
      <c r="D547" s="2293">
        <f>('IS(M)'!M19)/1000</f>
        <v>0</v>
      </c>
      <c r="E547" s="2293">
        <f>(SUM('IS(M)'!N19:P19))/1000</f>
        <v>3463.8900165</v>
      </c>
      <c r="F547" s="2293">
        <f>(SUM('IS(M)'!Q19:S19))/1000</f>
        <v>3541.538628140624</v>
      </c>
      <c r="G547" s="2293">
        <f>(SUM('IS(M)'!T19:V19))/1000</f>
        <v>3627.4132146890629</v>
      </c>
      <c r="H547" s="2293">
        <f>(SUM('IS(M)'!W19:Y19))/1000</f>
        <v>3781.9602572515623</v>
      </c>
      <c r="I547" s="2293">
        <f>(SUM('IS(M)'!Z19:AB19))/1000</f>
        <v>3542.4553339124996</v>
      </c>
      <c r="J547" s="2293">
        <f>(SUM('IS(M)'!AC19:AE19))/1000</f>
        <v>3622.0451608441408</v>
      </c>
      <c r="K547" s="2293">
        <f>(SUM('IS(M)'!AF19:AH19))/1000</f>
        <v>3710.0666120562887</v>
      </c>
      <c r="L547" s="2294">
        <f>(SUM('IS(M)'!AI19:AK19))/1000</f>
        <v>3868.4773306828515</v>
      </c>
    </row>
    <row r="548" spans="2:12">
      <c r="B548" s="2295" t="s">
        <v>64</v>
      </c>
      <c r="C548" s="2296">
        <f t="shared" si="173"/>
        <v>1576.2266437769647</v>
      </c>
      <c r="D548" s="2296">
        <f>('IS(M)'!M20)/1000</f>
        <v>0</v>
      </c>
      <c r="E548" s="2296">
        <f>(SUM('IS(M)'!N20:P20))/1000</f>
        <v>192.43922506875001</v>
      </c>
      <c r="F548" s="2296">
        <f>(SUM('IS(M)'!Q20:S20))/1000</f>
        <v>194.98283255390626</v>
      </c>
      <c r="G548" s="2296">
        <f>(SUM('IS(M)'!T20:V20))/1000</f>
        <v>195.96641508421874</v>
      </c>
      <c r="H548" s="2296">
        <f>(SUM('IS(M)'!W20:Y20))/1000</f>
        <v>195.96641508421874</v>
      </c>
      <c r="I548" s="2296">
        <f>(SUM('IS(M)'!Z20:AB20))/1000</f>
        <v>196.75845469546874</v>
      </c>
      <c r="J548" s="2296">
        <f>(SUM('IS(M)'!AC20:AE20))/1000</f>
        <v>199.36565236775388</v>
      </c>
      <c r="K548" s="2296">
        <f>(SUM('IS(M)'!AF20:AH20))/1000</f>
        <v>200.37382446132423</v>
      </c>
      <c r="L548" s="2297">
        <f>(SUM('IS(M)'!AI20:AK20))/1000</f>
        <v>200.37382446132423</v>
      </c>
    </row>
    <row r="549" spans="2:12" ht="12.75" thickBot="1">
      <c r="B549" s="2298" t="s">
        <v>1674</v>
      </c>
      <c r="C549" s="2299">
        <f t="shared" si="173"/>
        <v>285.886429808</v>
      </c>
      <c r="D549" s="2299">
        <f>('IS(M)'!M21)/1000</f>
        <v>0</v>
      </c>
      <c r="E549" s="2299">
        <f>(SUM('IS(M)'!N21:P21))/1000</f>
        <v>35.735803726</v>
      </c>
      <c r="F549" s="2299">
        <f>(SUM('IS(M)'!Q21:S21))/1000</f>
        <v>35.735803726</v>
      </c>
      <c r="G549" s="2299">
        <f>(SUM('IS(M)'!T21:V21))/1000</f>
        <v>35.735803726</v>
      </c>
      <c r="H549" s="2299">
        <f>(SUM('IS(M)'!W21:Y21))/1000</f>
        <v>35.735803726</v>
      </c>
      <c r="I549" s="2299">
        <f>(SUM('IS(M)'!Z21:AB21))/1000</f>
        <v>35.735803726</v>
      </c>
      <c r="J549" s="2299">
        <f>(SUM('IS(M)'!AC21:AE21))/1000</f>
        <v>35.735803726</v>
      </c>
      <c r="K549" s="2299">
        <f>(SUM('IS(M)'!AF21:AH21))/1000</f>
        <v>35.735803726</v>
      </c>
      <c r="L549" s="2300">
        <f>(SUM('IS(M)'!AI21:AK21))/1000</f>
        <v>35.735803726</v>
      </c>
    </row>
    <row r="550" spans="2:12" ht="12.75" thickBot="1">
      <c r="B550" s="2289" t="s">
        <v>1212</v>
      </c>
      <c r="C550" s="2290">
        <f t="shared" si="173"/>
        <v>4452.8082600507514</v>
      </c>
      <c r="D550" s="2290">
        <f t="shared" ref="D550:L550" si="175">SUM(D551:D559)</f>
        <v>0</v>
      </c>
      <c r="E550" s="2290">
        <f t="shared" si="175"/>
        <v>566.08883688244998</v>
      </c>
      <c r="F550" s="2290">
        <f t="shared" si="175"/>
        <v>555.21546688244996</v>
      </c>
      <c r="G550" s="2290">
        <f t="shared" si="175"/>
        <v>555.21546688244996</v>
      </c>
      <c r="H550" s="2290">
        <f t="shared" si="175"/>
        <v>555.21546688244996</v>
      </c>
      <c r="I550" s="2290">
        <f t="shared" si="175"/>
        <v>555.26825563023795</v>
      </c>
      <c r="J550" s="2290">
        <f t="shared" si="175"/>
        <v>555.26825563023795</v>
      </c>
      <c r="K550" s="2290">
        <f t="shared" si="175"/>
        <v>555.26825563023795</v>
      </c>
      <c r="L550" s="2291">
        <f t="shared" si="175"/>
        <v>555.26825563023795</v>
      </c>
    </row>
    <row r="551" spans="2:12">
      <c r="B551" s="2292" t="s">
        <v>73</v>
      </c>
      <c r="C551" s="2293">
        <f t="shared" si="173"/>
        <v>120.89999999999998</v>
      </c>
      <c r="D551" s="2293">
        <f>('IS(M)'!M27)/1000</f>
        <v>0</v>
      </c>
      <c r="E551" s="2585">
        <f>(SUM('IS(M)'!N27:P27))/1000</f>
        <v>15</v>
      </c>
      <c r="F551" s="2293">
        <f>(SUM('IS(M)'!Q27:S27))/1000</f>
        <v>15</v>
      </c>
      <c r="G551" s="2293">
        <f>(SUM('IS(M)'!T27:V27))/1000</f>
        <v>15</v>
      </c>
      <c r="H551" s="2293">
        <f>(SUM('IS(M)'!W27:Y27))/1000</f>
        <v>15</v>
      </c>
      <c r="I551" s="2293">
        <f>(SUM('IS(M)'!Z27:AB27))/1000</f>
        <v>15.224999999999996</v>
      </c>
      <c r="J551" s="2293">
        <f>(SUM('IS(M)'!AC27:AE27))/1000</f>
        <v>15.224999999999996</v>
      </c>
      <c r="K551" s="2293">
        <f>(SUM('IS(M)'!AF27:AH27))/1000</f>
        <v>15.224999999999996</v>
      </c>
      <c r="L551" s="2294">
        <f>(SUM('IS(M)'!AI27:AK27))/1000</f>
        <v>15.224999999999996</v>
      </c>
    </row>
    <row r="552" spans="2:12">
      <c r="B552" s="2295" t="s">
        <v>75</v>
      </c>
      <c r="C552" s="2296">
        <f t="shared" si="173"/>
        <v>1286.7414867292916</v>
      </c>
      <c r="D552" s="2296">
        <f>('IS(M)'!M28)/1000</f>
        <v>0</v>
      </c>
      <c r="E552" s="2586">
        <f>(SUM('IS(M)'!N28:P28))/1000</f>
        <v>159.25018400114999</v>
      </c>
      <c r="F552" s="2296">
        <f>(SUM('IS(M)'!Q28:S28))/1000</f>
        <v>159.25018400114999</v>
      </c>
      <c r="G552" s="2296">
        <f>(SUM('IS(M)'!T28:V28))/1000</f>
        <v>159.25018400114999</v>
      </c>
      <c r="H552" s="2296">
        <f>(SUM('IS(M)'!W28:Y28))/1000</f>
        <v>159.25018400114999</v>
      </c>
      <c r="I552" s="2296">
        <f>(SUM('IS(M)'!Z28:AB28))/1000</f>
        <v>162.43518768117298</v>
      </c>
      <c r="J552" s="2296">
        <f>(SUM('IS(M)'!AC28:AE28))/1000</f>
        <v>162.43518768117298</v>
      </c>
      <c r="K552" s="2296">
        <f>(SUM('IS(M)'!AF28:AH28))/1000</f>
        <v>162.43518768117298</v>
      </c>
      <c r="L552" s="2297">
        <f>(SUM('IS(M)'!AI28:AK28))/1000</f>
        <v>162.43518768117298</v>
      </c>
    </row>
    <row r="553" spans="2:12" hidden="1">
      <c r="B553" s="2295" t="s">
        <v>80</v>
      </c>
      <c r="C553" s="2296">
        <f t="shared" si="173"/>
        <v>0</v>
      </c>
      <c r="D553" s="2296">
        <f>('IS(M)'!M30)/1000</f>
        <v>0</v>
      </c>
      <c r="E553" s="2586">
        <f>(SUM('IS(M)'!N30:P30))/1000</f>
        <v>0</v>
      </c>
      <c r="F553" s="2296">
        <f>(SUM('IS(M)'!Q30:S30))/1000</f>
        <v>0</v>
      </c>
      <c r="G553" s="2296">
        <f>(SUM('IS(M)'!T30:V30))/1000</f>
        <v>0</v>
      </c>
      <c r="H553" s="2296">
        <f>(SUM('IS(M)'!W30:Y30))/1000</f>
        <v>0</v>
      </c>
      <c r="I553" s="2296">
        <f>(SUM('IS(M)'!Z30:AB30))/1000</f>
        <v>0</v>
      </c>
      <c r="J553" s="2296">
        <f>(SUM('IS(M)'!AC30:AE30))/1000</f>
        <v>0</v>
      </c>
      <c r="K553" s="2296">
        <f>(SUM('IS(M)'!AF30:AH30))/1000</f>
        <v>0</v>
      </c>
      <c r="L553" s="2297">
        <f>(SUM('IS(M)'!AI30:AK30))/1000</f>
        <v>0</v>
      </c>
    </row>
    <row r="554" spans="2:12">
      <c r="B554" s="2295" t="s">
        <v>83</v>
      </c>
      <c r="C554" s="2296">
        <f t="shared" si="173"/>
        <v>1469.7237060000002</v>
      </c>
      <c r="D554" s="2296">
        <f>('IS(M)'!M31)/1000</f>
        <v>0</v>
      </c>
      <c r="E554" s="2586">
        <f>(SUM('IS(M)'!N31:P31))/1000</f>
        <v>185.57117500000001</v>
      </c>
      <c r="F554" s="2296">
        <f>(SUM('IS(M)'!Q31:S31))/1000</f>
        <v>185.57117500000001</v>
      </c>
      <c r="G554" s="2296">
        <f>(SUM('IS(M)'!T31:V31))/1000</f>
        <v>185.57117500000001</v>
      </c>
      <c r="H554" s="2296">
        <f>(SUM('IS(M)'!W31:Y31))/1000</f>
        <v>185.57117500000001</v>
      </c>
      <c r="I554" s="2296">
        <f>(SUM('IS(M)'!Z31:AB31))/1000</f>
        <v>181.85975150000002</v>
      </c>
      <c r="J554" s="2296">
        <f>(SUM('IS(M)'!AC31:AE31))/1000</f>
        <v>181.85975150000002</v>
      </c>
      <c r="K554" s="2296">
        <f>(SUM('IS(M)'!AF31:AH31))/1000</f>
        <v>181.85975150000002</v>
      </c>
      <c r="L554" s="2297">
        <f>(SUM('IS(M)'!AI31:AK31))/1000</f>
        <v>181.85975150000002</v>
      </c>
    </row>
    <row r="555" spans="2:12">
      <c r="B555" s="2295" t="s">
        <v>78</v>
      </c>
      <c r="C555" s="2296">
        <f t="shared" si="173"/>
        <v>63.006928077060003</v>
      </c>
      <c r="D555" s="2296">
        <f>('IS(M)'!M29)/1000</f>
        <v>0</v>
      </c>
      <c r="E555" s="2586">
        <f>(SUM('IS(M)'!N29:P29))/1000</f>
        <v>7.7978871382500001</v>
      </c>
      <c r="F555" s="2296">
        <f>(SUM('IS(M)'!Q29:S29))/1000</f>
        <v>7.7978871382500001</v>
      </c>
      <c r="G555" s="2296">
        <f>(SUM('IS(M)'!T29:V29))/1000</f>
        <v>7.7978871382500001</v>
      </c>
      <c r="H555" s="2296">
        <f>(SUM('IS(M)'!W29:Y29))/1000</f>
        <v>7.7978871382500001</v>
      </c>
      <c r="I555" s="2296">
        <f>(SUM('IS(M)'!Z29:AB29))/1000</f>
        <v>7.9538448810149998</v>
      </c>
      <c r="J555" s="2296">
        <f>(SUM('IS(M)'!AC29:AE29))/1000</f>
        <v>7.9538448810149998</v>
      </c>
      <c r="K555" s="2296">
        <f>(SUM('IS(M)'!AF29:AH29))/1000</f>
        <v>7.9538448810149998</v>
      </c>
      <c r="L555" s="2297">
        <f>(SUM('IS(M)'!AI29:AK29))/1000</f>
        <v>7.9538448810149998</v>
      </c>
    </row>
    <row r="556" spans="2:12">
      <c r="B556" s="2295" t="s">
        <v>1540</v>
      </c>
      <c r="C556" s="2296">
        <f t="shared" si="173"/>
        <v>41.789665944400006</v>
      </c>
      <c r="D556" s="2296">
        <f>('IS(M)'!M36)/1000</f>
        <v>0</v>
      </c>
      <c r="E556" s="2586">
        <f>(SUM('IS(M)'!N36:P36))/1000</f>
        <v>5.2237082430500008</v>
      </c>
      <c r="F556" s="2296">
        <f>(SUM('IS(M)'!Q36:S36))/1000</f>
        <v>5.2237082430500008</v>
      </c>
      <c r="G556" s="2296">
        <f>(SUM('IS(M)'!T36:V36))/1000</f>
        <v>5.2237082430500008</v>
      </c>
      <c r="H556" s="2296">
        <f>(SUM('IS(M)'!W36:Y36))/1000</f>
        <v>5.2237082430500008</v>
      </c>
      <c r="I556" s="2296">
        <f>(SUM('IS(M)'!Z36:AB36))/1000</f>
        <v>5.2237082430500008</v>
      </c>
      <c r="J556" s="2296">
        <f>(SUM('IS(M)'!AC36:AE36))/1000</f>
        <v>5.2237082430500008</v>
      </c>
      <c r="K556" s="2296">
        <f>(SUM('IS(M)'!AF36:AH36))/1000</f>
        <v>5.2237082430500008</v>
      </c>
      <c r="L556" s="2297">
        <f>(SUM('IS(M)'!AI36:AK36))/1000</f>
        <v>5.2237082430500008</v>
      </c>
    </row>
    <row r="557" spans="2:12">
      <c r="B557" s="2295" t="s">
        <v>659</v>
      </c>
      <c r="C557" s="2296">
        <f t="shared" si="173"/>
        <v>1459.7731032999998</v>
      </c>
      <c r="D557" s="2296">
        <f>SUM('IS(M)'!M32:M35)/1000</f>
        <v>0</v>
      </c>
      <c r="E557" s="2586">
        <f>SUM('IS(M)'!N32:P35)/1000</f>
        <v>182.3725125</v>
      </c>
      <c r="F557" s="2296">
        <f>SUM('IS(M)'!Q32:S35)/1000</f>
        <v>182.3725125</v>
      </c>
      <c r="G557" s="2296">
        <f>SUM('IS(M)'!T32:V35)/1000</f>
        <v>182.3725125</v>
      </c>
      <c r="H557" s="2296">
        <f>SUM('IS(M)'!W32:Y35)/1000</f>
        <v>182.3725125</v>
      </c>
      <c r="I557" s="2296">
        <f>SUM('IS(M)'!Z32:AB35)/1000</f>
        <v>182.570763325</v>
      </c>
      <c r="J557" s="2296">
        <f>SUM('IS(M)'!AC32:AE35)/1000</f>
        <v>182.570763325</v>
      </c>
      <c r="K557" s="2296">
        <f>SUM('IS(M)'!AF32:AH35)/1000</f>
        <v>182.570763325</v>
      </c>
      <c r="L557" s="2297">
        <f>SUM('IS(M)'!AI32:AK35)/1000</f>
        <v>182.570763325</v>
      </c>
    </row>
    <row r="558" spans="2:12" ht="12.75" thickBot="1">
      <c r="B558" s="2295" t="s">
        <v>468</v>
      </c>
      <c r="C558" s="2296">
        <f t="shared" si="173"/>
        <v>10.87337</v>
      </c>
      <c r="D558" s="2296">
        <f>('IS(M)'!M37)/1000</f>
        <v>0</v>
      </c>
      <c r="E558" s="2586">
        <f>(SUM('IS(M)'!N37:P37))/1000</f>
        <v>10.87337</v>
      </c>
      <c r="F558" s="2296">
        <f>(SUM('IS(M)'!Q37:S37))/1000</f>
        <v>0</v>
      </c>
      <c r="G558" s="2296">
        <f>(SUM('IS(M)'!T37:V37))/1000</f>
        <v>0</v>
      </c>
      <c r="H558" s="2296">
        <f>(SUM('IS(M)'!W37:Y37))/1000</f>
        <v>0</v>
      </c>
      <c r="I558" s="2296">
        <f>(SUM('IS(M)'!Z37:AB37))/1000</f>
        <v>0</v>
      </c>
      <c r="J558" s="2296">
        <f>(SUM('IS(M)'!AC37:AE37))/1000</f>
        <v>0</v>
      </c>
      <c r="K558" s="2296">
        <f>(SUM('IS(M)'!AF37:AH37))/1000</f>
        <v>0</v>
      </c>
      <c r="L558" s="2297">
        <f>(SUM('IS(M)'!AI37:AK37))/1000</f>
        <v>0</v>
      </c>
    </row>
    <row r="559" spans="2:12" ht="12.75" hidden="1" thickBot="1">
      <c r="B559" s="2298" t="s">
        <v>462</v>
      </c>
      <c r="C559" s="2299">
        <f t="shared" si="173"/>
        <v>0</v>
      </c>
      <c r="D559" s="2299">
        <v>0</v>
      </c>
      <c r="E559" s="2299">
        <v>0</v>
      </c>
      <c r="F559" s="2299">
        <v>0</v>
      </c>
      <c r="G559" s="2299">
        <v>0</v>
      </c>
      <c r="H559" s="2299">
        <v>0</v>
      </c>
      <c r="I559" s="2299">
        <v>0</v>
      </c>
      <c r="J559" s="2299">
        <v>0</v>
      </c>
      <c r="K559" s="2299">
        <v>0</v>
      </c>
      <c r="L559" s="2300">
        <v>0</v>
      </c>
    </row>
    <row r="560" spans="2:12" ht="12.75" thickBot="1">
      <c r="B560" s="2289" t="s">
        <v>1476</v>
      </c>
      <c r="C560" s="2290">
        <f t="shared" si="173"/>
        <v>26567.151367611241</v>
      </c>
      <c r="D560" s="2290">
        <f t="shared" ref="D560:L560" si="176">D546-D550</f>
        <v>0</v>
      </c>
      <c r="E560" s="2290">
        <f t="shared" si="176"/>
        <v>3125.9762084123004</v>
      </c>
      <c r="F560" s="2290">
        <f t="shared" si="176"/>
        <v>3217.0417975380801</v>
      </c>
      <c r="G560" s="2290">
        <f t="shared" si="176"/>
        <v>3303.8999666168315</v>
      </c>
      <c r="H560" s="2290">
        <f t="shared" si="176"/>
        <v>3458.447009179331</v>
      </c>
      <c r="I560" s="2290">
        <f t="shared" si="176"/>
        <v>3219.6813367037303</v>
      </c>
      <c r="J560" s="2290">
        <f t="shared" si="176"/>
        <v>3301.8783613076566</v>
      </c>
      <c r="K560" s="2290">
        <f t="shared" si="176"/>
        <v>3390.907984613375</v>
      </c>
      <c r="L560" s="2291">
        <f t="shared" si="176"/>
        <v>3549.3187032399373</v>
      </c>
    </row>
    <row r="561" spans="2:12" ht="12.75" thickBot="1">
      <c r="B561" s="2289" t="s">
        <v>1505</v>
      </c>
      <c r="C561" s="2290">
        <f t="shared" ca="1" si="173"/>
        <v>-26217.970365799087</v>
      </c>
      <c r="D561" s="2290">
        <f t="shared" ref="D561:L561" si="177">SUM(D562:D567)</f>
        <v>0</v>
      </c>
      <c r="E561" s="2290">
        <f t="shared" ca="1" si="177"/>
        <v>-3384.0215391851561</v>
      </c>
      <c r="F561" s="2290">
        <f t="shared" ca="1" si="177"/>
        <v>-3235.3768225996942</v>
      </c>
      <c r="G561" s="2290">
        <f t="shared" ca="1" si="177"/>
        <v>-3255.926946597493</v>
      </c>
      <c r="H561" s="2290">
        <f t="shared" ca="1" si="177"/>
        <v>-3247.0968641206387</v>
      </c>
      <c r="I561" s="2290">
        <f t="shared" ca="1" si="177"/>
        <v>-3272.6552598170015</v>
      </c>
      <c r="J561" s="2290">
        <f t="shared" ca="1" si="177"/>
        <v>-3267.0639138757406</v>
      </c>
      <c r="K561" s="2290">
        <f t="shared" ca="1" si="177"/>
        <v>-3282.3138177736346</v>
      </c>
      <c r="L561" s="2291">
        <f t="shared" ca="1" si="177"/>
        <v>-3273.5152018297272</v>
      </c>
    </row>
    <row r="562" spans="2:12">
      <c r="B562" s="2292" t="s">
        <v>1022</v>
      </c>
      <c r="C562" s="2293">
        <f t="shared" ca="1" si="173"/>
        <v>602.0411675443994</v>
      </c>
      <c r="D562" s="2293">
        <f>('IS(M)'!M44)/1000</f>
        <v>0</v>
      </c>
      <c r="E562" s="2293">
        <f ca="1">(SUM('IS(M)'!N44:P44))/1000</f>
        <v>95.037744158328977</v>
      </c>
      <c r="F562" s="2293">
        <f ca="1">(SUM('IS(M)'!Q44:S44))/1000</f>
        <v>99.044927400305838</v>
      </c>
      <c r="G562" s="2293">
        <f ca="1">(SUM('IS(M)'!T44:V44))/1000</f>
        <v>78.494803402506932</v>
      </c>
      <c r="H562" s="2293">
        <f ca="1">(SUM('IS(M)'!W44:Y44))/1000</f>
        <v>87.324885879361503</v>
      </c>
      <c r="I562" s="2293">
        <f ca="1">(SUM('IS(M)'!Z44:AB44))/1000</f>
        <v>61.766490182998339</v>
      </c>
      <c r="J562" s="2293">
        <f ca="1">(SUM('IS(M)'!AC44:AE44))/1000</f>
        <v>67.357836124259322</v>
      </c>
      <c r="K562" s="2293">
        <f ca="1">(SUM('IS(M)'!AF44:AH44))/1000</f>
        <v>52.107932226365328</v>
      </c>
      <c r="L562" s="2294">
        <f ca="1">(SUM('IS(M)'!AI44:AK44))/1000</f>
        <v>60.906548170273091</v>
      </c>
    </row>
    <row r="563" spans="2:12">
      <c r="B563" s="2295" t="s">
        <v>1607</v>
      </c>
      <c r="C563" s="2296">
        <f t="shared" si="173"/>
        <v>-15280</v>
      </c>
      <c r="D563" s="2296">
        <f>-('IS(M)'!M47+'IS(M)'!M48+'IS(M)'!M49)/1000</f>
        <v>0</v>
      </c>
      <c r="E563" s="2296">
        <f>-(SUM('IS(M)'!N47:P47)+SUM('IS(M)'!N48:P48)+SUM('IS(M)'!N49:P49))/1000</f>
        <v>-1910</v>
      </c>
      <c r="F563" s="2296">
        <f>-(SUM('IS(M)'!Q47:S47)+SUM('IS(M)'!Q48:S48)+SUM('IS(M)'!Q49:S49))/1000</f>
        <v>-1910</v>
      </c>
      <c r="G563" s="2296">
        <f>-(SUM('IS(M)'!T47:V47)+SUM('IS(M)'!T48:V48)+SUM('IS(M)'!T49:V49))/1000</f>
        <v>-1910</v>
      </c>
      <c r="H563" s="2296">
        <f>-(SUM('IS(M)'!W47:Y47)+SUM('IS(M)'!W48:Y48)+SUM('IS(M)'!W49:Y49))/1000</f>
        <v>-1910</v>
      </c>
      <c r="I563" s="2296">
        <f>-(SUM('IS(M)'!Z47:AB47)+SUM('IS(M)'!Z48:AB48)+SUM('IS(M)'!Z49:AB49))/1000</f>
        <v>-1910</v>
      </c>
      <c r="J563" s="2296">
        <f>-(SUM('IS(M)'!AC47:AE47)+SUM('IS(M)'!AC48:AE48)+SUM('IS(M)'!AC49:AE49))/1000</f>
        <v>-1910</v>
      </c>
      <c r="K563" s="2296">
        <f>-(SUM('IS(M)'!AF47:AH47)+SUM('IS(M)'!AF48:AH48)+SUM('IS(M)'!AF49:AH49))/1000</f>
        <v>-1910</v>
      </c>
      <c r="L563" s="2297">
        <f>-(SUM('IS(M)'!AI47:AK47)+SUM('IS(M)'!AI48:AK48)+SUM('IS(M)'!AI49:AK49))/1000</f>
        <v>-1910</v>
      </c>
    </row>
    <row r="564" spans="2:12">
      <c r="B564" s="2295" t="s">
        <v>1541</v>
      </c>
      <c r="C564" s="2296">
        <f t="shared" si="173"/>
        <v>-4560</v>
      </c>
      <c r="D564" s="2296">
        <f>-('IS(M)'!M50+'IS(M)'!M51+'IS(M)'!M52)/1000</f>
        <v>0</v>
      </c>
      <c r="E564" s="2296">
        <f>-(SUM('IS(M)'!N50:P50)+SUM('IS(M)'!N51:P51)+SUM('IS(M)'!N52:P52))/1000</f>
        <v>-570</v>
      </c>
      <c r="F564" s="2296">
        <f>-(SUM('IS(M)'!Q50:S50)+SUM('IS(M)'!Q51:S51)+SUM('IS(M)'!Q52:S52))/1000</f>
        <v>-570</v>
      </c>
      <c r="G564" s="2296">
        <f>-(SUM('IS(M)'!T50:V50)+SUM('IS(M)'!T51:V51)+SUM('IS(M)'!T52:V52))/1000</f>
        <v>-570</v>
      </c>
      <c r="H564" s="2296">
        <f>-(SUM('IS(M)'!W50:Y50)+SUM('IS(M)'!W51:Y51)+SUM('IS(M)'!W52:Y52))/1000</f>
        <v>-570</v>
      </c>
      <c r="I564" s="2296">
        <f>-(SUM('IS(M)'!Z50:AB50)+SUM('IS(M)'!Z51:AB51)+SUM('IS(M)'!Z52:AB52))/1000</f>
        <v>-570</v>
      </c>
      <c r="J564" s="2296">
        <f>-(SUM('IS(M)'!AC50:AE50)+SUM('IS(M)'!AC51:AE51)+SUM('IS(M)'!AC52:AE52))/1000</f>
        <v>-570</v>
      </c>
      <c r="K564" s="2296">
        <f>-(SUM('IS(M)'!AF50:AH50)+SUM('IS(M)'!AF51:AH51)+SUM('IS(M)'!AF52:AH52))/1000</f>
        <v>-570</v>
      </c>
      <c r="L564" s="2297">
        <f>-(SUM('IS(M)'!AI50:AK50)+SUM('IS(M)'!AI51:AK51)+SUM('IS(M)'!AI52:AK52))/1000</f>
        <v>-570</v>
      </c>
    </row>
    <row r="565" spans="2:12">
      <c r="B565" s="2295" t="s">
        <v>1608</v>
      </c>
      <c r="C565" s="2296">
        <f t="shared" si="173"/>
        <v>-144.63753334348496</v>
      </c>
      <c r="D565" s="2296">
        <f>-('IS(M)'!M53)/1000</f>
        <v>0</v>
      </c>
      <c r="E565" s="2296">
        <f>-(SUM('IS(M)'!N53:P53))/1000</f>
        <v>-144.63753334348496</v>
      </c>
      <c r="F565" s="2296">
        <f>-(SUM('IS(M)'!Q53:S53))/1000</f>
        <v>0</v>
      </c>
      <c r="G565" s="2296">
        <f>-(SUM('IS(M)'!T53:V53))/1000</f>
        <v>0</v>
      </c>
      <c r="H565" s="2296">
        <f>-(SUM('IS(M)'!W53:Y53))/1000</f>
        <v>0</v>
      </c>
      <c r="I565" s="2296">
        <f>-(SUM('IS(M)'!Z53:AB53))/1000</f>
        <v>0</v>
      </c>
      <c r="J565" s="2296">
        <f>-(SUM('IS(M)'!AC53:AE53))/1000</f>
        <v>0</v>
      </c>
      <c r="K565" s="2296">
        <f>-(SUM('IS(M)'!AF53:AH53))/1000</f>
        <v>0</v>
      </c>
      <c r="L565" s="2297">
        <f>-(SUM('IS(M)'!AI53:AK53))/1000</f>
        <v>0</v>
      </c>
    </row>
    <row r="566" spans="2:12" ht="12.75" thickBot="1">
      <c r="B566" s="2295" t="s">
        <v>1214</v>
      </c>
      <c r="C566" s="2296">
        <f t="shared" si="173"/>
        <v>-6835.373999999998</v>
      </c>
      <c r="D566" s="2296">
        <f>-('IS(M)'!M26)/1000</f>
        <v>0</v>
      </c>
      <c r="E566" s="2296">
        <f>-(SUM('IS(M)'!N26:P26))/1000</f>
        <v>-854.42174999999997</v>
      </c>
      <c r="F566" s="2296">
        <f>-(SUM('IS(M)'!Q26:S26))/1000</f>
        <v>-854.42174999999997</v>
      </c>
      <c r="G566" s="2296">
        <f>-(SUM('IS(M)'!T26:V26))/1000</f>
        <v>-854.42174999999997</v>
      </c>
      <c r="H566" s="2296">
        <f>-(SUM('IS(M)'!W26:Y26))/1000</f>
        <v>-854.42174999999997</v>
      </c>
      <c r="I566" s="2296">
        <f>-(SUM('IS(M)'!Z26:AB26))/1000</f>
        <v>-854.42174999999997</v>
      </c>
      <c r="J566" s="2296">
        <f>-(SUM('IS(M)'!AC26:AE26))/1000</f>
        <v>-854.42174999999997</v>
      </c>
      <c r="K566" s="2296">
        <f>-(SUM('IS(M)'!AF26:AH26))/1000</f>
        <v>-854.42174999999997</v>
      </c>
      <c r="L566" s="2297">
        <f>-(SUM('IS(M)'!AI26:AK26))/1000</f>
        <v>-854.42174999999997</v>
      </c>
    </row>
    <row r="567" spans="2:12" ht="12.75" hidden="1" thickBot="1">
      <c r="B567" s="2298" t="s">
        <v>1506</v>
      </c>
      <c r="C567" s="2299">
        <f t="shared" si="173"/>
        <v>0</v>
      </c>
      <c r="D567" s="2299">
        <f>('IS(M)'!M45)/1000</f>
        <v>0</v>
      </c>
      <c r="E567" s="2299">
        <f>(SUM('IS(M)'!N45:P45))/1000</f>
        <v>0</v>
      </c>
      <c r="F567" s="2299">
        <f>(SUM('IS(M)'!Q45:S45))/1000</f>
        <v>0</v>
      </c>
      <c r="G567" s="2299">
        <f>(SUM('IS(M)'!T45:V45))/1000</f>
        <v>0</v>
      </c>
      <c r="H567" s="2299">
        <f>(SUM('IS(M)'!W45:Y45))/1000</f>
        <v>0</v>
      </c>
      <c r="I567" s="2299">
        <f>(SUM('IS(M)'!Z45:AB45))/1000</f>
        <v>0</v>
      </c>
      <c r="J567" s="2299">
        <f>(SUM('IS(M)'!AC45:AE45))/1000</f>
        <v>0</v>
      </c>
      <c r="K567" s="2299">
        <f>(SUM('IS(M)'!AF45:AH45))/1000</f>
        <v>0</v>
      </c>
      <c r="L567" s="2300">
        <f>(SUM('IS(M)'!AI45:AK45))/1000</f>
        <v>0</v>
      </c>
    </row>
    <row r="568" spans="2:12" ht="12.75" thickBot="1">
      <c r="B568" s="2289" t="s">
        <v>1507</v>
      </c>
      <c r="C568" s="2290">
        <f t="shared" si="173"/>
        <v>1603.0836817420438</v>
      </c>
      <c r="D568" s="2290">
        <f t="shared" ref="D568:L568" si="178">SUM(D569:D573)</f>
        <v>0</v>
      </c>
      <c r="E568" s="2290">
        <f t="shared" si="178"/>
        <v>200.14546021775547</v>
      </c>
      <c r="F568" s="2290">
        <f t="shared" si="178"/>
        <v>200.14546021775547</v>
      </c>
      <c r="G568" s="2290">
        <f t="shared" si="178"/>
        <v>200.14546021775547</v>
      </c>
      <c r="H568" s="2290">
        <f t="shared" si="178"/>
        <v>200.14546021775547</v>
      </c>
      <c r="I568" s="2290">
        <f t="shared" si="178"/>
        <v>200.62546021775546</v>
      </c>
      <c r="J568" s="2290">
        <f t="shared" si="178"/>
        <v>200.62546021775546</v>
      </c>
      <c r="K568" s="2290">
        <f t="shared" si="178"/>
        <v>200.62546021775546</v>
      </c>
      <c r="L568" s="2291">
        <f t="shared" si="178"/>
        <v>200.62546021775546</v>
      </c>
    </row>
    <row r="569" spans="2:12">
      <c r="B569" s="2292" t="s">
        <v>190</v>
      </c>
      <c r="C569" s="2293">
        <f t="shared" si="173"/>
        <v>1333.0940000000003</v>
      </c>
      <c r="D569" s="2293">
        <f>('IS(M)'!M38)/1000</f>
        <v>0</v>
      </c>
      <c r="E569" s="2293">
        <f>(SUM('IS(M)'!N38:P38))/1000</f>
        <v>166.63675000000003</v>
      </c>
      <c r="F569" s="2293">
        <f>(SUM('IS(M)'!Q38:S38))/1000</f>
        <v>166.63675000000003</v>
      </c>
      <c r="G569" s="2293">
        <f>(SUM('IS(M)'!T38:V38))/1000</f>
        <v>166.63675000000003</v>
      </c>
      <c r="H569" s="2293">
        <f>(SUM('IS(M)'!W38:Y38))/1000</f>
        <v>166.63675000000003</v>
      </c>
      <c r="I569" s="2293">
        <f>(SUM('IS(M)'!Z38:AB38))/1000</f>
        <v>166.63675000000003</v>
      </c>
      <c r="J569" s="2293">
        <f>(SUM('IS(M)'!AC38:AE38))/1000</f>
        <v>166.63675000000003</v>
      </c>
      <c r="K569" s="2293">
        <f>(SUM('IS(M)'!AF38:AH38))/1000</f>
        <v>166.63675000000003</v>
      </c>
      <c r="L569" s="2294">
        <f>(SUM('IS(M)'!AI38:AK38))/1000</f>
        <v>166.63675000000003</v>
      </c>
    </row>
    <row r="570" spans="2:12">
      <c r="B570" s="2295" t="s">
        <v>192</v>
      </c>
      <c r="C570" s="2296">
        <f t="shared" si="173"/>
        <v>52.069681742043549</v>
      </c>
      <c r="D570" s="2296">
        <f>('IS(M)'!M40)/1000</f>
        <v>0</v>
      </c>
      <c r="E570" s="2296">
        <f>(SUM('IS(M)'!N40:P40))/1000</f>
        <v>6.5087102177554446</v>
      </c>
      <c r="F570" s="2296">
        <f>(SUM('IS(M)'!Q40:S40))/1000</f>
        <v>6.5087102177554446</v>
      </c>
      <c r="G570" s="2296">
        <f>(SUM('IS(M)'!T40:V40))/1000</f>
        <v>6.5087102177554446</v>
      </c>
      <c r="H570" s="2296">
        <f>(SUM('IS(M)'!W40:Y40))/1000</f>
        <v>6.5087102177554446</v>
      </c>
      <c r="I570" s="2296">
        <f>(SUM('IS(M)'!Z40:AB40))/1000</f>
        <v>6.5087102177554446</v>
      </c>
      <c r="J570" s="2296">
        <f>(SUM('IS(M)'!AC40:AE40))/1000</f>
        <v>6.5087102177554446</v>
      </c>
      <c r="K570" s="2296">
        <f>(SUM('IS(M)'!AF40:AH40))/1000</f>
        <v>6.5087102177554446</v>
      </c>
      <c r="L570" s="2297">
        <f>(SUM('IS(M)'!AI40:AK40))/1000</f>
        <v>6.5087102177554446</v>
      </c>
    </row>
    <row r="571" spans="2:12">
      <c r="B571" s="2295" t="s">
        <v>150</v>
      </c>
      <c r="C571" s="2296">
        <f t="shared" si="173"/>
        <v>24</v>
      </c>
      <c r="D571" s="2296">
        <f>('IS(M)'!M39)/1000</f>
        <v>0</v>
      </c>
      <c r="E571" s="2296">
        <f>(SUM('IS(M)'!N39:P39))/1000</f>
        <v>3</v>
      </c>
      <c r="F571" s="2296">
        <f>(SUM('IS(M)'!Q39:S39))/1000</f>
        <v>3</v>
      </c>
      <c r="G571" s="2296">
        <f>(SUM('IS(M)'!T39:V39))/1000</f>
        <v>3</v>
      </c>
      <c r="H571" s="2296">
        <f>(SUM('IS(M)'!W39:Y39))/1000</f>
        <v>3</v>
      </c>
      <c r="I571" s="2296">
        <f>(SUM('IS(M)'!Z39:AB39))/1000</f>
        <v>3</v>
      </c>
      <c r="J571" s="2296">
        <f>(SUM('IS(M)'!AC39:AE39))/1000</f>
        <v>3</v>
      </c>
      <c r="K571" s="2296">
        <f>(SUM('IS(M)'!AF39:AH39))/1000</f>
        <v>3</v>
      </c>
      <c r="L571" s="2297">
        <f>(SUM('IS(M)'!AI39:AK39))/1000</f>
        <v>3</v>
      </c>
    </row>
    <row r="572" spans="2:12">
      <c r="B572" s="2295" t="s">
        <v>533</v>
      </c>
      <c r="C572" s="2296">
        <f t="shared" si="173"/>
        <v>145.44</v>
      </c>
      <c r="D572" s="2296">
        <f>('IS(M)'!M41)/1000</f>
        <v>0</v>
      </c>
      <c r="E572" s="2296">
        <f>(SUM('IS(M)'!N41:P41))/1000</f>
        <v>18</v>
      </c>
      <c r="F572" s="2296">
        <f>(SUM('IS(M)'!Q41:S41))/1000</f>
        <v>18</v>
      </c>
      <c r="G572" s="2296">
        <f>(SUM('IS(M)'!T41:V41))/1000</f>
        <v>18</v>
      </c>
      <c r="H572" s="2296">
        <f>(SUM('IS(M)'!W41:Y41))/1000</f>
        <v>18</v>
      </c>
      <c r="I572" s="2296">
        <f>(SUM('IS(M)'!Z41:AB41))/1000</f>
        <v>18.36</v>
      </c>
      <c r="J572" s="2296">
        <f>(SUM('IS(M)'!AC41:AE41))/1000</f>
        <v>18.36</v>
      </c>
      <c r="K572" s="2296">
        <f>(SUM('IS(M)'!AF41:AH41))/1000</f>
        <v>18.36</v>
      </c>
      <c r="L572" s="2297">
        <f>(SUM('IS(M)'!AI41:AK41))/1000</f>
        <v>18.36</v>
      </c>
    </row>
    <row r="573" spans="2:12" ht="12.75" thickBot="1">
      <c r="B573" s="2295" t="s">
        <v>463</v>
      </c>
      <c r="C573" s="2296">
        <f t="shared" si="173"/>
        <v>48.48</v>
      </c>
      <c r="D573" s="2296">
        <f>('IS(M)'!M25)/1000</f>
        <v>0</v>
      </c>
      <c r="E573" s="2296">
        <f>(SUM('IS(M)'!N25:P25))/1000</f>
        <v>6</v>
      </c>
      <c r="F573" s="2296">
        <f>(SUM('IS(M)'!Q25:S25))/1000</f>
        <v>6</v>
      </c>
      <c r="G573" s="2296">
        <f>(SUM('IS(M)'!T25:V25))/1000</f>
        <v>6</v>
      </c>
      <c r="H573" s="2296">
        <f>(SUM('IS(M)'!W25:Y25))/1000</f>
        <v>6</v>
      </c>
      <c r="I573" s="2296">
        <f>(SUM('IS(M)'!Z25:AB25))/1000</f>
        <v>6.12</v>
      </c>
      <c r="J573" s="2296">
        <f>(SUM('IS(M)'!AC25:AE25))/1000</f>
        <v>6.12</v>
      </c>
      <c r="K573" s="2296">
        <f>(SUM('IS(M)'!AF25:AH25))/1000</f>
        <v>6.12</v>
      </c>
      <c r="L573" s="2297">
        <f>(SUM('IS(M)'!AI25:AK25))/1000</f>
        <v>6.12</v>
      </c>
    </row>
    <row r="574" spans="2:12" ht="12.75" thickBot="1">
      <c r="B574" s="2289" t="s">
        <v>538</v>
      </c>
      <c r="C574" s="2290">
        <f t="shared" ca="1" si="173"/>
        <v>-1253.9026799298877</v>
      </c>
      <c r="D574" s="2290">
        <f t="shared" ref="D574:L574" si="179">D560+D561-D568</f>
        <v>0</v>
      </c>
      <c r="E574" s="2290">
        <f t="shared" ca="1" si="179"/>
        <v>-458.19079099061128</v>
      </c>
      <c r="F574" s="2290">
        <f t="shared" ca="1" si="179"/>
        <v>-218.4804852793695</v>
      </c>
      <c r="G574" s="2290">
        <f t="shared" ca="1" si="179"/>
        <v>-152.17244019841698</v>
      </c>
      <c r="H574" s="2290">
        <f t="shared" ca="1" si="179"/>
        <v>11.204684840936835</v>
      </c>
      <c r="I574" s="2290">
        <f t="shared" ca="1" si="179"/>
        <v>-253.59938333102667</v>
      </c>
      <c r="J574" s="2290">
        <f t="shared" ca="1" si="179"/>
        <v>-165.81101278583941</v>
      </c>
      <c r="K574" s="2290">
        <f t="shared" ca="1" si="179"/>
        <v>-92.03129337801505</v>
      </c>
      <c r="L574" s="2291">
        <f t="shared" ca="1" si="179"/>
        <v>75.178041192454714</v>
      </c>
    </row>
    <row r="575" spans="2:12">
      <c r="C575" s="2270">
        <f ca="1">SUM(E144:F144)</f>
        <v>-1253.9026799298845</v>
      </c>
    </row>
    <row r="576" spans="2:12">
      <c r="B576" s="2306" t="s">
        <v>567</v>
      </c>
      <c r="C576" s="2496" t="b">
        <f ca="1">C574=C575</f>
        <v>0</v>
      </c>
    </row>
    <row r="578" spans="1:15">
      <c r="D578" s="2270"/>
      <c r="E578" s="2270"/>
      <c r="F578" s="2270"/>
      <c r="G578" s="2270"/>
      <c r="H578" s="2270"/>
      <c r="I578" s="2270"/>
      <c r="J578" s="2270"/>
      <c r="K578" s="2270"/>
      <c r="L578" s="2270"/>
    </row>
    <row r="582" spans="1:15">
      <c r="A582" s="2234" t="s">
        <v>1664</v>
      </c>
    </row>
    <row r="583" spans="1:15">
      <c r="B583" s="2812" t="s">
        <v>1449</v>
      </c>
      <c r="C583" s="2814" t="s">
        <v>1460</v>
      </c>
      <c r="D583" s="2412" t="str">
        <f t="shared" ref="D583:L583" si="180">D544</f>
        <v>26.10</v>
      </c>
      <c r="E583" s="2412" t="str">
        <f t="shared" si="180"/>
        <v>27.01</v>
      </c>
      <c r="F583" s="2412" t="str">
        <f t="shared" si="180"/>
        <v>27.04</v>
      </c>
      <c r="G583" s="2412" t="str">
        <f t="shared" si="180"/>
        <v>27.07</v>
      </c>
      <c r="H583" s="2412" t="str">
        <f t="shared" si="180"/>
        <v>27.10</v>
      </c>
      <c r="I583" s="2412" t="str">
        <f t="shared" si="180"/>
        <v>28.01</v>
      </c>
      <c r="J583" s="2412" t="str">
        <f t="shared" si="180"/>
        <v>28.04</v>
      </c>
      <c r="K583" s="2412" t="str">
        <f t="shared" si="180"/>
        <v>28.07</v>
      </c>
      <c r="L583" s="2413" t="str">
        <f t="shared" si="180"/>
        <v>28.10</v>
      </c>
    </row>
    <row r="584" spans="1:15" ht="12.75" thickBot="1">
      <c r="B584" s="2813"/>
      <c r="C584" s="2815"/>
      <c r="D584" s="2285" t="str">
        <f t="shared" ref="D584:L584" si="181">D545</f>
        <v>투자일</v>
      </c>
      <c r="E584" s="2492">
        <f t="shared" si="181"/>
        <v>1</v>
      </c>
      <c r="F584" s="2492">
        <f t="shared" si="181"/>
        <v>2</v>
      </c>
      <c r="G584" s="2492">
        <f t="shared" si="181"/>
        <v>3</v>
      </c>
      <c r="H584" s="2492">
        <f t="shared" si="181"/>
        <v>4</v>
      </c>
      <c r="I584" s="2492">
        <f t="shared" si="181"/>
        <v>5</v>
      </c>
      <c r="J584" s="2492">
        <f t="shared" si="181"/>
        <v>6</v>
      </c>
      <c r="K584" s="2492">
        <f t="shared" si="181"/>
        <v>7</v>
      </c>
      <c r="L584" s="2493">
        <f t="shared" si="181"/>
        <v>8</v>
      </c>
    </row>
    <row r="585" spans="1:15" ht="12.75" thickBot="1">
      <c r="B585" s="2289" t="s">
        <v>1543</v>
      </c>
      <c r="C585" s="2304">
        <f t="shared" ref="C585:C630" ca="1" si="182">SUM(D585:L585)</f>
        <v>5776.1097777284458</v>
      </c>
      <c r="D585" s="2304">
        <f t="shared" ref="D585:L585" ca="1" si="183">D599+D600-D605</f>
        <v>0</v>
      </c>
      <c r="E585" s="2304">
        <f t="shared" ca="1" si="183"/>
        <v>27.891305060477492</v>
      </c>
      <c r="F585" s="2304">
        <f t="shared" ca="1" si="183"/>
        <v>976.37624200287564</v>
      </c>
      <c r="G585" s="2304">
        <f t="shared" ca="1" si="183"/>
        <v>943.01291751933798</v>
      </c>
      <c r="H585" s="2305">
        <f t="shared" ca="1" si="183"/>
        <v>844.71671045651465</v>
      </c>
      <c r="I585" s="2305">
        <f t="shared" ca="1" si="183"/>
        <v>136.20832867839496</v>
      </c>
      <c r="J585" s="2305">
        <f t="shared" ca="1" si="183"/>
        <v>1025.172541821405</v>
      </c>
      <c r="K585" s="2305">
        <f t="shared" ca="1" si="183"/>
        <v>945.34418586474021</v>
      </c>
      <c r="L585" s="2305">
        <f t="shared" ca="1" si="183"/>
        <v>877.3875463246992</v>
      </c>
      <c r="N585" s="2270">
        <f ca="1">SUM(D155:F155)</f>
        <v>5776.1097777284485</v>
      </c>
      <c r="O585" s="2270">
        <f ca="1">N585-C585</f>
        <v>0</v>
      </c>
    </row>
    <row r="586" spans="1:15" ht="12.75" thickBot="1">
      <c r="B586" s="2289" t="s">
        <v>1604</v>
      </c>
      <c r="C586" s="2304">
        <f t="shared" si="182"/>
        <v>31019.959627661992</v>
      </c>
      <c r="D586" s="2304">
        <f t="shared" ref="D586:L586" si="184">SUM(D587:D589)</f>
        <v>0</v>
      </c>
      <c r="E586" s="2304">
        <f t="shared" si="184"/>
        <v>3692.0650452947502</v>
      </c>
      <c r="F586" s="2304">
        <f>SUM(F587:F589)</f>
        <v>3772.2572644205306</v>
      </c>
      <c r="G586" s="2304">
        <f t="shared" si="184"/>
        <v>3859.1154334992812</v>
      </c>
      <c r="H586" s="2305">
        <f t="shared" si="184"/>
        <v>4013.6624760617806</v>
      </c>
      <c r="I586" s="2305">
        <f t="shared" si="184"/>
        <v>3774.9495923339682</v>
      </c>
      <c r="J586" s="2305">
        <f t="shared" si="184"/>
        <v>3857.1466169378946</v>
      </c>
      <c r="K586" s="2305">
        <f t="shared" si="184"/>
        <v>3946.1762402436129</v>
      </c>
      <c r="L586" s="2305">
        <f t="shared" si="184"/>
        <v>4104.5869588701753</v>
      </c>
      <c r="N586" s="2270">
        <f t="shared" ref="N586:N637" si="185">SUM(D156:F156)</f>
        <v>31019.959627661992</v>
      </c>
      <c r="O586" s="2270">
        <f t="shared" ref="O586:O637" si="186">N586-C586</f>
        <v>0</v>
      </c>
    </row>
    <row r="587" spans="1:15">
      <c r="B587" s="2292" t="s">
        <v>269</v>
      </c>
      <c r="C587" s="2293">
        <f t="shared" si="182"/>
        <v>29157.846554077027</v>
      </c>
      <c r="D587" s="2293">
        <f>('CF(M)'!L16+'CF(M)'!L17)/1000</f>
        <v>0</v>
      </c>
      <c r="E587" s="2293">
        <f>(SUM('CF(M)'!M16:O16)+SUM('CF(M)'!M17:O17))/1000</f>
        <v>3463.8900165</v>
      </c>
      <c r="F587" s="2293">
        <f>(SUM('CF(M)'!P16:R16)+SUM('CF(M)'!P17:R17))/1000</f>
        <v>3541.5386281406245</v>
      </c>
      <c r="G587" s="2293">
        <f>(SUM('CF(M)'!S16:U16)+SUM('CF(M)'!S17:U17))/1000</f>
        <v>3627.4132146890624</v>
      </c>
      <c r="H587" s="2294">
        <f>(SUM('CF(M)'!V16:X16)+SUM('CF(M)'!V17:X17))/1000</f>
        <v>3781.9602572515619</v>
      </c>
      <c r="I587" s="2294">
        <f>(SUM('CF(M)'!Y16:AA16)+SUM('CF(M)'!Y17:AA17))/1000</f>
        <v>3542.4553339124996</v>
      </c>
      <c r="J587" s="2294">
        <f>(SUM('CF(M)'!AB16:AD16)+SUM('CF(M)'!AB17:AD17))/1000</f>
        <v>3622.0451608441408</v>
      </c>
      <c r="K587" s="2294">
        <f>(SUM('CF(M)'!AE16:AG16)+SUM('CF(M)'!AE17:AG17))/1000</f>
        <v>3710.0666120562887</v>
      </c>
      <c r="L587" s="2294">
        <f>(SUM('CF(M)'!AH16:AJ16)+SUM('CF(M)'!AH17:AJ17))/1000</f>
        <v>3868.4773306828515</v>
      </c>
      <c r="N587" s="2270">
        <f t="shared" si="185"/>
        <v>29157.846554077027</v>
      </c>
      <c r="O587" s="2270">
        <f t="shared" si="186"/>
        <v>0</v>
      </c>
    </row>
    <row r="588" spans="1:15">
      <c r="B588" s="2295" t="s">
        <v>64</v>
      </c>
      <c r="C588" s="2296">
        <f t="shared" si="182"/>
        <v>1576.2266437769647</v>
      </c>
      <c r="D588" s="2296">
        <f>('CF(M)'!L18)/1000</f>
        <v>0</v>
      </c>
      <c r="E588" s="2296">
        <f>(SUM('CF(M)'!M18:O18))/1000</f>
        <v>192.43922506875001</v>
      </c>
      <c r="F588" s="2296">
        <f>(SUM('CF(M)'!P18:R18))/1000</f>
        <v>194.98283255390626</v>
      </c>
      <c r="G588" s="2296">
        <f>(SUM('CF(M)'!S18:U18))/1000</f>
        <v>195.96641508421874</v>
      </c>
      <c r="H588" s="2297">
        <f>(SUM('CF(M)'!V18:X18))/1000</f>
        <v>195.96641508421874</v>
      </c>
      <c r="I588" s="2297">
        <f>(SUM('CF(M)'!Y18:AA18))/1000</f>
        <v>196.75845469546874</v>
      </c>
      <c r="J588" s="2297">
        <f>(SUM('CF(M)'!AB18:AD18))/1000</f>
        <v>199.36565236775388</v>
      </c>
      <c r="K588" s="2297">
        <f>(SUM('CF(M)'!AE18:AG18))/1000</f>
        <v>200.37382446132423</v>
      </c>
      <c r="L588" s="2297">
        <f>(SUM('CF(M)'!AH18:AJ18))/1000</f>
        <v>200.37382446132423</v>
      </c>
      <c r="N588" s="2270">
        <f t="shared" si="185"/>
        <v>1576.2266437769649</v>
      </c>
      <c r="O588" s="2270">
        <f t="shared" si="186"/>
        <v>0</v>
      </c>
    </row>
    <row r="589" spans="1:15" ht="12.75" thickBot="1">
      <c r="B589" s="2295" t="s">
        <v>1674</v>
      </c>
      <c r="C589" s="2296">
        <f t="shared" ref="C589" si="187">SUM(D589:L589)</f>
        <v>285.886429808</v>
      </c>
      <c r="D589" s="2296">
        <f>('CF(M)'!L19)/1000</f>
        <v>0</v>
      </c>
      <c r="E589" s="2296">
        <f>(SUM('CF(M)'!M19:O19))/1000</f>
        <v>35.735803726</v>
      </c>
      <c r="F589" s="2296">
        <f>(SUM('CF(M)'!P19:R19))/1000</f>
        <v>35.735803726</v>
      </c>
      <c r="G589" s="2296">
        <f>(SUM('CF(M)'!S19:U19))/1000</f>
        <v>35.735803726</v>
      </c>
      <c r="H589" s="2297">
        <f>(SUM('CF(M)'!V19:X19))/1000</f>
        <v>35.735803726</v>
      </c>
      <c r="I589" s="2297">
        <f>(SUM('CF(M)'!Y19:AA19))/1000</f>
        <v>35.735803726</v>
      </c>
      <c r="J589" s="2297">
        <f>(SUM('CF(M)'!AB19:AD19))/1000</f>
        <v>35.735803726</v>
      </c>
      <c r="K589" s="2297">
        <f>(SUM('CF(M)'!AE19:AG19))/1000</f>
        <v>35.735803726</v>
      </c>
      <c r="L589" s="2297">
        <f>(SUM('CF(M)'!AH19:AJ19))/1000</f>
        <v>35.735803726</v>
      </c>
      <c r="N589" s="2270">
        <f t="shared" si="185"/>
        <v>285.886429808</v>
      </c>
      <c r="O589" s="2270">
        <f t="shared" si="186"/>
        <v>0</v>
      </c>
    </row>
    <row r="590" spans="1:15" ht="12.75" thickBot="1">
      <c r="B590" s="2289" t="s">
        <v>1605</v>
      </c>
      <c r="C590" s="2304">
        <f t="shared" ca="1" si="182"/>
        <v>4258.1698023924182</v>
      </c>
      <c r="D590" s="2304">
        <f t="shared" ref="D590:L590" ca="1" si="188">SUM(D591:D598)</f>
        <v>0</v>
      </c>
      <c r="E590" s="2304">
        <f t="shared" ca="1" si="188"/>
        <v>961.93720104911665</v>
      </c>
      <c r="F590" s="2304">
        <f t="shared" ca="1" si="188"/>
        <v>187.27177938244998</v>
      </c>
      <c r="G590" s="2304">
        <f t="shared" ca="1" si="188"/>
        <v>341.96056938244999</v>
      </c>
      <c r="H590" s="2305">
        <f t="shared" ca="1" si="188"/>
        <v>548.6164810491166</v>
      </c>
      <c r="I590" s="2305">
        <f t="shared" ca="1" si="188"/>
        <v>1047.7510038385715</v>
      </c>
      <c r="J590" s="2305">
        <f t="shared" ca="1" si="188"/>
        <v>190.83774080523796</v>
      </c>
      <c r="K590" s="2305">
        <f t="shared" ca="1" si="188"/>
        <v>400.18323660523788</v>
      </c>
      <c r="L590" s="2305">
        <f t="shared" ca="1" si="188"/>
        <v>579.61179028023798</v>
      </c>
      <c r="N590" s="2270">
        <f t="shared" ca="1" si="185"/>
        <v>4258.1698023924182</v>
      </c>
      <c r="O590" s="2270">
        <f t="shared" ca="1" si="186"/>
        <v>0</v>
      </c>
    </row>
    <row r="591" spans="1:15">
      <c r="B591" s="2295" t="s">
        <v>73</v>
      </c>
      <c r="C591" s="2296">
        <f t="shared" si="182"/>
        <v>120.89999999999998</v>
      </c>
      <c r="D591" s="2296">
        <f>-('CF(M)'!L23)/1000</f>
        <v>0</v>
      </c>
      <c r="E591" s="2296">
        <f>-(SUM('CF(M)'!M23:O23))/1000</f>
        <v>15</v>
      </c>
      <c r="F591" s="2296">
        <f>-(SUM('CF(M)'!P23:R23))/1000</f>
        <v>15</v>
      </c>
      <c r="G591" s="2296">
        <f>-(SUM('CF(M)'!S23:U23))/1000</f>
        <v>15</v>
      </c>
      <c r="H591" s="2297">
        <f>-(SUM('CF(M)'!V23:X23))/1000</f>
        <v>15</v>
      </c>
      <c r="I591" s="2297">
        <f>-(SUM('CF(M)'!Y23:AA23))/1000</f>
        <v>15.224999999999996</v>
      </c>
      <c r="J591" s="2297">
        <f>-(SUM('CF(M)'!AB23:AD23))/1000</f>
        <v>15.224999999999996</v>
      </c>
      <c r="K591" s="2297">
        <f>-(SUM('CF(M)'!AE23:AG23))/1000</f>
        <v>15.224999999999996</v>
      </c>
      <c r="L591" s="2297">
        <f>-(SUM('CF(M)'!AH23:AJ23))/1000</f>
        <v>15.224999999999996</v>
      </c>
      <c r="N591" s="2270">
        <f t="shared" si="185"/>
        <v>120.89999999999999</v>
      </c>
      <c r="O591" s="2270">
        <f t="shared" si="186"/>
        <v>0</v>
      </c>
    </row>
    <row r="592" spans="1:15">
      <c r="B592" s="2295" t="s">
        <v>75</v>
      </c>
      <c r="C592" s="2296">
        <f t="shared" si="182"/>
        <v>1286.7414867292916</v>
      </c>
      <c r="D592" s="2296">
        <f>-('CF(M)'!L24)/1000</f>
        <v>0</v>
      </c>
      <c r="E592" s="2296">
        <f>-(SUM('CF(M)'!M24:O24))/1000</f>
        <v>159.25018400114999</v>
      </c>
      <c r="F592" s="2296">
        <f>-(SUM('CF(M)'!P24:R24))/1000</f>
        <v>159.25018400114999</v>
      </c>
      <c r="G592" s="2296">
        <f>-(SUM('CF(M)'!S24:U24))/1000</f>
        <v>159.25018400114999</v>
      </c>
      <c r="H592" s="2297">
        <f>-(SUM('CF(M)'!V24:X24))/1000</f>
        <v>159.25018400114999</v>
      </c>
      <c r="I592" s="2297">
        <f>-(SUM('CF(M)'!Y24:AA24))/1000</f>
        <v>162.43518768117298</v>
      </c>
      <c r="J592" s="2297">
        <f>-(SUM('CF(M)'!AB24:AD24))/1000</f>
        <v>162.43518768117298</v>
      </c>
      <c r="K592" s="2297">
        <f>-(SUM('CF(M)'!AE24:AG24))/1000</f>
        <v>162.43518768117298</v>
      </c>
      <c r="L592" s="2297">
        <f>-(SUM('CF(M)'!AH24:AJ24))/1000</f>
        <v>162.43518768117298</v>
      </c>
      <c r="N592" s="2270">
        <f t="shared" si="185"/>
        <v>1286.7414867292919</v>
      </c>
      <c r="O592" s="2270">
        <f t="shared" si="186"/>
        <v>0</v>
      </c>
    </row>
    <row r="593" spans="2:15" hidden="1">
      <c r="B593" s="2295" t="s">
        <v>80</v>
      </c>
      <c r="C593" s="2296">
        <f t="shared" si="182"/>
        <v>0</v>
      </c>
      <c r="D593" s="2296">
        <f>-('CF(M)'!L26)/1000</f>
        <v>0</v>
      </c>
      <c r="E593" s="2296">
        <f>-(SUM('CF(M)'!M26:O26))/1000</f>
        <v>0</v>
      </c>
      <c r="F593" s="2296">
        <f>-(SUM('CF(M)'!P26:R26))/1000</f>
        <v>0</v>
      </c>
      <c r="G593" s="2296">
        <f>-(SUM('CF(M)'!S26:U26))/1000</f>
        <v>0</v>
      </c>
      <c r="H593" s="2297">
        <f>-(SUM('CF(M)'!V26:X26))/1000</f>
        <v>0</v>
      </c>
      <c r="I593" s="2297">
        <f>-(SUM('CF(M)'!Y26:AA26))/1000</f>
        <v>0</v>
      </c>
      <c r="J593" s="2297">
        <f>-(SUM('CF(M)'!AB26:AD26))/1000</f>
        <v>0</v>
      </c>
      <c r="K593" s="2297">
        <f>-(SUM('CF(M)'!AE26:AG26))/1000</f>
        <v>0</v>
      </c>
      <c r="L593" s="2297">
        <f>-(SUM('CF(M)'!AH26:AJ26))/1000</f>
        <v>0</v>
      </c>
      <c r="N593" s="2270">
        <f t="shared" si="185"/>
        <v>0</v>
      </c>
      <c r="O593" s="2270">
        <f t="shared" si="186"/>
        <v>0</v>
      </c>
    </row>
    <row r="594" spans="2:15">
      <c r="B594" s="2295" t="s">
        <v>83</v>
      </c>
      <c r="C594" s="2296">
        <f t="shared" ca="1" si="182"/>
        <v>1469.7237060000002</v>
      </c>
      <c r="D594" s="2296">
        <f ca="1">-('CF(M)'!L27)/1000</f>
        <v>0</v>
      </c>
      <c r="E594" s="2296">
        <f ca="1">-(SUM('CF(M)'!M27:O27))/1000</f>
        <v>742.28470000000004</v>
      </c>
      <c r="F594" s="2296">
        <f ca="1">-(SUM('CF(M)'!P27:R27))/1000</f>
        <v>0</v>
      </c>
      <c r="G594" s="2296">
        <f ca="1">-(SUM('CF(M)'!S27:U27))/1000</f>
        <v>0</v>
      </c>
      <c r="H594" s="2297">
        <f ca="1">-(SUM('CF(M)'!V27:X27))/1000</f>
        <v>0</v>
      </c>
      <c r="I594" s="2297">
        <f ca="1">-(SUM('CF(M)'!Y27:AA27))/1000</f>
        <v>727.43900600000018</v>
      </c>
      <c r="J594" s="2297">
        <f ca="1">-(SUM('CF(M)'!AB27:AD27))/1000</f>
        <v>0</v>
      </c>
      <c r="K594" s="2297">
        <f ca="1">-(SUM('CF(M)'!AE27:AG27))/1000</f>
        <v>0</v>
      </c>
      <c r="L594" s="2297">
        <f ca="1">-(SUM('CF(M)'!AH27:AJ27))/1000</f>
        <v>0</v>
      </c>
      <c r="N594" s="2270">
        <f t="shared" ca="1" si="185"/>
        <v>1469.7237060000002</v>
      </c>
      <c r="O594" s="2270">
        <f t="shared" ca="1" si="186"/>
        <v>0</v>
      </c>
    </row>
    <row r="595" spans="2:15">
      <c r="B595" s="2295" t="s">
        <v>78</v>
      </c>
      <c r="C595" s="2296">
        <f t="shared" si="182"/>
        <v>63.006928077060003</v>
      </c>
      <c r="D595" s="2296">
        <f>-('CF(M)'!L25)/1000</f>
        <v>0</v>
      </c>
      <c r="E595" s="2296">
        <f>-(SUM('CF(M)'!M25:O25))/1000</f>
        <v>7.7978871382500001</v>
      </c>
      <c r="F595" s="2296">
        <f>-(SUM('CF(M)'!P25:R25))/1000</f>
        <v>7.7978871382500001</v>
      </c>
      <c r="G595" s="2296">
        <f>-(SUM('CF(M)'!S25:U25))/1000</f>
        <v>7.7978871382500001</v>
      </c>
      <c r="H595" s="2297">
        <f>-(SUM('CF(M)'!V25:X25))/1000</f>
        <v>7.7978871382500001</v>
      </c>
      <c r="I595" s="2297">
        <f>-(SUM('CF(M)'!Y25:AA25))/1000</f>
        <v>7.9538448810149998</v>
      </c>
      <c r="J595" s="2297">
        <f>-(SUM('CF(M)'!AB25:AD25))/1000</f>
        <v>7.9538448810149998</v>
      </c>
      <c r="K595" s="2297">
        <f>-(SUM('CF(M)'!AE25:AG25))/1000</f>
        <v>7.9538448810149998</v>
      </c>
      <c r="L595" s="2297">
        <f>-(SUM('CF(M)'!AH25:AJ25))/1000</f>
        <v>7.9538448810149998</v>
      </c>
      <c r="N595" s="2270">
        <f t="shared" si="185"/>
        <v>63.006928077059996</v>
      </c>
      <c r="O595" s="2270">
        <f t="shared" si="186"/>
        <v>0</v>
      </c>
    </row>
    <row r="596" spans="2:15">
      <c r="B596" s="2295" t="s">
        <v>1540</v>
      </c>
      <c r="C596" s="2296">
        <f t="shared" si="182"/>
        <v>41.789665944400006</v>
      </c>
      <c r="D596" s="2296">
        <f>-('CF(M)'!L32)/1000</f>
        <v>0</v>
      </c>
      <c r="E596" s="2296">
        <f>-(SUM('CF(M)'!M32:O32))/1000</f>
        <v>5.2237082430500008</v>
      </c>
      <c r="F596" s="2296">
        <f>-(SUM('CF(M)'!P32:R32))/1000</f>
        <v>5.2237082430500008</v>
      </c>
      <c r="G596" s="2296">
        <f>-(SUM('CF(M)'!S32:U32))/1000</f>
        <v>5.2237082430500008</v>
      </c>
      <c r="H596" s="2297">
        <f>-(SUM('CF(M)'!V32:X32))/1000</f>
        <v>5.2237082430500008</v>
      </c>
      <c r="I596" s="2297">
        <f>-(SUM('CF(M)'!Y32:AA32))/1000</f>
        <v>5.2237082430500008</v>
      </c>
      <c r="J596" s="2297">
        <f>-(SUM('CF(M)'!AB32:AD32))/1000</f>
        <v>5.2237082430500008</v>
      </c>
      <c r="K596" s="2297">
        <f>-(SUM('CF(M)'!AE32:AG32))/1000</f>
        <v>5.2237082430500008</v>
      </c>
      <c r="L596" s="2297">
        <f>-(SUM('CF(M)'!AH32:AJ32))/1000</f>
        <v>5.2237082430500008</v>
      </c>
      <c r="N596" s="2270">
        <f t="shared" si="185"/>
        <v>41.789665944400006</v>
      </c>
      <c r="O596" s="2270">
        <f t="shared" si="186"/>
        <v>0</v>
      </c>
    </row>
    <row r="597" spans="2:15">
      <c r="B597" s="2295" t="s">
        <v>1544</v>
      </c>
      <c r="C597" s="2296">
        <f t="shared" si="182"/>
        <v>1265.1346456416666</v>
      </c>
      <c r="D597" s="2296">
        <f>-('CF(M)'!L28+'CF(M)'!L29+'CF(M)'!L30+'CF(M)'!L31)/1000</f>
        <v>0</v>
      </c>
      <c r="E597" s="2296">
        <f>-(SUM('CF(M)'!M28:O28)+SUM('CF(M)'!M29:O29)+SUM('CF(M)'!M30:O30)+SUM('CF(M)'!M31:O31))/1000</f>
        <v>21.507351666666665</v>
      </c>
      <c r="F597" s="2296">
        <f>-(SUM('CF(M)'!P28:R28)+SUM('CF(M)'!P29:R29)+SUM('CF(M)'!P30:R30)+SUM('CF(M)'!P31:R31))/1000</f>
        <v>0</v>
      </c>
      <c r="G597" s="2296">
        <f>-(SUM('CF(M)'!S28:U28)+SUM('CF(M)'!S29:U29)+SUM('CF(M)'!S30:U30)+SUM('CF(M)'!S31:U31))/1000</f>
        <v>154.68879000000004</v>
      </c>
      <c r="H597" s="2297">
        <f>-(SUM('CF(M)'!V28:X28)+SUM('CF(M)'!V29:X29)+SUM('CF(M)'!V30:X30)+SUM('CF(M)'!V31:X31))/1000</f>
        <v>361.34470166666659</v>
      </c>
      <c r="I597" s="2297">
        <f>-(SUM('CF(M)'!Y28:AA28)+SUM('CF(M)'!Y29:AA29)+SUM('CF(M)'!Y30:AA30)+SUM('CF(M)'!Y31:AA31))/1000</f>
        <v>129.47425703333332</v>
      </c>
      <c r="J597" s="2297">
        <f>-(SUM('CF(M)'!AB28:AD28)+SUM('CF(M)'!AB29:AD29)+SUM('CF(M)'!AB30:AD30)+SUM('CF(M)'!AB31:AD31))/1000</f>
        <v>0</v>
      </c>
      <c r="K597" s="2297">
        <f>-(SUM('CF(M)'!AE28:AG28)+SUM('CF(M)'!AE29:AG29)+SUM('CF(M)'!AE30:AG30)+SUM('CF(M)'!AE31:AG31))/1000</f>
        <v>209.34549579999995</v>
      </c>
      <c r="L597" s="2297">
        <f>-(SUM('CF(M)'!AH28:AJ28)+SUM('CF(M)'!AH29:AJ29)+SUM('CF(M)'!AH30:AJ30)+SUM('CF(M)'!AH31:AJ31))/1000</f>
        <v>388.77404947499997</v>
      </c>
      <c r="N597" s="2270">
        <f t="shared" si="185"/>
        <v>1265.1346456416663</v>
      </c>
      <c r="O597" s="2270">
        <f t="shared" si="186"/>
        <v>0</v>
      </c>
    </row>
    <row r="598" spans="2:15" ht="12.75" thickBot="1">
      <c r="B598" s="2295" t="s">
        <v>468</v>
      </c>
      <c r="C598" s="2296">
        <f t="shared" si="182"/>
        <v>10.87337</v>
      </c>
      <c r="D598" s="2296">
        <f>-('CF(M)'!L33)/1000</f>
        <v>0</v>
      </c>
      <c r="E598" s="2296">
        <f>-(SUM('CF(M)'!M33:O33))/1000</f>
        <v>10.87337</v>
      </c>
      <c r="F598" s="2296">
        <f>-(SUM('CF(M)'!P33:R33))/1000</f>
        <v>0</v>
      </c>
      <c r="G598" s="2296">
        <f>-(SUM('CF(M)'!S33:U33))/1000</f>
        <v>0</v>
      </c>
      <c r="H598" s="2297">
        <f>-(SUM('CF(M)'!V33:X33))/1000</f>
        <v>0</v>
      </c>
      <c r="I598" s="2297">
        <f>-(SUM('CF(M)'!Y33:AA33))/1000</f>
        <v>0</v>
      </c>
      <c r="J598" s="2297">
        <f>-(SUM('CF(M)'!AB33:AD33))/1000</f>
        <v>0</v>
      </c>
      <c r="K598" s="2297">
        <f>-(SUM('CF(M)'!AE33:AG33))/1000</f>
        <v>0</v>
      </c>
      <c r="L598" s="2297">
        <f>-(SUM('CF(M)'!AH33:AJ33))/1000</f>
        <v>0</v>
      </c>
      <c r="N598" s="2270">
        <f t="shared" si="185"/>
        <v>10.87337</v>
      </c>
      <c r="O598" s="2270">
        <f t="shared" si="186"/>
        <v>0</v>
      </c>
    </row>
    <row r="599" spans="2:15" ht="12.75" thickBot="1">
      <c r="B599" s="2289" t="s">
        <v>1606</v>
      </c>
      <c r="C599" s="2304">
        <f t="shared" ca="1" si="182"/>
        <v>26761.789825269574</v>
      </c>
      <c r="D599" s="2304">
        <f t="shared" ref="D599:L599" ca="1" si="189">D586-D590</f>
        <v>0</v>
      </c>
      <c r="E599" s="2304">
        <f t="shared" ca="1" si="189"/>
        <v>2730.1278442456337</v>
      </c>
      <c r="F599" s="2304">
        <f t="shared" ca="1" si="189"/>
        <v>3584.9854850380807</v>
      </c>
      <c r="G599" s="2304">
        <f t="shared" ca="1" si="189"/>
        <v>3517.154864116831</v>
      </c>
      <c r="H599" s="2305">
        <f t="shared" ca="1" si="189"/>
        <v>3465.0459950126642</v>
      </c>
      <c r="I599" s="2305">
        <f t="shared" ca="1" si="189"/>
        <v>2727.1985884953965</v>
      </c>
      <c r="J599" s="2305">
        <f t="shared" ca="1" si="189"/>
        <v>3666.3088761326567</v>
      </c>
      <c r="K599" s="2305">
        <f t="shared" ca="1" si="189"/>
        <v>3545.9930036383748</v>
      </c>
      <c r="L599" s="2305">
        <f t="shared" ca="1" si="189"/>
        <v>3524.9751685899373</v>
      </c>
      <c r="N599" s="2270">
        <f t="shared" ca="1" si="185"/>
        <v>26761.789825269574</v>
      </c>
      <c r="O599" s="2270">
        <f t="shared" ca="1" si="186"/>
        <v>0</v>
      </c>
    </row>
    <row r="600" spans="2:15" ht="12.75" thickBot="1">
      <c r="B600" s="2289" t="s">
        <v>513</v>
      </c>
      <c r="C600" s="2304">
        <f t="shared" ca="1" si="182"/>
        <v>-19382.596365799087</v>
      </c>
      <c r="D600" s="2304">
        <f t="shared" ref="D600:L600" si="190">SUM(D601:D604)</f>
        <v>0</v>
      </c>
      <c r="E600" s="2304">
        <f t="shared" ca="1" si="190"/>
        <v>-2529.5997891851562</v>
      </c>
      <c r="F600" s="2304">
        <f t="shared" ca="1" si="190"/>
        <v>-2380.9550725996942</v>
      </c>
      <c r="G600" s="2304">
        <f t="shared" ca="1" si="190"/>
        <v>-2401.5051965974931</v>
      </c>
      <c r="H600" s="2305">
        <f t="shared" ca="1" si="190"/>
        <v>-2392.6751141206387</v>
      </c>
      <c r="I600" s="2305">
        <f t="shared" ca="1" si="190"/>
        <v>-2418.2335098170015</v>
      </c>
      <c r="J600" s="2305">
        <f t="shared" ca="1" si="190"/>
        <v>-2412.6421638757406</v>
      </c>
      <c r="K600" s="2305">
        <f t="shared" ca="1" si="190"/>
        <v>-2427.8920677736346</v>
      </c>
      <c r="L600" s="2305">
        <f t="shared" ca="1" si="190"/>
        <v>-2419.0934518297272</v>
      </c>
      <c r="N600" s="2270">
        <f t="shared" ca="1" si="185"/>
        <v>-19382.596365799083</v>
      </c>
      <c r="O600" s="2270">
        <f t="shared" ca="1" si="186"/>
        <v>0</v>
      </c>
    </row>
    <row r="601" spans="2:15">
      <c r="B601" s="2292" t="s">
        <v>239</v>
      </c>
      <c r="C601" s="2293">
        <f t="shared" ca="1" si="182"/>
        <v>602.0411675443994</v>
      </c>
      <c r="D601" s="2293">
        <f>('CF(M)'!L20)/1000</f>
        <v>0</v>
      </c>
      <c r="E601" s="2293">
        <f ca="1">(SUM('CF(M)'!M20:O20))/1000</f>
        <v>95.037744158328977</v>
      </c>
      <c r="F601" s="2293">
        <f ca="1">(SUM('CF(M)'!P20:R20))/1000</f>
        <v>99.044927400305838</v>
      </c>
      <c r="G601" s="2293">
        <f ca="1">(SUM('CF(M)'!S20:U20))/1000</f>
        <v>78.494803402506932</v>
      </c>
      <c r="H601" s="2294">
        <f ca="1">(SUM('CF(M)'!V20:X20))/1000</f>
        <v>87.324885879361503</v>
      </c>
      <c r="I601" s="2294">
        <f ca="1">(SUM('CF(M)'!Y20:AA20))/1000</f>
        <v>61.766490182998339</v>
      </c>
      <c r="J601" s="2294">
        <f ca="1">(SUM('CF(M)'!AB20:AD20))/1000</f>
        <v>67.357836124259322</v>
      </c>
      <c r="K601" s="2294">
        <f ca="1">(SUM('CF(M)'!AE20:AG20))/1000</f>
        <v>52.107932226365328</v>
      </c>
      <c r="L601" s="2294">
        <f ca="1">(SUM('CF(M)'!AH20:AJ20))/1000</f>
        <v>60.906548170273091</v>
      </c>
      <c r="N601" s="2270">
        <f t="shared" ca="1" si="185"/>
        <v>602.04116754439929</v>
      </c>
      <c r="O601" s="2270">
        <f t="shared" ca="1" si="186"/>
        <v>0</v>
      </c>
    </row>
    <row r="602" spans="2:15">
      <c r="B602" s="2295" t="s">
        <v>1607</v>
      </c>
      <c r="C602" s="2296">
        <f t="shared" si="182"/>
        <v>-15280</v>
      </c>
      <c r="D602" s="2296">
        <f>('CF(M)'!L41+'CF(M)'!L42+'CF(M)'!L43)/1000</f>
        <v>0</v>
      </c>
      <c r="E602" s="2296">
        <f>(SUM('CF(M)'!M41:O41)+SUM('CF(M)'!M42:O42)+SUM('CF(M)'!M43:O43))/1000</f>
        <v>-1910</v>
      </c>
      <c r="F602" s="2296">
        <f>(SUM('CF(M)'!P41:R41)+SUM('CF(M)'!P42:R42)+SUM('CF(M)'!P43:R43))/1000</f>
        <v>-1910</v>
      </c>
      <c r="G602" s="2296">
        <f>(SUM('CF(M)'!S41:U41)+SUM('CF(M)'!S42:U42)+SUM('CF(M)'!S43:U43))/1000</f>
        <v>-1910</v>
      </c>
      <c r="H602" s="2297">
        <f>(SUM('CF(M)'!V41:X41)+SUM('CF(M)'!V42:X42)+SUM('CF(M)'!V43:X43))/1000</f>
        <v>-1910</v>
      </c>
      <c r="I602" s="2297">
        <f>(SUM('CF(M)'!Y41:AA41)+SUM('CF(M)'!Y42:AA42)+SUM('CF(M)'!Y43:AA43))/1000</f>
        <v>-1910</v>
      </c>
      <c r="J602" s="2297">
        <f>(SUM('CF(M)'!AB41:AD41)+SUM('CF(M)'!AB42:AD42)+SUM('CF(M)'!AB43:AD43))/1000</f>
        <v>-1910</v>
      </c>
      <c r="K602" s="2297">
        <f>(SUM('CF(M)'!AE41:AG41)+SUM('CF(M)'!AE42:AG42)+SUM('CF(M)'!AE43:AG43))/1000</f>
        <v>-1910</v>
      </c>
      <c r="L602" s="2297">
        <f>(SUM('CF(M)'!AH41:AJ41)+SUM('CF(M)'!AH42:AJ42)+SUM('CF(M)'!AH43:AJ43))/1000</f>
        <v>-1910</v>
      </c>
      <c r="N602" s="2270">
        <f t="shared" si="185"/>
        <v>-15280</v>
      </c>
      <c r="O602" s="2270">
        <f t="shared" si="186"/>
        <v>0</v>
      </c>
    </row>
    <row r="603" spans="2:15">
      <c r="B603" s="2295" t="s">
        <v>1541</v>
      </c>
      <c r="C603" s="2296">
        <f t="shared" si="182"/>
        <v>-4560</v>
      </c>
      <c r="D603" s="2296">
        <f>('CF(M)'!L44+'CF(M)'!L45+'CF(M)'!L46)/1000</f>
        <v>0</v>
      </c>
      <c r="E603" s="2296">
        <f>(SUM('CF(M)'!M44:O44)+SUM('CF(M)'!M45:O45)+SUM('CF(M)'!M46:O46))/1000</f>
        <v>-570</v>
      </c>
      <c r="F603" s="2296">
        <f>(SUM('CF(M)'!P44:R44)+SUM('CF(M)'!P45:R45)+SUM('CF(M)'!P46:R46))/1000</f>
        <v>-570</v>
      </c>
      <c r="G603" s="2296">
        <f>(SUM('CF(M)'!S44:U44)+SUM('CF(M)'!S45:U45)+SUM('CF(M)'!S46:U46))/1000</f>
        <v>-570</v>
      </c>
      <c r="H603" s="2297">
        <f>(SUM('CF(M)'!V44:X44)+SUM('CF(M)'!V45:X45)+SUM('CF(M)'!V46:X46))/1000</f>
        <v>-570</v>
      </c>
      <c r="I603" s="2297">
        <f>(SUM('CF(M)'!Y44:AA44)+SUM('CF(M)'!Y45:AA45)+SUM('CF(M)'!Y46:AA46))/1000</f>
        <v>-570</v>
      </c>
      <c r="J603" s="2297">
        <f>(SUM('CF(M)'!AB44:AD44)+SUM('CF(M)'!AB45:AD45)+SUM('CF(M)'!AB46:AD46))/1000</f>
        <v>-570</v>
      </c>
      <c r="K603" s="2297">
        <f>(SUM('CF(M)'!AE44:AG44)+SUM('CF(M)'!AE45:AG45)+SUM('CF(M)'!AE46:AG46))/1000</f>
        <v>-570</v>
      </c>
      <c r="L603" s="2297">
        <f>(SUM('CF(M)'!AH44:AJ44)+SUM('CF(M)'!AH45:AJ45)+SUM('CF(M)'!AH46:AJ46))/1000</f>
        <v>-570</v>
      </c>
      <c r="N603" s="2270">
        <f t="shared" si="185"/>
        <v>-4560</v>
      </c>
      <c r="O603" s="2270">
        <f t="shared" si="186"/>
        <v>0</v>
      </c>
    </row>
    <row r="604" spans="2:15" ht="12.75" thickBot="1">
      <c r="B604" s="2295" t="s">
        <v>1608</v>
      </c>
      <c r="C604" s="2296">
        <f t="shared" si="182"/>
        <v>-144.63753334348496</v>
      </c>
      <c r="D604" s="2296">
        <f>('CF(M)'!L47)/1000</f>
        <v>0</v>
      </c>
      <c r="E604" s="2296">
        <f>(SUM('CF(M)'!M47:O47))/1000</f>
        <v>-144.63753334348496</v>
      </c>
      <c r="F604" s="2296">
        <f>(SUM('CF(M)'!P47:R47))/1000</f>
        <v>0</v>
      </c>
      <c r="G604" s="2296">
        <f>(SUM('CF(M)'!S47:U47))/1000</f>
        <v>0</v>
      </c>
      <c r="H604" s="2297">
        <f>(SUM('CF(M)'!V47:X47))/1000</f>
        <v>0</v>
      </c>
      <c r="I604" s="2297">
        <f>(SUM('CF(M)'!Y47:AA47))/1000</f>
        <v>0</v>
      </c>
      <c r="J604" s="2297">
        <f>(SUM('CF(M)'!AB47:AD47))/1000</f>
        <v>0</v>
      </c>
      <c r="K604" s="2297">
        <f>(SUM('CF(M)'!AE47:AG47))/1000</f>
        <v>0</v>
      </c>
      <c r="L604" s="2297">
        <f>(SUM('CF(M)'!AH47:AJ47))/1000</f>
        <v>0</v>
      </c>
      <c r="N604" s="2270">
        <f t="shared" si="185"/>
        <v>-144.63753334348496</v>
      </c>
      <c r="O604" s="2270">
        <f t="shared" si="186"/>
        <v>0</v>
      </c>
    </row>
    <row r="605" spans="2:15" ht="12.75" thickBot="1">
      <c r="B605" s="2289" t="s">
        <v>1545</v>
      </c>
      <c r="C605" s="2304">
        <f t="shared" si="182"/>
        <v>1603.0836817420441</v>
      </c>
      <c r="D605" s="2304">
        <f t="shared" ref="D605:L605" si="191">SUM(D606:D610)</f>
        <v>0</v>
      </c>
      <c r="E605" s="2304">
        <f t="shared" si="191"/>
        <v>172.63675000000003</v>
      </c>
      <c r="F605" s="2304">
        <f t="shared" si="191"/>
        <v>227.65417043551093</v>
      </c>
      <c r="G605" s="2304">
        <f t="shared" si="191"/>
        <v>172.63675000000003</v>
      </c>
      <c r="H605" s="2305">
        <f t="shared" si="191"/>
        <v>227.65417043551093</v>
      </c>
      <c r="I605" s="2305">
        <f t="shared" si="191"/>
        <v>172.75675000000004</v>
      </c>
      <c r="J605" s="2305">
        <f t="shared" si="191"/>
        <v>228.49417043551094</v>
      </c>
      <c r="K605" s="2305">
        <f t="shared" si="191"/>
        <v>172.75675000000004</v>
      </c>
      <c r="L605" s="2305">
        <f t="shared" si="191"/>
        <v>228.49417043551094</v>
      </c>
      <c r="N605" s="2270">
        <f t="shared" si="185"/>
        <v>1603.0836817420436</v>
      </c>
      <c r="O605" s="2270">
        <f t="shared" si="186"/>
        <v>0</v>
      </c>
    </row>
    <row r="606" spans="2:15">
      <c r="B606" s="2292" t="s">
        <v>190</v>
      </c>
      <c r="C606" s="2293">
        <f t="shared" si="182"/>
        <v>1333.0940000000003</v>
      </c>
      <c r="D606" s="2293">
        <f>-('CF(M)'!L36)/1000</f>
        <v>0</v>
      </c>
      <c r="E606" s="2293">
        <f>-(SUM('CF(M)'!M36:O36))/1000</f>
        <v>166.63675000000003</v>
      </c>
      <c r="F606" s="2293">
        <f>-(SUM('CF(M)'!P36:R36))/1000</f>
        <v>166.63675000000003</v>
      </c>
      <c r="G606" s="2293">
        <f>-(SUM('CF(M)'!S36:U36))/1000</f>
        <v>166.63675000000003</v>
      </c>
      <c r="H606" s="2294">
        <f>-(SUM('CF(M)'!V36:X36))/1000</f>
        <v>166.63675000000003</v>
      </c>
      <c r="I606" s="2294">
        <f>-(SUM('CF(M)'!Y36:AA36))/1000</f>
        <v>166.63675000000003</v>
      </c>
      <c r="J606" s="2294">
        <f>-(SUM('CF(M)'!AB36:AD36))/1000</f>
        <v>166.63675000000003</v>
      </c>
      <c r="K606" s="2294">
        <f>-(SUM('CF(M)'!AE36:AG36))/1000</f>
        <v>166.63675000000003</v>
      </c>
      <c r="L606" s="2294">
        <f>-(SUM('CF(M)'!AH36:AJ36))/1000</f>
        <v>166.63675000000003</v>
      </c>
      <c r="N606" s="2270">
        <f t="shared" si="185"/>
        <v>1333.0940000000003</v>
      </c>
      <c r="O606" s="2270">
        <f t="shared" si="186"/>
        <v>0</v>
      </c>
    </row>
    <row r="607" spans="2:15">
      <c r="B607" s="2295" t="s">
        <v>152</v>
      </c>
      <c r="C607" s="2296">
        <f t="shared" si="182"/>
        <v>52.069681742043549</v>
      </c>
      <c r="D607" s="2296">
        <f>-('CF(M)'!L38)/1000</f>
        <v>0</v>
      </c>
      <c r="E607" s="2296">
        <f>-(SUM('CF(M)'!M38:O38))/1000</f>
        <v>0</v>
      </c>
      <c r="F607" s="2296">
        <f>-(SUM('CF(M)'!P38:R38))/1000</f>
        <v>13.017420435510887</v>
      </c>
      <c r="G607" s="2296">
        <f>-(SUM('CF(M)'!S38:U38))/1000</f>
        <v>0</v>
      </c>
      <c r="H607" s="2297">
        <f>-(SUM('CF(M)'!V38:X38))/1000</f>
        <v>13.017420435510887</v>
      </c>
      <c r="I607" s="2297">
        <f>-(SUM('CF(M)'!Y38:AA38))/1000</f>
        <v>0</v>
      </c>
      <c r="J607" s="2297">
        <f>-(SUM('CF(M)'!AB38:AD38))/1000</f>
        <v>13.017420435510887</v>
      </c>
      <c r="K607" s="2297">
        <f>-(SUM('CF(M)'!AE38:AG38))/1000</f>
        <v>0</v>
      </c>
      <c r="L607" s="2297">
        <f>-(SUM('CF(M)'!AH38:AJ38))/1000</f>
        <v>13.017420435510887</v>
      </c>
      <c r="N607" s="2270">
        <f t="shared" si="185"/>
        <v>52.069681742043549</v>
      </c>
      <c r="O607" s="2270">
        <f t="shared" si="186"/>
        <v>0</v>
      </c>
    </row>
    <row r="608" spans="2:15">
      <c r="B608" s="2295" t="s">
        <v>150</v>
      </c>
      <c r="C608" s="2296">
        <f t="shared" si="182"/>
        <v>24</v>
      </c>
      <c r="D608" s="2296">
        <f>-('CF(M)'!L37)/1000</f>
        <v>0</v>
      </c>
      <c r="E608" s="2296">
        <f>-(SUM('CF(M)'!M37:O37))/1000</f>
        <v>0</v>
      </c>
      <c r="F608" s="2296">
        <f>-(SUM('CF(M)'!P37:R37))/1000</f>
        <v>6</v>
      </c>
      <c r="G608" s="2296">
        <f>-(SUM('CF(M)'!S37:U37))/1000</f>
        <v>0</v>
      </c>
      <c r="H608" s="2297">
        <f>-(SUM('CF(M)'!V37:X37))/1000</f>
        <v>6</v>
      </c>
      <c r="I608" s="2297">
        <f>-(SUM('CF(M)'!Y37:AA37))/1000</f>
        <v>0</v>
      </c>
      <c r="J608" s="2297">
        <f>-(SUM('CF(M)'!AB37:AD37))/1000</f>
        <v>6</v>
      </c>
      <c r="K608" s="2297">
        <f>-(SUM('CF(M)'!AE37:AG37))/1000</f>
        <v>0</v>
      </c>
      <c r="L608" s="2297">
        <f>-(SUM('CF(M)'!AH37:AJ37))/1000</f>
        <v>6</v>
      </c>
      <c r="N608" s="2270">
        <f t="shared" si="185"/>
        <v>24</v>
      </c>
      <c r="O608" s="2270">
        <f t="shared" si="186"/>
        <v>0</v>
      </c>
    </row>
    <row r="609" spans="2:15">
      <c r="B609" s="2295" t="s">
        <v>533</v>
      </c>
      <c r="C609" s="2296">
        <f t="shared" si="182"/>
        <v>145.44</v>
      </c>
      <c r="D609" s="2296">
        <f>-('CF(M)'!L39)/1000</f>
        <v>0</v>
      </c>
      <c r="E609" s="2296">
        <f>-(SUM('CF(M)'!M39:O39))/1000</f>
        <v>0</v>
      </c>
      <c r="F609" s="2296">
        <f>-(SUM('CF(M)'!P39:R39))/1000</f>
        <v>36</v>
      </c>
      <c r="G609" s="2296">
        <f>-(SUM('CF(M)'!S39:U39))/1000</f>
        <v>0</v>
      </c>
      <c r="H609" s="2297">
        <f>-(SUM('CF(M)'!V39:X39))/1000</f>
        <v>36</v>
      </c>
      <c r="I609" s="2297">
        <f>-(SUM('CF(M)'!Y39:AA39))/1000</f>
        <v>0</v>
      </c>
      <c r="J609" s="2297">
        <f>-(SUM('CF(M)'!AB39:AD39))/1000</f>
        <v>36.72</v>
      </c>
      <c r="K609" s="2297">
        <f>-(SUM('CF(M)'!AE39:AG39))/1000</f>
        <v>0</v>
      </c>
      <c r="L609" s="2297">
        <f>-(SUM('CF(M)'!AH39:AJ39))/1000</f>
        <v>36.72</v>
      </c>
      <c r="N609" s="2270">
        <f t="shared" si="185"/>
        <v>145.44</v>
      </c>
      <c r="O609" s="2270">
        <f t="shared" si="186"/>
        <v>0</v>
      </c>
    </row>
    <row r="610" spans="2:15" ht="12.75" thickBot="1">
      <c r="B610" s="2295" t="s">
        <v>463</v>
      </c>
      <c r="C610" s="2296">
        <f t="shared" si="182"/>
        <v>48.48</v>
      </c>
      <c r="D610" s="2296">
        <f>-('CF(M)'!L35)/1000</f>
        <v>0</v>
      </c>
      <c r="E610" s="2296">
        <f>-(SUM('CF(M)'!M35:O35))/1000</f>
        <v>6</v>
      </c>
      <c r="F610" s="2296">
        <f>-(SUM('CF(M)'!P35:R35))/1000</f>
        <v>6</v>
      </c>
      <c r="G610" s="2296">
        <f>-(SUM('CF(M)'!S35:U35))/1000</f>
        <v>6</v>
      </c>
      <c r="H610" s="2297">
        <f>-(SUM('CF(M)'!V35:X35))/1000</f>
        <v>6</v>
      </c>
      <c r="I610" s="2297">
        <f>-(SUM('CF(M)'!Y35:AA35))/1000</f>
        <v>6.12</v>
      </c>
      <c r="J610" s="2297">
        <f>-(SUM('CF(M)'!AB35:AD35))/1000</f>
        <v>6.12</v>
      </c>
      <c r="K610" s="2297">
        <f>-(SUM('CF(M)'!AE35:AG35))/1000</f>
        <v>6.12</v>
      </c>
      <c r="L610" s="2297">
        <f>-(SUM('CF(M)'!AH35:AJ35))/1000</f>
        <v>6.12</v>
      </c>
      <c r="N610" s="2270">
        <f t="shared" si="185"/>
        <v>48.480000000000004</v>
      </c>
      <c r="O610" s="2270">
        <f t="shared" si="186"/>
        <v>0</v>
      </c>
    </row>
    <row r="611" spans="2:15" ht="12.75" thickBot="1">
      <c r="B611" s="2289" t="s">
        <v>1546</v>
      </c>
      <c r="C611" s="2304">
        <f t="shared" si="182"/>
        <v>-288956.19792442792</v>
      </c>
      <c r="D611" s="2304">
        <f t="shared" ref="D611:L611" si="192">SUM(D612:D615)</f>
        <v>-301756.66963053192</v>
      </c>
      <c r="E611" s="2304">
        <f t="shared" si="192"/>
        <v>12856.669630532</v>
      </c>
      <c r="F611" s="2304">
        <f t="shared" si="192"/>
        <v>-56.176470635715539</v>
      </c>
      <c r="G611" s="2304">
        <f t="shared" si="192"/>
        <v>56.176470635715553</v>
      </c>
      <c r="H611" s="2305">
        <f t="shared" si="192"/>
        <v>-56.176470635715539</v>
      </c>
      <c r="I611" s="2305">
        <f t="shared" si="192"/>
        <v>56.176470635715525</v>
      </c>
      <c r="J611" s="2305">
        <f t="shared" si="192"/>
        <v>-56.197924427994352</v>
      </c>
      <c r="K611" s="2305">
        <f t="shared" si="192"/>
        <v>56.197924427994337</v>
      </c>
      <c r="L611" s="2305">
        <f t="shared" si="192"/>
        <v>-56.197924427994352</v>
      </c>
      <c r="N611" s="2270">
        <f t="shared" si="185"/>
        <v>-288956.19792442792</v>
      </c>
      <c r="O611" s="2270">
        <f t="shared" si="186"/>
        <v>0</v>
      </c>
    </row>
    <row r="612" spans="2:15">
      <c r="B612" s="2295" t="s">
        <v>1508</v>
      </c>
      <c r="C612" s="2296">
        <f t="shared" si="182"/>
        <v>-270000</v>
      </c>
      <c r="D612" s="2296">
        <f>('CF(M)'!L61)/1000</f>
        <v>-270000</v>
      </c>
      <c r="E612" s="2296">
        <f>(SUM('CF(M)'!M61:O61))/1000</f>
        <v>0</v>
      </c>
      <c r="F612" s="2296">
        <f>(SUM('CF(M)'!P61:R61))/1000</f>
        <v>0</v>
      </c>
      <c r="G612" s="2296">
        <f>(SUM('CF(M)'!S61:U61))/1000</f>
        <v>0</v>
      </c>
      <c r="H612" s="2297">
        <f>(SUM('CF(M)'!V61:X61))/1000</f>
        <v>0</v>
      </c>
      <c r="I612" s="2297">
        <f>(SUM('CF(M)'!Y61:AA61))/1000</f>
        <v>0</v>
      </c>
      <c r="J612" s="2297">
        <f>(SUM('CF(M)'!AB61:AD61))/1000</f>
        <v>0</v>
      </c>
      <c r="K612" s="2297">
        <f>(SUM('CF(M)'!AE61:AG61))/1000</f>
        <v>0</v>
      </c>
      <c r="L612" s="2297">
        <f>(SUM('CF(M)'!AH61:AJ61))/1000</f>
        <v>0</v>
      </c>
      <c r="N612" s="2270">
        <f t="shared" si="185"/>
        <v>-270000</v>
      </c>
      <c r="O612" s="2270">
        <f t="shared" si="186"/>
        <v>0</v>
      </c>
    </row>
    <row r="613" spans="2:15">
      <c r="B613" s="2295" t="s">
        <v>1610</v>
      </c>
      <c r="C613" s="2296">
        <f t="shared" si="182"/>
        <v>-18899.999999999956</v>
      </c>
      <c r="D613" s="2296">
        <f>('CF(M)'!L62+'CF(M)'!L63+'CF(M)'!L64+'CF(M)'!L65+'CF(M)'!L66)/1000</f>
        <v>-18899.999999999956</v>
      </c>
      <c r="E613" s="2296">
        <f>(SUM('CF(M)'!M62:O62)+SUM('CF(M)'!M63:O63)+SUM('CF(M)'!M64:O64)+SUM('CF(M)'!M65:O65)+SUM('CF(M)'!M66:O66))/1000</f>
        <v>0</v>
      </c>
      <c r="F613" s="2296">
        <f>(SUM('CF(M)'!P62:R62)+SUM('CF(M)'!P63:R63)+SUM('CF(M)'!P64:R64)+SUM('CF(M)'!P65:R65)+SUM('CF(M)'!P66:R66))/1000</f>
        <v>0</v>
      </c>
      <c r="G613" s="2296">
        <f>(SUM('CF(M)'!S62:U62)+SUM('CF(M)'!S63:U63)+SUM('CF(M)'!S64:U64)+SUM('CF(M)'!S65:U65)+SUM('CF(M)'!S66:U66))/1000</f>
        <v>0</v>
      </c>
      <c r="H613" s="2297">
        <f>(SUM('CF(M)'!V62:X62)+SUM('CF(M)'!V63:X63)+SUM('CF(M)'!V64:X64)+SUM('CF(M)'!V65:X65)+SUM('CF(M)'!V66:X66))/1000</f>
        <v>0</v>
      </c>
      <c r="I613" s="2297">
        <f>(SUM('CF(M)'!Y62:AA62)+SUM('CF(M)'!Y63:AA63)+SUM('CF(M)'!Y64:AA64)+SUM('CF(M)'!Y65:AA65)+SUM('CF(M)'!Y66:AA66))/1000</f>
        <v>0</v>
      </c>
      <c r="J613" s="2297">
        <f>(SUM('CF(M)'!AB62:AD62)+SUM('CF(M)'!AB63:AD63)+SUM('CF(M)'!AB64:AD64)+SUM('CF(M)'!AB65:AD65)+SUM('CF(M)'!AB66:AD66))/1000</f>
        <v>0</v>
      </c>
      <c r="K613" s="2297">
        <f>(SUM('CF(M)'!AE62:AG62)+SUM('CF(M)'!AE63:AG63)+SUM('CF(M)'!AE64:AG64)+SUM('CF(M)'!AE65:AG65)+SUM('CF(M)'!AE66:AG66))/1000</f>
        <v>0</v>
      </c>
      <c r="L613" s="2297">
        <f>(SUM('CF(M)'!AH62:AJ62)+SUM('CF(M)'!AH63:AJ63)+SUM('CF(M)'!AH64:AJ64)+SUM('CF(M)'!AH65:AJ65)+SUM('CF(M)'!AH66:AJ66))/1000</f>
        <v>0</v>
      </c>
      <c r="N613" s="2270">
        <f t="shared" si="185"/>
        <v>-18899.999999999956</v>
      </c>
      <c r="O613" s="2270">
        <f t="shared" si="186"/>
        <v>0</v>
      </c>
    </row>
    <row r="614" spans="2:15" hidden="1">
      <c r="B614" s="2295" t="s">
        <v>1611</v>
      </c>
      <c r="C614" s="2296">
        <f t="shared" si="182"/>
        <v>0</v>
      </c>
      <c r="D614" s="2296">
        <f>('CF(M)'!L56+'CF(M)'!L57+'CF(M)'!L58+'CF(M)'!L59)/1000</f>
        <v>0</v>
      </c>
      <c r="E614" s="2296">
        <f>(SUM('CF(M)'!M56:O56)+SUM('CF(M)'!M57:O57)+SUM('CF(M)'!M58:O58)+SUM('CF(M)'!M59:O59))/1000</f>
        <v>0</v>
      </c>
      <c r="F614" s="2296">
        <f>(SUM('CF(M)'!P56:R56)+SUM('CF(M)'!P57:R57)+SUM('CF(M)'!P58:R58)+SUM('CF(M)'!P59:R59))/1000</f>
        <v>0</v>
      </c>
      <c r="G614" s="2296">
        <f>(SUM('CF(M)'!S56:U56)+SUM('CF(M)'!S57:U57)+SUM('CF(M)'!S58:U58)+SUM('CF(M)'!S59:U59))/1000</f>
        <v>0</v>
      </c>
      <c r="H614" s="2297">
        <f>(SUM('CF(M)'!V56:X56)+SUM('CF(M)'!V57:X57)+SUM('CF(M)'!V58:X58)+SUM('CF(M)'!V59:X59))/1000</f>
        <v>0</v>
      </c>
      <c r="I614" s="2297">
        <f>(SUM('CF(M)'!Y56:AA56)+SUM('CF(M)'!Y57:AA57)+SUM('CF(M)'!Y58:AA58)+SUM('CF(M)'!Y59:AA59))/1000</f>
        <v>0</v>
      </c>
      <c r="J614" s="2297">
        <f>(SUM('CF(M)'!AB56:AD56)+SUM('CF(M)'!AB57:AD57)+SUM('CF(M)'!AB58:AD58)+SUM('CF(M)'!AB59:AD59))/1000</f>
        <v>0</v>
      </c>
      <c r="K614" s="2297">
        <f>(SUM('CF(M)'!AE56:AG56)+SUM('CF(M)'!AE57:AG57)+SUM('CF(M)'!AE58:AG58)+SUM('CF(M)'!AE59:AG59))/1000</f>
        <v>0</v>
      </c>
      <c r="L614" s="2297">
        <f>(SUM('CF(M)'!AH56:AJ56)+SUM('CF(M)'!AH57:AJ57)+SUM('CF(M)'!AH58:AJ58)+SUM('CF(M)'!AH59:AJ59))/1000</f>
        <v>0</v>
      </c>
      <c r="N614" s="2270">
        <f t="shared" si="185"/>
        <v>0</v>
      </c>
      <c r="O614" s="2270">
        <f t="shared" si="186"/>
        <v>0</v>
      </c>
    </row>
    <row r="615" spans="2:15" ht="12.75" thickBot="1">
      <c r="B615" s="2295" t="s">
        <v>1609</v>
      </c>
      <c r="C615" s="2296">
        <f t="shared" si="182"/>
        <v>-56.197924427992547</v>
      </c>
      <c r="D615" s="2296">
        <f>('CF(M)'!L50+'CF(M)'!L51+'CF(M)'!L52+'CF(M)'!L53)/1000</f>
        <v>-12856.669630531998</v>
      </c>
      <c r="E615" s="2296">
        <f>(SUM('CF(M)'!M50:O50)+SUM('CF(M)'!M51:O51)+SUM('CF(M)'!M52:O52)+SUM('CF(M)'!M53:O53))/1000</f>
        <v>12856.669630532</v>
      </c>
      <c r="F615" s="2296">
        <f>(SUM('CF(M)'!P50:R50)+SUM('CF(M)'!P51:R51)+SUM('CF(M)'!P52:R52)+SUM('CF(M)'!P53:R53))/1000</f>
        <v>-56.176470635715539</v>
      </c>
      <c r="G615" s="2296">
        <f>(SUM('CF(M)'!S50:U50)+SUM('CF(M)'!S51:U51)+SUM('CF(M)'!S52:U52)+SUM('CF(M)'!S53:U53))/1000</f>
        <v>56.176470635715553</v>
      </c>
      <c r="H615" s="2297">
        <f>(SUM('CF(M)'!V50:X50)+SUM('CF(M)'!V51:X51)+SUM('CF(M)'!V52:X52)+SUM('CF(M)'!V53:X53))/1000</f>
        <v>-56.176470635715539</v>
      </c>
      <c r="I615" s="2297">
        <f>(SUM('CF(M)'!Y50:AA50)+SUM('CF(M)'!Y51:AA51)+SUM('CF(M)'!Y52:AA52)+SUM('CF(M)'!Y53:AA53))/1000</f>
        <v>56.176470635715525</v>
      </c>
      <c r="J615" s="2297">
        <f>(SUM('CF(M)'!AB50:AD50)+SUM('CF(M)'!AB51:AD51)+SUM('CF(M)'!AB52:AD52)+SUM('CF(M)'!AB53:AD53))/1000</f>
        <v>-56.197924427994352</v>
      </c>
      <c r="K615" s="2297">
        <f>(SUM('CF(M)'!AE50:AG50)+SUM('CF(M)'!AE51:AG51)+SUM('CF(M)'!AE52:AG52)+SUM('CF(M)'!AE53:AG53))/1000</f>
        <v>56.197924427994337</v>
      </c>
      <c r="L615" s="2297">
        <f>(SUM('CF(M)'!AH50:AJ50)+SUM('CF(M)'!AH51:AJ51)+SUM('CF(M)'!AH52:AJ52)+SUM('CF(M)'!AH53:AJ53))/1000</f>
        <v>-56.197924427994352</v>
      </c>
      <c r="N615" s="2270">
        <f t="shared" si="185"/>
        <v>-56.197924427992341</v>
      </c>
      <c r="O615" s="2270">
        <f t="shared" si="186"/>
        <v>2.0605739337042905E-13</v>
      </c>
    </row>
    <row r="616" spans="2:15" ht="12.75" thickBot="1">
      <c r="B616" s="2289" t="s">
        <v>1547</v>
      </c>
      <c r="C616" s="2304">
        <f t="shared" ca="1" si="182"/>
        <v>291930.00000000006</v>
      </c>
      <c r="D616" s="2304">
        <f t="shared" ref="D616:L616" ca="1" si="193">SUM(D617:D630)</f>
        <v>311756.66963053204</v>
      </c>
      <c r="E616" s="2304">
        <f t="shared" ca="1" si="193"/>
        <v>-12856.669630531998</v>
      </c>
      <c r="F616" s="2304">
        <f t="shared" ca="1" si="193"/>
        <v>-3270</v>
      </c>
      <c r="G616" s="2304">
        <f t="shared" ca="1" si="193"/>
        <v>0</v>
      </c>
      <c r="H616" s="2305">
        <f t="shared" ca="1" si="193"/>
        <v>-3270</v>
      </c>
      <c r="I616" s="2305">
        <f t="shared" ca="1" si="193"/>
        <v>0</v>
      </c>
      <c r="J616" s="2305">
        <f t="shared" ca="1" si="193"/>
        <v>-2715</v>
      </c>
      <c r="K616" s="2305">
        <f t="shared" ca="1" si="193"/>
        <v>0</v>
      </c>
      <c r="L616" s="2305">
        <f t="shared" ca="1" si="193"/>
        <v>2285</v>
      </c>
      <c r="N616" s="2270">
        <f t="shared" ca="1" si="185"/>
        <v>291930.00000000006</v>
      </c>
      <c r="O616" s="2270">
        <f t="shared" ca="1" si="186"/>
        <v>0</v>
      </c>
    </row>
    <row r="617" spans="2:15">
      <c r="B617" s="2292" t="s">
        <v>1593</v>
      </c>
      <c r="C617" s="2293">
        <f t="shared" si="182"/>
        <v>0</v>
      </c>
      <c r="D617" s="2293">
        <f>('CF(M)'!L93+'CF(M)'!L94)/1000</f>
        <v>12856.669630531998</v>
      </c>
      <c r="E617" s="2293">
        <f>(SUM('CF(M)'!M93:O93)+SUM('CF(M)'!M94:O94))/1000</f>
        <v>-12856.669630531998</v>
      </c>
      <c r="F617" s="2293">
        <f>(SUM('CF(M)'!P93:R93)+SUM('CF(M)'!P94:R94))/1000</f>
        <v>0</v>
      </c>
      <c r="G617" s="2293">
        <f>(SUM('CF(M)'!S93:U93)+SUM('CF(M)'!S94:U94))/1000</f>
        <v>0</v>
      </c>
      <c r="H617" s="2294">
        <f>(SUM('CF(M)'!V93:X93)+SUM('CF(M)'!V94:X94))/1000</f>
        <v>0</v>
      </c>
      <c r="I617" s="2294">
        <f>(SUM('CF(M)'!Y93:AA93)+SUM('CF(M)'!Y94:AA94))/1000</f>
        <v>0</v>
      </c>
      <c r="J617" s="2294">
        <f>(SUM('CF(M)'!AB93:AD93)+SUM('CF(M)'!AB94:AD94))/1000</f>
        <v>0</v>
      </c>
      <c r="K617" s="2294">
        <f>(SUM('CF(M)'!AE93:AG93)+SUM('CF(M)'!AE94:AG94))/1000</f>
        <v>0</v>
      </c>
      <c r="L617" s="2294">
        <f>(SUM('CF(M)'!AH93:AJ93)+SUM('CF(M)'!AH94:AJ94))/1000</f>
        <v>0</v>
      </c>
      <c r="N617" s="2270">
        <f t="shared" si="185"/>
        <v>0</v>
      </c>
      <c r="O617" s="2270">
        <f t="shared" si="186"/>
        <v>0</v>
      </c>
    </row>
    <row r="618" spans="2:15">
      <c r="B618" s="2295" t="s">
        <v>205</v>
      </c>
      <c r="C618" s="2296">
        <f t="shared" si="182"/>
        <v>2100</v>
      </c>
      <c r="D618" s="2296">
        <f>('CF(M)'!L69+'CF(M)'!L70)/1000</f>
        <v>2100</v>
      </c>
      <c r="E618" s="2296">
        <f>(SUM('CF(M)'!M69:O69)+SUM('CF(M)'!M70:O70))/1000</f>
        <v>0</v>
      </c>
      <c r="F618" s="2296">
        <f>(SUM('CF(M)'!P69:R69)+SUM('CF(M)'!P70:R70))/1000</f>
        <v>0</v>
      </c>
      <c r="G618" s="2296">
        <f>(SUM('CF(M)'!S69:U69)+SUM('CF(M)'!S70:U70))/1000</f>
        <v>0</v>
      </c>
      <c r="H618" s="2297">
        <f>(SUM('CF(M)'!V69:X69)+SUM('CF(M)'!V70:X70))/1000</f>
        <v>0</v>
      </c>
      <c r="I618" s="2297">
        <f>(SUM('CF(M)'!Y69:AA69)+SUM('CF(M)'!Y70:AA70))/1000</f>
        <v>0</v>
      </c>
      <c r="J618" s="2297">
        <f>(SUM('CF(M)'!AB69:AD69)+SUM('CF(M)'!AB70:AD70))/1000</f>
        <v>0</v>
      </c>
      <c r="K618" s="2297">
        <f>(SUM('CF(M)'!AE69:AG69)+SUM('CF(M)'!AE70:AG70))/1000</f>
        <v>0</v>
      </c>
      <c r="L618" s="2297">
        <f>(SUM('CF(M)'!AH69:AJ69)+SUM('CF(M)'!AH70:AJ70))/1000</f>
        <v>0</v>
      </c>
      <c r="N618" s="2270">
        <f t="shared" si="185"/>
        <v>2100</v>
      </c>
      <c r="O618" s="2270">
        <f t="shared" si="186"/>
        <v>0</v>
      </c>
    </row>
    <row r="619" spans="2:15">
      <c r="B619" s="2295" t="s">
        <v>1562</v>
      </c>
      <c r="C619" s="2296">
        <f t="shared" si="182"/>
        <v>213000</v>
      </c>
      <c r="D619" s="2296">
        <f>('CF(M)'!L72+'CF(M)'!L73+'CF(M)'!L75+'CF(M)'!L76+'CF(M)'!L78+'CF(M)'!L79)/1000</f>
        <v>160000</v>
      </c>
      <c r="E619" s="2296">
        <f>(SUM('CF(M)'!M72:O72)+SUM('CF(M)'!M73:O73)+SUM('CF(M)'!M75:O75)+SUM('CF(M)'!M76:O76)+SUM('CF(M)'!M78:O78)+SUM('CF(M)'!M79:O79))/1000</f>
        <v>0</v>
      </c>
      <c r="F619" s="2296">
        <f>(SUM('CF(M)'!P72:R72)+SUM('CF(M)'!P73:R73)+SUM('CF(M)'!P75:R75)+SUM('CF(M)'!P76:R76)+SUM('CF(M)'!P78:R78)+SUM('CF(M)'!P79:R79))/1000</f>
        <v>0</v>
      </c>
      <c r="G619" s="2296">
        <f>(SUM('CF(M)'!S72:U72)+SUM('CF(M)'!S73:U73)+SUM('CF(M)'!S75:U75)+SUM('CF(M)'!S76:U76)+SUM('CF(M)'!S78:U78)+SUM('CF(M)'!S79:U79))/1000</f>
        <v>0</v>
      </c>
      <c r="H619" s="2297">
        <f>(SUM('CF(M)'!V72:X72)+SUM('CF(M)'!V73:X73)+SUM('CF(M)'!V75:X75)+SUM('CF(M)'!V76:X76)+SUM('CF(M)'!V78:X78)+SUM('CF(M)'!V79:X79))/1000</f>
        <v>0</v>
      </c>
      <c r="I619" s="2297">
        <f>(SUM('CF(M)'!Y72:AA72)+SUM('CF(M)'!Y73:AA73)+SUM('CF(M)'!Y75:AA75)+SUM('CF(M)'!Y76:AA76)+SUM('CF(M)'!Y78:AA78)+SUM('CF(M)'!Y79:AA79))/1000</f>
        <v>0</v>
      </c>
      <c r="J619" s="2297">
        <f>(SUM('CF(M)'!AB72:AD72)+SUM('CF(M)'!AB73:AD73)+SUM('CF(M)'!AB75:AD75)+SUM('CF(M)'!AB76:AD76)+SUM('CF(M)'!AB78:AD78)+SUM('CF(M)'!AB79:AD79))/1000</f>
        <v>0</v>
      </c>
      <c r="K619" s="2297">
        <f>(SUM('CF(M)'!AE72:AG72)+SUM('CF(M)'!AE73:AG73)+SUM('CF(M)'!AE75:AG75)+SUM('CF(M)'!AE76:AG76)+SUM('CF(M)'!AE78:AG78)+SUM('CF(M)'!AE79:AG79))/1000</f>
        <v>0</v>
      </c>
      <c r="L619" s="2297">
        <f>(SUM('CF(M)'!AH72:AJ72)+SUM('CF(M)'!AH73:AJ73)+SUM('CF(M)'!AH75:AJ75)+SUM('CF(M)'!AH76:AJ76)+SUM('CF(M)'!AH78:AJ78)+SUM('CF(M)'!AH79:AJ79))/1000</f>
        <v>53000</v>
      </c>
      <c r="N619" s="2270">
        <f t="shared" si="185"/>
        <v>213000</v>
      </c>
      <c r="O619" s="2270">
        <f t="shared" si="186"/>
        <v>0</v>
      </c>
    </row>
    <row r="620" spans="2:15">
      <c r="B620" s="2295" t="s">
        <v>1564</v>
      </c>
      <c r="C620" s="2296">
        <f t="shared" si="182"/>
        <v>0</v>
      </c>
      <c r="D620" s="2296">
        <f>('CF(M)'!L81+'CF(M)'!L82+'CF(M)'!L84+'CF(M)'!L85+'CF(M)'!L87+'CF(M)'!L88)/1000</f>
        <v>38000</v>
      </c>
      <c r="E620" s="2296">
        <f>(SUM('CF(M)'!M81:O81)+SUM('CF(M)'!M82:O82)+SUM('CF(M)'!M84:O84)+SUM('CF(M)'!M85:O85)+SUM('CF(M)'!M87:O87)+SUM('CF(M)'!M88:O88))/1000</f>
        <v>0</v>
      </c>
      <c r="F620" s="2296">
        <f>(SUM('CF(M)'!P81:R81)+SUM('CF(M)'!P82:R82)+SUM('CF(M)'!P84:R84)+SUM('CF(M)'!P85:R85)+SUM('CF(M)'!P87:R87)+SUM('CF(M)'!P88:R88))/1000</f>
        <v>0</v>
      </c>
      <c r="G620" s="2296">
        <f>(SUM('CF(M)'!S81:U81)+SUM('CF(M)'!S82:U82)+SUM('CF(M)'!S84:U84)+SUM('CF(M)'!S85:U85)+SUM('CF(M)'!S87:U87)+SUM('CF(M)'!S88:U88))/1000</f>
        <v>0</v>
      </c>
      <c r="H620" s="2297">
        <f>(SUM('CF(M)'!V81:X81)+SUM('CF(M)'!V82:X82)+SUM('CF(M)'!V84:X84)+SUM('CF(M)'!V85:X85)+SUM('CF(M)'!V87:X87)+SUM('CF(M)'!V88:X88))/1000</f>
        <v>0</v>
      </c>
      <c r="I620" s="2297">
        <f>(SUM('CF(M)'!Y81:AA81)+SUM('CF(M)'!Y82:AA82)+SUM('CF(M)'!Y84:AA84)+SUM('CF(M)'!Y85:AA85)+SUM('CF(M)'!Y87:AA87)+SUM('CF(M)'!Y88:AA88))/1000</f>
        <v>0</v>
      </c>
      <c r="J620" s="2297">
        <f>(SUM('CF(M)'!AB81:AD81)+SUM('CF(M)'!AB82:AD82)+SUM('CF(M)'!AB84:AD84)+SUM('CF(M)'!AB85:AD85)+SUM('CF(M)'!AB87:AD87)+SUM('CF(M)'!AB88:AD88))/1000</f>
        <v>0</v>
      </c>
      <c r="K620" s="2297">
        <f>(SUM('CF(M)'!AE81:AG81)+SUM('CF(M)'!AE82:AG82)+SUM('CF(M)'!AE84:AG84)+SUM('CF(M)'!AE85:AG85)+SUM('CF(M)'!AE87:AG87)+SUM('CF(M)'!AE88:AG88))/1000</f>
        <v>0</v>
      </c>
      <c r="L620" s="2297">
        <f>(SUM('CF(M)'!AH81:AJ81)+SUM('CF(M)'!AH82:AJ82)+SUM('CF(M)'!AH84:AJ84)+SUM('CF(M)'!AH85:AJ85)+SUM('CF(M)'!AH87:AJ87)+SUM('CF(M)'!AH88:AJ88))/1000</f>
        <v>-38000</v>
      </c>
      <c r="N620" s="2270">
        <f t="shared" si="185"/>
        <v>0</v>
      </c>
      <c r="O620" s="2270">
        <f t="shared" si="186"/>
        <v>0</v>
      </c>
    </row>
    <row r="621" spans="2:15">
      <c r="B621" s="2295" t="s">
        <v>1565</v>
      </c>
      <c r="C621" s="2296">
        <f t="shared" si="182"/>
        <v>24000</v>
      </c>
      <c r="D621" s="2296">
        <f>('CF(M)'!L96)/1000</f>
        <v>24000</v>
      </c>
      <c r="E621" s="2296">
        <f>(SUM('CF(M)'!M96:O96))/1000</f>
        <v>0</v>
      </c>
      <c r="F621" s="2296">
        <f>(SUM('CF(M)'!P96:R96))/1000</f>
        <v>0</v>
      </c>
      <c r="G621" s="2296">
        <f>(SUM('CF(M)'!S96:U96))/1000</f>
        <v>0</v>
      </c>
      <c r="H621" s="2297">
        <f>(SUM('CF(M)'!V96:X96))/1000</f>
        <v>0</v>
      </c>
      <c r="I621" s="2297">
        <f>(SUM('CF(M)'!Y96:AA96))/1000</f>
        <v>0</v>
      </c>
      <c r="J621" s="2297">
        <f>(SUM('CF(M)'!AB96:AD96))/1000</f>
        <v>0</v>
      </c>
      <c r="K621" s="2297">
        <f>(SUM('CF(M)'!AE96:AG96))/1000</f>
        <v>0</v>
      </c>
      <c r="L621" s="2297">
        <f>(SUM('CF(M)'!AH96:AJ96))/1000</f>
        <v>0</v>
      </c>
      <c r="N621" s="2270">
        <f t="shared" si="185"/>
        <v>24000</v>
      </c>
      <c r="O621" s="2270">
        <f t="shared" si="186"/>
        <v>0</v>
      </c>
    </row>
    <row r="622" spans="2:15">
      <c r="B622" s="2295" t="s">
        <v>1566</v>
      </c>
      <c r="C622" s="2296">
        <f t="shared" si="182"/>
        <v>50000</v>
      </c>
      <c r="D622" s="2296">
        <f>('CF(M)'!L101)/1000</f>
        <v>50000</v>
      </c>
      <c r="E622" s="2296">
        <f>(SUM('CF(M)'!M101:O101))/1000</f>
        <v>0</v>
      </c>
      <c r="F622" s="2296">
        <f>(SUM('CF(M)'!P101:R101))/1000</f>
        <v>0</v>
      </c>
      <c r="G622" s="2296">
        <f>(SUM('CF(M)'!S101:U101))/1000</f>
        <v>0</v>
      </c>
      <c r="H622" s="2297">
        <f>(SUM('CF(M)'!V101:X101))/1000</f>
        <v>0</v>
      </c>
      <c r="I622" s="2297">
        <f>(SUM('CF(M)'!Y101:AA101))/1000</f>
        <v>0</v>
      </c>
      <c r="J622" s="2297">
        <f>(SUM('CF(M)'!AB101:AD101))/1000</f>
        <v>0</v>
      </c>
      <c r="K622" s="2297">
        <f>(SUM('CF(M)'!AE101:AG101))/1000</f>
        <v>0</v>
      </c>
      <c r="L622" s="2297">
        <f>(SUM('CF(M)'!AH101:AJ101))/1000</f>
        <v>0</v>
      </c>
      <c r="N622" s="2270">
        <f t="shared" si="185"/>
        <v>50000</v>
      </c>
      <c r="O622" s="2270">
        <f t="shared" si="186"/>
        <v>0</v>
      </c>
    </row>
    <row r="623" spans="2:15">
      <c r="B623" s="2295" t="s">
        <v>1567</v>
      </c>
      <c r="C623" s="2296">
        <f t="shared" si="182"/>
        <v>0</v>
      </c>
      <c r="D623" s="2296">
        <f>('CF(M)'!L106+'CF(M)'!L107+'CF(M)'!L108+'CF(M)'!L109)/1000</f>
        <v>10000</v>
      </c>
      <c r="E623" s="2296">
        <f>(SUM('CF(M)'!M106:O106)+SUM('CF(M)'!M107:O107)+SUM('CF(M)'!M108:O108)+SUM('CF(M)'!M109:O109))/1000</f>
        <v>0</v>
      </c>
      <c r="F623" s="2296">
        <f>(SUM('CF(M)'!P106:R106)+SUM('CF(M)'!P107:R107)+SUM('CF(M)'!P108:R108)+SUM('CF(M)'!P109:R109))/1000</f>
        <v>0</v>
      </c>
      <c r="G623" s="2296">
        <f>(SUM('CF(M)'!S106:U106)+SUM('CF(M)'!S107:U107)+SUM('CF(M)'!S108:U108)+SUM('CF(M)'!S109:U109))/1000</f>
        <v>0</v>
      </c>
      <c r="H623" s="2297">
        <f>(SUM('CF(M)'!V106:X106)+SUM('CF(M)'!V107:X107)+SUM('CF(M)'!V108:X108)+SUM('CF(M)'!V109:X109))/1000</f>
        <v>0</v>
      </c>
      <c r="I623" s="2297">
        <f>(SUM('CF(M)'!Y106:AA106)+SUM('CF(M)'!Y107:AA107)+SUM('CF(M)'!Y108:AA108)+SUM('CF(M)'!Y109:AA109))/1000</f>
        <v>0</v>
      </c>
      <c r="J623" s="2297">
        <f>(SUM('CF(M)'!AB106:AD106)+SUM('CF(M)'!AB107:AD107)+SUM('CF(M)'!AB108:AD108)+SUM('CF(M)'!AB109:AD109))/1000</f>
        <v>0</v>
      </c>
      <c r="K623" s="2297">
        <f>(SUM('CF(M)'!AE106:AG106)+SUM('CF(M)'!AE107:AG107)+SUM('CF(M)'!AE108:AG108)+SUM('CF(M)'!AE109:AG109))/1000</f>
        <v>0</v>
      </c>
      <c r="L623" s="2297">
        <f>(SUM('CF(M)'!AH106:AJ106)+SUM('CF(M)'!AH107:AJ107)+SUM('CF(M)'!AH108:AJ108)+SUM('CF(M)'!AH109:AJ109))/1000</f>
        <v>-10000</v>
      </c>
      <c r="N623" s="2270">
        <f t="shared" si="185"/>
        <v>0</v>
      </c>
      <c r="O623" s="2270">
        <f t="shared" si="186"/>
        <v>0</v>
      </c>
    </row>
    <row r="624" spans="2:15">
      <c r="B624" s="2295" t="s">
        <v>19</v>
      </c>
      <c r="C624" s="2296">
        <f t="shared" si="182"/>
        <v>14800</v>
      </c>
      <c r="D624" s="2296">
        <f>('CF(M)'!L111)/1000</f>
        <v>14800</v>
      </c>
      <c r="E624" s="2296">
        <f>(SUM('CF(M)'!M111:O111))/1000</f>
        <v>0</v>
      </c>
      <c r="F624" s="2296">
        <f>(SUM('CF(M)'!P111:R111))/1000</f>
        <v>0</v>
      </c>
      <c r="G624" s="2296">
        <f>(SUM('CF(M)'!S111:U111))/1000</f>
        <v>0</v>
      </c>
      <c r="H624" s="2297">
        <f>(SUM('CF(M)'!V111:X111))/1000</f>
        <v>0</v>
      </c>
      <c r="I624" s="2297">
        <f>(SUM('CF(M)'!Y111:AA111))/1000</f>
        <v>0</v>
      </c>
      <c r="J624" s="2297">
        <f>(SUM('CF(M)'!AB111:AD111))/1000</f>
        <v>0</v>
      </c>
      <c r="K624" s="2297">
        <f>(SUM('CF(M)'!AE111:AG111))/1000</f>
        <v>0</v>
      </c>
      <c r="L624" s="2297">
        <f>(SUM('CF(M)'!AH111:AJ111))/1000</f>
        <v>0</v>
      </c>
      <c r="N624" s="2270">
        <f t="shared" si="185"/>
        <v>14800</v>
      </c>
      <c r="O624" s="2270">
        <f t="shared" si="186"/>
        <v>0</v>
      </c>
    </row>
    <row r="625" spans="1:15">
      <c r="B625" s="2295" t="s">
        <v>1548</v>
      </c>
      <c r="C625" s="2296">
        <f t="shared" ca="1" si="182"/>
        <v>-3360.0000000000005</v>
      </c>
      <c r="D625" s="2296">
        <f ca="1">('CF(M)'!L98)/1000</f>
        <v>0</v>
      </c>
      <c r="E625" s="2296">
        <f ca="1">(SUM('CF(M)'!M98:O98))/1000</f>
        <v>0</v>
      </c>
      <c r="F625" s="2296">
        <f ca="1">(SUM('CF(M)'!P98:R98))/1000</f>
        <v>-840.00000000000011</v>
      </c>
      <c r="G625" s="2296">
        <f ca="1">(SUM('CF(M)'!S98:U98))/1000</f>
        <v>0</v>
      </c>
      <c r="H625" s="2297">
        <f ca="1">(SUM('CF(M)'!V98:X98))/1000</f>
        <v>-840.00000000000011</v>
      </c>
      <c r="I625" s="2297">
        <f ca="1">(SUM('CF(M)'!Y98:AA98))/1000</f>
        <v>0</v>
      </c>
      <c r="J625" s="2297">
        <f ca="1">(SUM('CF(M)'!AB98:AD98))/1000</f>
        <v>-840.00000000000011</v>
      </c>
      <c r="K625" s="2297">
        <f ca="1">(SUM('CF(M)'!AE98:AG98))/1000</f>
        <v>0</v>
      </c>
      <c r="L625" s="2297">
        <f ca="1">(SUM('CF(M)'!AH98:AJ98))/1000</f>
        <v>-840.00000000000011</v>
      </c>
      <c r="N625" s="2270">
        <f t="shared" ca="1" si="185"/>
        <v>-3360.0000000000005</v>
      </c>
      <c r="O625" s="2270">
        <f t="shared" ca="1" si="186"/>
        <v>0</v>
      </c>
    </row>
    <row r="626" spans="1:15">
      <c r="B626" s="2295" t="s">
        <v>1549</v>
      </c>
      <c r="C626" s="2296">
        <f t="shared" ca="1" si="182"/>
        <v>-7500</v>
      </c>
      <c r="D626" s="2296">
        <f ca="1">('CF(M)'!L103)/1000</f>
        <v>0</v>
      </c>
      <c r="E626" s="2296">
        <f ca="1">(SUM('CF(M)'!M103:O103))/1000</f>
        <v>0</v>
      </c>
      <c r="F626" s="2296">
        <f ca="1">(SUM('CF(M)'!P103:R103))/1000</f>
        <v>-1875</v>
      </c>
      <c r="G626" s="2296">
        <f ca="1">(SUM('CF(M)'!S103:U103))/1000</f>
        <v>0</v>
      </c>
      <c r="H626" s="2297">
        <f ca="1">(SUM('CF(M)'!V103:X103))/1000</f>
        <v>-1875</v>
      </c>
      <c r="I626" s="2297">
        <f ca="1">(SUM('CF(M)'!Y103:AA103))/1000</f>
        <v>0</v>
      </c>
      <c r="J626" s="2297">
        <f ca="1">(SUM('CF(M)'!AB103:AD103))/1000</f>
        <v>-1875</v>
      </c>
      <c r="K626" s="2297">
        <f ca="1">(SUM('CF(M)'!AE103:AG103))/1000</f>
        <v>0</v>
      </c>
      <c r="L626" s="2297">
        <f ca="1">(SUM('CF(M)'!AH103:AJ103))/1000</f>
        <v>-1875</v>
      </c>
      <c r="N626" s="2270">
        <f t="shared" ca="1" si="185"/>
        <v>-7500</v>
      </c>
      <c r="O626" s="2270">
        <f t="shared" ca="1" si="186"/>
        <v>0</v>
      </c>
    </row>
    <row r="627" spans="1:15" ht="12.75" thickBot="1">
      <c r="B627" s="2295" t="s">
        <v>1550</v>
      </c>
      <c r="C627" s="2296">
        <f t="shared" ca="1" si="182"/>
        <v>-1110</v>
      </c>
      <c r="D627" s="2296">
        <f ca="1">('CF(M)'!L113)/1000</f>
        <v>0</v>
      </c>
      <c r="E627" s="2296">
        <f ca="1">(SUM('CF(M)'!M113:O113))/1000</f>
        <v>0</v>
      </c>
      <c r="F627" s="2296">
        <f ca="1">(SUM('CF(M)'!P113:R113))/1000</f>
        <v>-555</v>
      </c>
      <c r="G627" s="2296">
        <f ca="1">(SUM('CF(M)'!S113:U113))/1000</f>
        <v>0</v>
      </c>
      <c r="H627" s="2297">
        <f ca="1">(SUM('CF(M)'!V113:X113))/1000</f>
        <v>-555</v>
      </c>
      <c r="I627" s="2297">
        <f ca="1">(SUM('CF(M)'!Y113:AA113))/1000</f>
        <v>0</v>
      </c>
      <c r="J627" s="2297">
        <f ca="1">(SUM('CF(M)'!AB113:AD113))/1000</f>
        <v>0</v>
      </c>
      <c r="K627" s="2297">
        <f ca="1">(SUM('CF(M)'!AE113:AG113))/1000</f>
        <v>0</v>
      </c>
      <c r="L627" s="2297">
        <f ca="1">(SUM('CF(M)'!AH113:AJ113))/1000</f>
        <v>0</v>
      </c>
      <c r="N627" s="2270">
        <f t="shared" ca="1" si="185"/>
        <v>-1110</v>
      </c>
      <c r="O627" s="2270">
        <f t="shared" ca="1" si="186"/>
        <v>0</v>
      </c>
    </row>
    <row r="628" spans="1:15" hidden="1">
      <c r="B628" s="2295" t="s">
        <v>1612</v>
      </c>
      <c r="C628" s="2296">
        <f t="shared" si="182"/>
        <v>0</v>
      </c>
      <c r="D628" s="2296">
        <f>('CF(M)'!L97+'CF(M)'!L99)/1000</f>
        <v>0</v>
      </c>
      <c r="E628" s="2296">
        <f>(SUM('CF(M)'!M97:O97)+SUM('CF(M)'!M99:O99))/1000</f>
        <v>0</v>
      </c>
      <c r="F628" s="2296">
        <f>(SUM('CF(M)'!P97:R97)+SUM('CF(M)'!P99:R99))/1000</f>
        <v>0</v>
      </c>
      <c r="G628" s="2296">
        <f>(SUM('CF(M)'!S97:U97)+SUM('CF(M)'!S99:U99))/1000</f>
        <v>0</v>
      </c>
      <c r="H628" s="2297">
        <f>(SUM('CF(M)'!V97:X97)+SUM('CF(M)'!V99:X99))/1000</f>
        <v>0</v>
      </c>
      <c r="I628" s="2297">
        <f>(SUM('CF(M)'!Y97:AA97)+SUM('CF(M)'!Y99:AA99))/1000</f>
        <v>0</v>
      </c>
      <c r="J628" s="2297">
        <f>(SUM('CF(M)'!AB97:AD97)+SUM('CF(M)'!AB99:AD99))/1000</f>
        <v>0</v>
      </c>
      <c r="K628" s="2297">
        <f>(SUM('CF(M)'!AE97:AG97)+SUM('CF(M)'!AE99:AG99))/1000</f>
        <v>0</v>
      </c>
      <c r="L628" s="2297">
        <f>(SUM('CF(M)'!AH97:AJ97)+SUM('CF(M)'!AH99:AJ99))/1000</f>
        <v>0</v>
      </c>
      <c r="N628" s="2270">
        <f t="shared" si="185"/>
        <v>0</v>
      </c>
      <c r="O628" s="2270">
        <f t="shared" si="186"/>
        <v>0</v>
      </c>
    </row>
    <row r="629" spans="1:15" hidden="1">
      <c r="B629" s="2295" t="s">
        <v>1613</v>
      </c>
      <c r="C629" s="2296">
        <f t="shared" si="182"/>
        <v>0</v>
      </c>
      <c r="D629" s="2296">
        <f>('CF(M)'!L102+'CF(M)'!L104)/1000</f>
        <v>0</v>
      </c>
      <c r="E629" s="2296">
        <f>(SUM('CF(M)'!M102:O102)+SUM('CF(M)'!M104:O104))/1000</f>
        <v>0</v>
      </c>
      <c r="F629" s="2296">
        <f>(SUM('CF(M)'!P102:R102)+SUM('CF(M)'!P104:R104))/1000</f>
        <v>0</v>
      </c>
      <c r="G629" s="2296">
        <f>(SUM('CF(M)'!S102:U102)+SUM('CF(M)'!S104:U104))/1000</f>
        <v>0</v>
      </c>
      <c r="H629" s="2297">
        <f>(SUM('CF(M)'!V102:X102)+SUM('CF(M)'!V104:X104))/1000</f>
        <v>0</v>
      </c>
      <c r="I629" s="2297">
        <f>(SUM('CF(M)'!Y102:AA102)+SUM('CF(M)'!Y104:AA104))/1000</f>
        <v>0</v>
      </c>
      <c r="J629" s="2297">
        <f>(SUM('CF(M)'!AB102:AD102)+SUM('CF(M)'!AB104:AD104))/1000</f>
        <v>0</v>
      </c>
      <c r="K629" s="2297">
        <f>(SUM('CF(M)'!AE102:AG102)+SUM('CF(M)'!AE104:AG104))/1000</f>
        <v>0</v>
      </c>
      <c r="L629" s="2297">
        <f>(SUM('CF(M)'!AH102:AJ102)+SUM('CF(M)'!AH104:AJ104))/1000</f>
        <v>0</v>
      </c>
      <c r="N629" s="2270">
        <f t="shared" si="185"/>
        <v>0</v>
      </c>
      <c r="O629" s="2270">
        <f t="shared" si="186"/>
        <v>0</v>
      </c>
    </row>
    <row r="630" spans="1:15" ht="12.75" hidden="1" thickBot="1">
      <c r="B630" s="2295" t="s">
        <v>1614</v>
      </c>
      <c r="C630" s="2296">
        <f t="shared" si="182"/>
        <v>0</v>
      </c>
      <c r="D630" s="2296">
        <f>('CF(M)'!L112+'CF(M)'!L114)/1000</f>
        <v>0</v>
      </c>
      <c r="E630" s="2296">
        <f>(SUM('CF(M)'!M112:O112)+SUM('CF(M)'!M114:O114))/1000</f>
        <v>0</v>
      </c>
      <c r="F630" s="2296">
        <f>(SUM('CF(M)'!P112:R112)+SUM('CF(M)'!P114:R114))/1000</f>
        <v>0</v>
      </c>
      <c r="G630" s="2296">
        <f>(SUM('CF(M)'!S112:U112)+SUM('CF(M)'!S114:U114))/1000</f>
        <v>0</v>
      </c>
      <c r="H630" s="2297">
        <f>(SUM('CF(M)'!V112:X112)+SUM('CF(M)'!V114:X114))/1000</f>
        <v>0</v>
      </c>
      <c r="I630" s="2297">
        <f>(SUM('CF(M)'!Y112:AA112)+SUM('CF(M)'!Y114:AA114))/1000</f>
        <v>0</v>
      </c>
      <c r="J630" s="2297">
        <f>(SUM('CF(M)'!AB112:AD112)+SUM('CF(M)'!AB114:AD114))/1000</f>
        <v>0</v>
      </c>
      <c r="K630" s="2297">
        <f>(SUM('CF(M)'!AE112:AG112)+SUM('CF(M)'!AE114:AG114))/1000</f>
        <v>0</v>
      </c>
      <c r="L630" s="2297">
        <f>(SUM('CF(M)'!AH112:AJ112)+SUM('CF(M)'!AH114:AJ114))/1000</f>
        <v>0</v>
      </c>
      <c r="N630" s="2270">
        <f t="shared" si="185"/>
        <v>0</v>
      </c>
      <c r="O630" s="2270">
        <f t="shared" si="186"/>
        <v>0</v>
      </c>
    </row>
    <row r="631" spans="1:15" ht="12.75" thickBot="1">
      <c r="B631" s="2289" t="s">
        <v>1553</v>
      </c>
      <c r="C631" s="2304">
        <f ca="1">ROUND(L633-D632,0)</f>
        <v>8750</v>
      </c>
      <c r="D631" s="2304">
        <f t="shared" ref="D631:L631" ca="1" si="194">D585+D611+D616</f>
        <v>10000.000000000116</v>
      </c>
      <c r="E631" s="2304">
        <f t="shared" ca="1" si="194"/>
        <v>27.891305060478771</v>
      </c>
      <c r="F631" s="2304">
        <f t="shared" ca="1" si="194"/>
        <v>-2349.8002286328401</v>
      </c>
      <c r="G631" s="2304">
        <f t="shared" ca="1" si="194"/>
        <v>999.18938815505351</v>
      </c>
      <c r="H631" s="2305">
        <f t="shared" ca="1" si="194"/>
        <v>-2481.4597601792011</v>
      </c>
      <c r="I631" s="2305">
        <f t="shared" ca="1" si="194"/>
        <v>192.3847993141105</v>
      </c>
      <c r="J631" s="2305">
        <f t="shared" ca="1" si="194"/>
        <v>-1746.0253826065893</v>
      </c>
      <c r="K631" s="2305">
        <f t="shared" ca="1" si="194"/>
        <v>1001.5421102927346</v>
      </c>
      <c r="L631" s="2305">
        <f t="shared" ca="1" si="194"/>
        <v>3106.1896218967049</v>
      </c>
      <c r="N631" s="2270">
        <f t="shared" ca="1" si="185"/>
        <v>8749.9118533005712</v>
      </c>
      <c r="O631" s="2270">
        <f t="shared" ca="1" si="186"/>
        <v>-8.8146699428762076E-2</v>
      </c>
    </row>
    <row r="632" spans="1:15" ht="12.75" thickBot="1">
      <c r="B632" s="2303" t="s">
        <v>1551</v>
      </c>
      <c r="C632" s="2304">
        <f ca="1">SUM(D632:L632)</f>
        <v>59253.1914067076</v>
      </c>
      <c r="D632" s="2304">
        <v>0</v>
      </c>
      <c r="E632" s="2304">
        <f t="shared" ref="E632:L632" ca="1" si="195">D633</f>
        <v>10000.000000000116</v>
      </c>
      <c r="F632" s="2304">
        <f t="shared" ca="1" si="195"/>
        <v>10027.891305060595</v>
      </c>
      <c r="G632" s="2304">
        <f t="shared" ca="1" si="195"/>
        <v>7678.0910764277551</v>
      </c>
      <c r="H632" s="2305">
        <f t="shared" ca="1" si="195"/>
        <v>8677.2804645828091</v>
      </c>
      <c r="I632" s="2305">
        <f t="shared" ca="1" si="195"/>
        <v>6195.820704403608</v>
      </c>
      <c r="J632" s="2305">
        <f t="shared" ca="1" si="195"/>
        <v>6388.2055037177188</v>
      </c>
      <c r="K632" s="2305">
        <f t="shared" ca="1" si="195"/>
        <v>4642.1801211111297</v>
      </c>
      <c r="L632" s="2305">
        <f t="shared" ca="1" si="195"/>
        <v>5643.7222314038645</v>
      </c>
      <c r="N632" s="2270">
        <f t="shared" ca="1" si="185"/>
        <v>16195.820704403728</v>
      </c>
      <c r="O632" s="2270">
        <f t="shared" ca="1" si="186"/>
        <v>-43057.370702303873</v>
      </c>
    </row>
    <row r="633" spans="1:15" ht="12.75" thickBot="1">
      <c r="B633" s="2289" t="s">
        <v>1552</v>
      </c>
      <c r="C633" s="2304">
        <f ca="1">SUM(D633:L633)</f>
        <v>68003.103260008167</v>
      </c>
      <c r="D633" s="2304">
        <f t="shared" ref="D633:L633" ca="1" si="196">SUM(D631:D632)</f>
        <v>10000.000000000116</v>
      </c>
      <c r="E633" s="2304">
        <f t="shared" ca="1" si="196"/>
        <v>10027.891305060595</v>
      </c>
      <c r="F633" s="2304">
        <f t="shared" ca="1" si="196"/>
        <v>7678.0910764277551</v>
      </c>
      <c r="G633" s="2304">
        <f t="shared" ca="1" si="196"/>
        <v>8677.2804645828091</v>
      </c>
      <c r="H633" s="2305">
        <f t="shared" ca="1" si="196"/>
        <v>6195.820704403608</v>
      </c>
      <c r="I633" s="2305">
        <f t="shared" ca="1" si="196"/>
        <v>6388.2055037177188</v>
      </c>
      <c r="J633" s="2305">
        <f t="shared" ca="1" si="196"/>
        <v>4642.1801211111297</v>
      </c>
      <c r="K633" s="2305">
        <f t="shared" ca="1" si="196"/>
        <v>5643.7222314038645</v>
      </c>
      <c r="L633" s="2305">
        <f t="shared" ca="1" si="196"/>
        <v>8749.9118533005694</v>
      </c>
      <c r="N633" s="2270">
        <f t="shared" ca="1" si="185"/>
        <v>24945.732557704301</v>
      </c>
      <c r="O633" s="2270">
        <f t="shared" ca="1" si="186"/>
        <v>-43057.370702303866</v>
      </c>
    </row>
    <row r="634" spans="1:15">
      <c r="C634" s="2306"/>
      <c r="D634" s="2306"/>
      <c r="E634" s="2306"/>
      <c r="F634" s="2306"/>
      <c r="G634" s="2306"/>
      <c r="H634" s="2306"/>
      <c r="I634" s="2306"/>
      <c r="J634" s="2306"/>
      <c r="K634" s="2306"/>
      <c r="L634" s="2497">
        <f ca="1">F203</f>
        <v>8749.9118533005712</v>
      </c>
      <c r="N634" s="2270">
        <f t="shared" si="185"/>
        <v>0</v>
      </c>
      <c r="O634" s="2270">
        <f t="shared" si="186"/>
        <v>0</v>
      </c>
    </row>
    <row r="635" spans="1:15">
      <c r="C635" s="2306"/>
      <c r="D635" s="2306"/>
      <c r="E635" s="2306"/>
      <c r="F635" s="2306"/>
      <c r="G635" s="2306"/>
      <c r="H635" s="2306"/>
      <c r="I635" s="2306"/>
      <c r="J635" s="2306"/>
      <c r="K635" s="2306" t="s">
        <v>567</v>
      </c>
      <c r="L635" s="2498">
        <f ca="1">L633-L634</f>
        <v>0</v>
      </c>
      <c r="N635" s="2270">
        <f t="shared" si="185"/>
        <v>0</v>
      </c>
      <c r="O635" s="2270">
        <f t="shared" si="186"/>
        <v>0</v>
      </c>
    </row>
    <row r="636" spans="1:15">
      <c r="N636" s="2270">
        <f t="shared" si="185"/>
        <v>0</v>
      </c>
      <c r="O636" s="2270">
        <f t="shared" si="186"/>
        <v>0</v>
      </c>
    </row>
    <row r="637" spans="1:15">
      <c r="A637" s="2234" t="s">
        <v>1665</v>
      </c>
      <c r="N637" s="2270">
        <f t="shared" si="185"/>
        <v>0</v>
      </c>
      <c r="O637" s="2270">
        <f t="shared" si="186"/>
        <v>0</v>
      </c>
    </row>
    <row r="638" spans="1:15">
      <c r="B638" s="2812" t="s">
        <v>1449</v>
      </c>
      <c r="C638" s="2814" t="s">
        <v>1460</v>
      </c>
      <c r="D638" s="2412" t="str">
        <f t="shared" ref="D638:L638" si="197">D583</f>
        <v>26.10</v>
      </c>
      <c r="E638" s="2412" t="str">
        <f t="shared" si="197"/>
        <v>27.01</v>
      </c>
      <c r="F638" s="2412" t="str">
        <f t="shared" si="197"/>
        <v>27.04</v>
      </c>
      <c r="G638" s="2412" t="str">
        <f t="shared" si="197"/>
        <v>27.07</v>
      </c>
      <c r="H638" s="2412" t="str">
        <f t="shared" si="197"/>
        <v>27.10</v>
      </c>
      <c r="I638" s="2412" t="str">
        <f t="shared" si="197"/>
        <v>28.01</v>
      </c>
      <c r="J638" s="2412" t="str">
        <f t="shared" si="197"/>
        <v>28.04</v>
      </c>
      <c r="K638" s="2412" t="str">
        <f t="shared" si="197"/>
        <v>28.07</v>
      </c>
      <c r="L638" s="2413" t="str">
        <f t="shared" si="197"/>
        <v>28.10</v>
      </c>
    </row>
    <row r="639" spans="1:15" ht="12.75" thickBot="1">
      <c r="B639" s="2813"/>
      <c r="C639" s="2815"/>
      <c r="D639" s="2285" t="str">
        <f t="shared" ref="D639:L639" si="198">D584</f>
        <v>투자일</v>
      </c>
      <c r="E639" s="2285">
        <f t="shared" si="198"/>
        <v>1</v>
      </c>
      <c r="F639" s="2285">
        <f t="shared" si="198"/>
        <v>2</v>
      </c>
      <c r="G639" s="2285">
        <f t="shared" si="198"/>
        <v>3</v>
      </c>
      <c r="H639" s="2285">
        <f t="shared" si="198"/>
        <v>4</v>
      </c>
      <c r="I639" s="2285">
        <f t="shared" si="198"/>
        <v>5</v>
      </c>
      <c r="J639" s="2285">
        <f t="shared" si="198"/>
        <v>6</v>
      </c>
      <c r="K639" s="2285">
        <f t="shared" si="198"/>
        <v>7</v>
      </c>
      <c r="L639" s="2286">
        <f t="shared" si="198"/>
        <v>8</v>
      </c>
    </row>
    <row r="640" spans="1:15">
      <c r="B640" s="2292" t="s">
        <v>1555</v>
      </c>
      <c r="C640" s="2293"/>
      <c r="D640" s="2293">
        <f ca="1">'BS(M)'!K16/1000</f>
        <v>10000</v>
      </c>
      <c r="E640" s="2293">
        <f ca="1">'BS(M)'!N16/1000</f>
        <v>10027.891305060479</v>
      </c>
      <c r="F640" s="2293">
        <f ca="1">'BS(M)'!Q16/1000</f>
        <v>7678.0910764276387</v>
      </c>
      <c r="G640" s="2293">
        <f ca="1">'BS(M)'!T16/1000</f>
        <v>8677.2804645826927</v>
      </c>
      <c r="H640" s="2293">
        <f ca="1">'BS(M)'!W16/1000</f>
        <v>6195.8207044034934</v>
      </c>
      <c r="I640" s="2293">
        <f ca="1">'BS(M)'!Z16/1000</f>
        <v>6388.2055037176033</v>
      </c>
      <c r="J640" s="2293">
        <f ca="1">'BS(M)'!AC16/1000</f>
        <v>4642.1801211110132</v>
      </c>
      <c r="K640" s="2293">
        <f ca="1">'BS(M)'!AF16/1000</f>
        <v>5643.7222314037472</v>
      </c>
      <c r="L640" s="2294">
        <f ca="1">'BS(M)'!AI16/1000</f>
        <v>8749.9118533004548</v>
      </c>
    </row>
    <row r="641" spans="2:12">
      <c r="B641" s="2295" t="s">
        <v>1615</v>
      </c>
      <c r="C641" s="2296"/>
      <c r="D641" s="2296">
        <f>'BS(M)'!K17/1000</f>
        <v>12856.669630531998</v>
      </c>
      <c r="E641" s="2296">
        <f>'BS(M)'!N17/1000</f>
        <v>0</v>
      </c>
      <c r="F641" s="2296">
        <f>'BS(M)'!Q17/1000</f>
        <v>56.176470635715539</v>
      </c>
      <c r="G641" s="2296">
        <f>'BS(M)'!T17/1000</f>
        <v>0</v>
      </c>
      <c r="H641" s="2296">
        <f>'BS(M)'!W17/1000</f>
        <v>56.176470635715539</v>
      </c>
      <c r="I641" s="2296">
        <f>'BS(M)'!Z17/1000</f>
        <v>0</v>
      </c>
      <c r="J641" s="2296">
        <f>'BS(M)'!AC17/1000</f>
        <v>56.197924427994352</v>
      </c>
      <c r="K641" s="2296">
        <f>'BS(M)'!AF17/1000</f>
        <v>0</v>
      </c>
      <c r="L641" s="2297">
        <f>'BS(M)'!AI17/1000</f>
        <v>56.197924427994352</v>
      </c>
    </row>
    <row r="642" spans="2:12" hidden="1">
      <c r="B642" s="2295" t="s">
        <v>237</v>
      </c>
      <c r="C642" s="2296"/>
      <c r="D642" s="2296">
        <f>'BS(M)'!K18/1000</f>
        <v>0</v>
      </c>
      <c r="E642" s="2296">
        <f>'BS(M)'!N18/1000</f>
        <v>0</v>
      </c>
      <c r="F642" s="2296">
        <f>'BS(M)'!Q18/1000</f>
        <v>0</v>
      </c>
      <c r="G642" s="2296">
        <f>'BS(M)'!T18/1000</f>
        <v>0</v>
      </c>
      <c r="H642" s="2296">
        <f>'BS(M)'!W18/1000</f>
        <v>0</v>
      </c>
      <c r="I642" s="2296">
        <f>'BS(M)'!Z18/1000</f>
        <v>0</v>
      </c>
      <c r="J642" s="2296">
        <f>'BS(M)'!AC18/1000</f>
        <v>0</v>
      </c>
      <c r="K642" s="2296">
        <f>'BS(M)'!AF18/1000</f>
        <v>0</v>
      </c>
      <c r="L642" s="2297">
        <f>'BS(M)'!AI18/1000</f>
        <v>0</v>
      </c>
    </row>
    <row r="643" spans="2:12">
      <c r="B643" s="2295" t="s">
        <v>238</v>
      </c>
      <c r="C643" s="2296"/>
      <c r="D643" s="2296">
        <f ca="1">'BS(M)'!K19/1000</f>
        <v>0</v>
      </c>
      <c r="E643" s="2296">
        <f ca="1">'BS(M)'!N19/1000</f>
        <v>556.713525</v>
      </c>
      <c r="F643" s="2296">
        <f ca="1">'BS(M)'!Q19/1000</f>
        <v>371.14234999999996</v>
      </c>
      <c r="G643" s="2296">
        <f ca="1">'BS(M)'!T19/1000</f>
        <v>185.57117499999993</v>
      </c>
      <c r="H643" s="2296">
        <f ca="1">'BS(M)'!W19/1000</f>
        <v>-1.0186340659856796E-13</v>
      </c>
      <c r="I643" s="2296">
        <f ca="1">'BS(M)'!Z19/1000</f>
        <v>545.57925449999993</v>
      </c>
      <c r="J643" s="2296">
        <f ca="1">'BS(M)'!AC19/1000</f>
        <v>363.71950299999997</v>
      </c>
      <c r="K643" s="2296">
        <f ca="1">'BS(M)'!AF19/1000</f>
        <v>181.85975149999996</v>
      </c>
      <c r="L643" s="2297">
        <f ca="1">'BS(M)'!AI19/1000</f>
        <v>-7.2759576141834261E-14</v>
      </c>
    </row>
    <row r="644" spans="2:12">
      <c r="B644" s="2295" t="s">
        <v>240</v>
      </c>
      <c r="C644" s="2296"/>
      <c r="D644" s="2296">
        <f>'BS(M)'!K21/1000</f>
        <v>152192.51999999999</v>
      </c>
      <c r="E644" s="2296">
        <f>'BS(M)'!N21/1000</f>
        <v>152192.51999999999</v>
      </c>
      <c r="F644" s="2296">
        <f>'BS(M)'!Q21/1000</f>
        <v>152192.51999999999</v>
      </c>
      <c r="G644" s="2296">
        <f>'BS(M)'!T21/1000</f>
        <v>152192.51999999999</v>
      </c>
      <c r="H644" s="2296">
        <f>'BS(M)'!W21/1000</f>
        <v>152192.51999999999</v>
      </c>
      <c r="I644" s="2296">
        <f>'BS(M)'!Z21/1000</f>
        <v>152192.51999999999</v>
      </c>
      <c r="J644" s="2296">
        <f>'BS(M)'!AC21/1000</f>
        <v>152192.51999999999</v>
      </c>
      <c r="K644" s="2296">
        <f>'BS(M)'!AF21/1000</f>
        <v>152192.51999999999</v>
      </c>
      <c r="L644" s="2297">
        <f>'BS(M)'!AI21/1000</f>
        <v>152192.51999999999</v>
      </c>
    </row>
    <row r="645" spans="2:12">
      <c r="B645" s="2295" t="s">
        <v>241</v>
      </c>
      <c r="C645" s="2296"/>
      <c r="D645" s="2296">
        <f>'BS(M)'!K22/1000</f>
        <v>136707.48000000001</v>
      </c>
      <c r="E645" s="2296">
        <f>'BS(M)'!N22/1000</f>
        <v>136707.48000000001</v>
      </c>
      <c r="F645" s="2296">
        <f>'BS(M)'!Q22/1000</f>
        <v>136707.48000000001</v>
      </c>
      <c r="G645" s="2296">
        <f>'BS(M)'!T22/1000</f>
        <v>136707.48000000001</v>
      </c>
      <c r="H645" s="2296">
        <f>'BS(M)'!W22/1000</f>
        <v>136707.48000000001</v>
      </c>
      <c r="I645" s="2296">
        <f>'BS(M)'!Z22/1000</f>
        <v>136707.48000000001</v>
      </c>
      <c r="J645" s="2296">
        <f>'BS(M)'!AC22/1000</f>
        <v>136707.48000000001</v>
      </c>
      <c r="K645" s="2296">
        <f>'BS(M)'!AF22/1000</f>
        <v>136707.48000000001</v>
      </c>
      <c r="L645" s="2297">
        <f>'BS(M)'!AI22/1000</f>
        <v>136707.48000000001</v>
      </c>
    </row>
    <row r="646" spans="2:12" ht="12.75" thickBot="1">
      <c r="B646" s="2295" t="s">
        <v>517</v>
      </c>
      <c r="C646" s="2296"/>
      <c r="D646" s="2296">
        <f>'BS(M)'!K23/1000</f>
        <v>0</v>
      </c>
      <c r="E646" s="2296">
        <f>'BS(M)'!N23/1000</f>
        <v>-854.42174999999997</v>
      </c>
      <c r="F646" s="2296">
        <f>'BS(M)'!Q23/1000</f>
        <v>-1708.8434999999999</v>
      </c>
      <c r="G646" s="2296">
        <f>'BS(M)'!T23/1000</f>
        <v>-2563.2652499999999</v>
      </c>
      <c r="H646" s="2296">
        <f>'BS(M)'!W23/1000</f>
        <v>-3417.6869999999999</v>
      </c>
      <c r="I646" s="2296">
        <f>'BS(M)'!Z23/1000</f>
        <v>-4272.1087500000003</v>
      </c>
      <c r="J646" s="2296">
        <f>'BS(M)'!AC23/1000</f>
        <v>-5126.5304999999998</v>
      </c>
      <c r="K646" s="2296">
        <f>'BS(M)'!AF23/1000</f>
        <v>-5980.9522500000003</v>
      </c>
      <c r="L646" s="2297">
        <f>'BS(M)'!AI23/1000</f>
        <v>-6835.3739999999998</v>
      </c>
    </row>
    <row r="647" spans="2:12" ht="12.75" thickBot="1">
      <c r="B647" s="2289" t="s">
        <v>1556</v>
      </c>
      <c r="C647" s="2290"/>
      <c r="D647" s="2290">
        <f t="shared" ref="D647:L647" ca="1" si="199">SUM(D640:D646)</f>
        <v>311756.66963053204</v>
      </c>
      <c r="E647" s="2290">
        <f t="shared" ca="1" si="199"/>
        <v>298630.18308006052</v>
      </c>
      <c r="F647" s="2290">
        <f t="shared" ca="1" si="199"/>
        <v>295296.56639706338</v>
      </c>
      <c r="G647" s="2290">
        <f t="shared" ca="1" si="199"/>
        <v>295199.58638958266</v>
      </c>
      <c r="H647" s="2290">
        <f t="shared" ca="1" si="199"/>
        <v>291734.31017503922</v>
      </c>
      <c r="I647" s="2290">
        <f t="shared" ca="1" si="199"/>
        <v>291561.67600821762</v>
      </c>
      <c r="J647" s="2290">
        <f t="shared" ca="1" si="199"/>
        <v>288835.56704853906</v>
      </c>
      <c r="K647" s="2290">
        <f t="shared" ca="1" si="199"/>
        <v>288744.62973290379</v>
      </c>
      <c r="L647" s="2291">
        <f t="shared" ca="1" si="199"/>
        <v>290870.73577772843</v>
      </c>
    </row>
    <row r="648" spans="2:12" hidden="1">
      <c r="B648" s="2295" t="s">
        <v>1609</v>
      </c>
      <c r="C648" s="2296"/>
      <c r="D648" s="2296">
        <f>'BS(M)'!K26/1000</f>
        <v>0</v>
      </c>
      <c r="E648" s="2296">
        <f>'BS(M)'!N26/1000</f>
        <v>0</v>
      </c>
      <c r="F648" s="2296">
        <f>'BS(M)'!Q26/1000</f>
        <v>0</v>
      </c>
      <c r="G648" s="2296">
        <f>'BS(M)'!T26/1000</f>
        <v>0</v>
      </c>
      <c r="H648" s="2296">
        <f>'BS(M)'!W26/1000</f>
        <v>0</v>
      </c>
      <c r="I648" s="2296">
        <f>'BS(M)'!Z26/1000</f>
        <v>0</v>
      </c>
      <c r="J648" s="2296">
        <f>'BS(M)'!AC26/1000</f>
        <v>0</v>
      </c>
      <c r="K648" s="2296">
        <f>'BS(M)'!AF26/1000</f>
        <v>0</v>
      </c>
      <c r="L648" s="2297">
        <f>'BS(M)'!AI26/1000</f>
        <v>0</v>
      </c>
    </row>
    <row r="649" spans="2:12">
      <c r="B649" s="2295" t="s">
        <v>1593</v>
      </c>
      <c r="C649" s="2296"/>
      <c r="D649" s="2296">
        <f>'BS(M)'!K27/1000</f>
        <v>12856.669630531998</v>
      </c>
      <c r="E649" s="2296">
        <f>'BS(M)'!N27/1000</f>
        <v>0</v>
      </c>
      <c r="F649" s="2296">
        <f>'BS(M)'!Q27/1000</f>
        <v>0</v>
      </c>
      <c r="G649" s="2296">
        <f>'BS(M)'!T27/1000</f>
        <v>0</v>
      </c>
      <c r="H649" s="2296">
        <f>'BS(M)'!W27/1000</f>
        <v>0</v>
      </c>
      <c r="I649" s="2296">
        <f>'BS(M)'!Z27/1000</f>
        <v>0</v>
      </c>
      <c r="J649" s="2296">
        <f>'BS(M)'!AC27/1000</f>
        <v>0</v>
      </c>
      <c r="K649" s="2296">
        <f>'BS(M)'!AF27/1000</f>
        <v>0</v>
      </c>
      <c r="L649" s="2297">
        <f>'BS(M)'!AI27/1000</f>
        <v>0</v>
      </c>
    </row>
    <row r="650" spans="2:12" hidden="1">
      <c r="B650" s="2295" t="s">
        <v>569</v>
      </c>
      <c r="C650" s="2296"/>
      <c r="D650" s="2296">
        <f>'BS(M)'!K28/1000</f>
        <v>0</v>
      </c>
      <c r="E650" s="2296">
        <f>'BS(M)'!N28/1000</f>
        <v>0</v>
      </c>
      <c r="F650" s="2296">
        <f>'BS(M)'!Q28/1000</f>
        <v>0</v>
      </c>
      <c r="G650" s="2296">
        <f>'BS(M)'!T28/1000</f>
        <v>0</v>
      </c>
      <c r="H650" s="2296">
        <f>'BS(M)'!W28/1000</f>
        <v>0</v>
      </c>
      <c r="I650" s="2296">
        <f>'BS(M)'!Z28/1000</f>
        <v>0</v>
      </c>
      <c r="J650" s="2296">
        <f>'BS(M)'!AC28/1000</f>
        <v>0</v>
      </c>
      <c r="K650" s="2296">
        <f>'BS(M)'!AF28/1000</f>
        <v>0</v>
      </c>
      <c r="L650" s="2297">
        <f>'BS(M)'!AI28/1000</f>
        <v>0</v>
      </c>
    </row>
    <row r="651" spans="2:12">
      <c r="B651" s="2295" t="s">
        <v>570</v>
      </c>
      <c r="C651" s="2296"/>
      <c r="D651" s="2296">
        <f>'BS(M)'!K29/1000</f>
        <v>0</v>
      </c>
      <c r="E651" s="2296">
        <f>'BS(M)'!N29/1000</f>
        <v>188.37387105108877</v>
      </c>
      <c r="F651" s="2296">
        <f>'BS(M)'!Q29/1000</f>
        <v>343.23767333333336</v>
      </c>
      <c r="G651" s="2296">
        <f>'BS(M)'!T29/1000</f>
        <v>398.43010605108879</v>
      </c>
      <c r="H651" s="2296">
        <f>'BS(M)'!W29/1000</f>
        <v>191.94920666666667</v>
      </c>
      <c r="I651" s="2296">
        <f>'BS(M)'!Z29/1000</f>
        <v>272.9144231760888</v>
      </c>
      <c r="J651" s="2296">
        <f>'BS(M)'!AC29/1000</f>
        <v>427.61647628333333</v>
      </c>
      <c r="K651" s="2296">
        <f>'BS(M)'!AF29/1000</f>
        <v>428.71045402608877</v>
      </c>
      <c r="L651" s="2297">
        <f>'BS(M)'!AI29/1000</f>
        <v>194.63845765833329</v>
      </c>
    </row>
    <row r="652" spans="2:12">
      <c r="B652" s="2295" t="s">
        <v>205</v>
      </c>
      <c r="C652" s="2296"/>
      <c r="D652" s="2296">
        <f>'BS(M)'!K31/1000</f>
        <v>2100</v>
      </c>
      <c r="E652" s="2296">
        <f>'BS(M)'!N31/1000</f>
        <v>2100</v>
      </c>
      <c r="F652" s="2296">
        <f>'BS(M)'!Q31/1000</f>
        <v>2100</v>
      </c>
      <c r="G652" s="2296">
        <f>'BS(M)'!T31/1000</f>
        <v>2100</v>
      </c>
      <c r="H652" s="2296">
        <f>'BS(M)'!W31/1000</f>
        <v>2100</v>
      </c>
      <c r="I652" s="2296">
        <f>'BS(M)'!Z31/1000</f>
        <v>2100</v>
      </c>
      <c r="J652" s="2296">
        <f>'BS(M)'!AC31/1000</f>
        <v>2100</v>
      </c>
      <c r="K652" s="2296">
        <f>'BS(M)'!AF31/1000</f>
        <v>2100</v>
      </c>
      <c r="L652" s="2297">
        <f>'BS(M)'!AI31/1000</f>
        <v>2100</v>
      </c>
    </row>
    <row r="653" spans="2:12" ht="12.75" thickBot="1">
      <c r="B653" s="2295" t="s">
        <v>1616</v>
      </c>
      <c r="C653" s="2296"/>
      <c r="D653" s="2296">
        <f>'BS(M)'!K33/1000</f>
        <v>198000</v>
      </c>
      <c r="E653" s="2296">
        <f>'BS(M)'!N33/1000</f>
        <v>198000</v>
      </c>
      <c r="F653" s="2296">
        <f>'BS(M)'!Q33/1000</f>
        <v>198000</v>
      </c>
      <c r="G653" s="2296">
        <f>'BS(M)'!T33/1000</f>
        <v>198000</v>
      </c>
      <c r="H653" s="2296">
        <f>'BS(M)'!W33/1000</f>
        <v>198000</v>
      </c>
      <c r="I653" s="2296">
        <f>'BS(M)'!Z33/1000</f>
        <v>198000</v>
      </c>
      <c r="J653" s="2296">
        <f>'BS(M)'!AC33/1000</f>
        <v>198000</v>
      </c>
      <c r="K653" s="2296">
        <f>'BS(M)'!AF33/1000</f>
        <v>198000</v>
      </c>
      <c r="L653" s="2297">
        <f>'BS(M)'!AI33/1000</f>
        <v>213000</v>
      </c>
    </row>
    <row r="654" spans="2:12" ht="12.75" hidden="1" thickBot="1">
      <c r="B654" s="2295" t="s">
        <v>606</v>
      </c>
      <c r="C654" s="2296"/>
      <c r="D654" s="2296">
        <f>'BS(M)'!K32/1000</f>
        <v>0</v>
      </c>
      <c r="E654" s="2296">
        <f>'BS(M)'!N32/1000</f>
        <v>0</v>
      </c>
      <c r="F654" s="2296">
        <f>'BS(M)'!Q32/1000</f>
        <v>0</v>
      </c>
      <c r="G654" s="2296">
        <f>'BS(M)'!T32/1000</f>
        <v>0</v>
      </c>
      <c r="H654" s="2296">
        <f>'BS(M)'!W32/1000</f>
        <v>0</v>
      </c>
      <c r="I654" s="2296">
        <f>'BS(M)'!Z32/1000</f>
        <v>0</v>
      </c>
      <c r="J654" s="2296">
        <f>'BS(M)'!AC32/1000</f>
        <v>0</v>
      </c>
      <c r="K654" s="2296">
        <f>'BS(M)'!AF32/1000</f>
        <v>0</v>
      </c>
      <c r="L654" s="2297">
        <f>'BS(M)'!AI32/1000</f>
        <v>0</v>
      </c>
    </row>
    <row r="655" spans="2:12" ht="12.75" thickBot="1">
      <c r="B655" s="2289" t="s">
        <v>1557</v>
      </c>
      <c r="C655" s="2290"/>
      <c r="D655" s="2290">
        <f t="shared" ref="D655:L655" si="200">SUM(D648:D654)</f>
        <v>212956.66963053201</v>
      </c>
      <c r="E655" s="2290">
        <f t="shared" si="200"/>
        <v>200288.3738710511</v>
      </c>
      <c r="F655" s="2290">
        <f t="shared" si="200"/>
        <v>200443.23767333332</v>
      </c>
      <c r="G655" s="2290">
        <f t="shared" si="200"/>
        <v>200498.43010605109</v>
      </c>
      <c r="H655" s="2290">
        <f t="shared" si="200"/>
        <v>200291.94920666667</v>
      </c>
      <c r="I655" s="2290">
        <f t="shared" si="200"/>
        <v>200372.91442317609</v>
      </c>
      <c r="J655" s="2290">
        <f t="shared" si="200"/>
        <v>200527.61647628332</v>
      </c>
      <c r="K655" s="2290">
        <f t="shared" si="200"/>
        <v>200528.71045402609</v>
      </c>
      <c r="L655" s="2291">
        <f t="shared" si="200"/>
        <v>215294.63845765832</v>
      </c>
    </row>
    <row r="656" spans="2:12">
      <c r="B656" s="2295" t="s">
        <v>543</v>
      </c>
      <c r="C656" s="2296"/>
      <c r="D656" s="2296">
        <f>'BS(M)'!K36/1000</f>
        <v>6320</v>
      </c>
      <c r="E656" s="2296">
        <f>'BS(M)'!N36/1000</f>
        <v>6320</v>
      </c>
      <c r="F656" s="2296">
        <f>'BS(M)'!Q36/1000</f>
        <v>6320</v>
      </c>
      <c r="G656" s="2296">
        <f>'BS(M)'!T36/1000</f>
        <v>6320</v>
      </c>
      <c r="H656" s="2296">
        <f>'BS(M)'!W36/1000</f>
        <v>6320</v>
      </c>
      <c r="I656" s="2296">
        <f>'BS(M)'!Z36/1000</f>
        <v>6320</v>
      </c>
      <c r="J656" s="2296">
        <f>'BS(M)'!AC36/1000</f>
        <v>6320</v>
      </c>
      <c r="K656" s="2296">
        <f>'BS(M)'!AF36/1000</f>
        <v>6320</v>
      </c>
      <c r="L656" s="2297">
        <f>'BS(M)'!AI36/1000</f>
        <v>5920</v>
      </c>
    </row>
    <row r="657" spans="2:12">
      <c r="B657" s="2295" t="s">
        <v>545</v>
      </c>
      <c r="C657" s="2296"/>
      <c r="D657" s="2296">
        <f>'BS(M)'!K37/1000</f>
        <v>92480</v>
      </c>
      <c r="E657" s="2296">
        <f>'BS(M)'!N37/1000</f>
        <v>92480</v>
      </c>
      <c r="F657" s="2296">
        <f>'BS(M)'!Q37/1000</f>
        <v>92480</v>
      </c>
      <c r="G657" s="2296">
        <f>'BS(M)'!T37/1000</f>
        <v>92480</v>
      </c>
      <c r="H657" s="2296">
        <f>'BS(M)'!W37/1000</f>
        <v>92480</v>
      </c>
      <c r="I657" s="2296">
        <f>'BS(M)'!Z37/1000</f>
        <v>92480</v>
      </c>
      <c r="J657" s="2296">
        <f>'BS(M)'!AC37/1000</f>
        <v>92480</v>
      </c>
      <c r="K657" s="2296">
        <f>'BS(M)'!AF37/1000</f>
        <v>92480</v>
      </c>
      <c r="L657" s="2297">
        <f>'BS(M)'!AI37/1000</f>
        <v>82880</v>
      </c>
    </row>
    <row r="658" spans="2:12" ht="12.75" thickBot="1">
      <c r="B658" s="2295" t="s">
        <v>565</v>
      </c>
      <c r="C658" s="2296"/>
      <c r="D658" s="2296">
        <f ca="1">'BS(M)'!K39/1000</f>
        <v>0</v>
      </c>
      <c r="E658" s="2296">
        <f ca="1">'BS(M)'!N39/1000</f>
        <v>-458.1907909906119</v>
      </c>
      <c r="F658" s="2296">
        <f ca="1">'BS(M)'!Q39/1000</f>
        <v>-3946.6712762699808</v>
      </c>
      <c r="G658" s="2296">
        <f ca="1">'BS(M)'!T39/1000</f>
        <v>-4098.8437164683983</v>
      </c>
      <c r="H658" s="2296">
        <f ca="1">'BS(M)'!W39/1000</f>
        <v>-7357.639031627461</v>
      </c>
      <c r="I658" s="2296">
        <f ca="1">'BS(M)'!Z39/1000</f>
        <v>-7611.2384149584886</v>
      </c>
      <c r="J658" s="2296">
        <f ca="1">'BS(M)'!AC39/1000</f>
        <v>-10492.049427744329</v>
      </c>
      <c r="K658" s="2296">
        <f ca="1">'BS(M)'!AF39/1000</f>
        <v>-10584.080721122344</v>
      </c>
      <c r="L658" s="2297">
        <f ca="1">'BS(M)'!AI39/1000</f>
        <v>-13223.902679929886</v>
      </c>
    </row>
    <row r="659" spans="2:12" ht="12.75" thickBot="1">
      <c r="B659" s="2289" t="s">
        <v>1558</v>
      </c>
      <c r="C659" s="2290"/>
      <c r="D659" s="2290">
        <f t="shared" ref="D659:L659" ca="1" si="201">SUM(D656:D658)</f>
        <v>98800</v>
      </c>
      <c r="E659" s="2290">
        <f t="shared" ca="1" si="201"/>
        <v>98341.809209009385</v>
      </c>
      <c r="F659" s="2290">
        <f t="shared" ca="1" si="201"/>
        <v>94853.328723730025</v>
      </c>
      <c r="G659" s="2290">
        <f t="shared" ca="1" si="201"/>
        <v>94701.1562835316</v>
      </c>
      <c r="H659" s="2290">
        <f t="shared" ca="1" si="201"/>
        <v>91442.360968372537</v>
      </c>
      <c r="I659" s="2290">
        <f t="shared" ca="1" si="201"/>
        <v>91188.761585041517</v>
      </c>
      <c r="J659" s="2290">
        <f t="shared" ca="1" si="201"/>
        <v>88307.950572255679</v>
      </c>
      <c r="K659" s="2290">
        <f t="shared" ca="1" si="201"/>
        <v>88215.919278877656</v>
      </c>
      <c r="L659" s="2291">
        <f t="shared" ca="1" si="201"/>
        <v>75576.097320070112</v>
      </c>
    </row>
    <row r="660" spans="2:12" ht="12.75" thickBot="1">
      <c r="B660" s="2289" t="s">
        <v>1617</v>
      </c>
      <c r="C660" s="2290"/>
      <c r="D660" s="2290">
        <f t="shared" ref="D660:L660" ca="1" si="202">D655+D659</f>
        <v>311756.66963053204</v>
      </c>
      <c r="E660" s="2290">
        <f t="shared" ca="1" si="202"/>
        <v>298630.18308006047</v>
      </c>
      <c r="F660" s="2290">
        <f t="shared" ca="1" si="202"/>
        <v>295296.56639706332</v>
      </c>
      <c r="G660" s="2290">
        <f t="shared" ca="1" si="202"/>
        <v>295199.58638958272</v>
      </c>
      <c r="H660" s="2290">
        <f t="shared" ca="1" si="202"/>
        <v>291734.31017503922</v>
      </c>
      <c r="I660" s="2290">
        <f t="shared" ca="1" si="202"/>
        <v>291561.67600821762</v>
      </c>
      <c r="J660" s="2290">
        <f t="shared" ca="1" si="202"/>
        <v>288835.567048539</v>
      </c>
      <c r="K660" s="2290">
        <f t="shared" ca="1" si="202"/>
        <v>288744.62973290373</v>
      </c>
      <c r="L660" s="2291">
        <f t="shared" ca="1" si="202"/>
        <v>290870.73577772843</v>
      </c>
    </row>
    <row r="661" spans="2:12">
      <c r="B661" s="2234" t="s">
        <v>1559</v>
      </c>
      <c r="C661" s="2499">
        <f t="shared" ref="C661:L661" si="203">C647-C660</f>
        <v>0</v>
      </c>
      <c r="D661" s="2499">
        <f t="shared" ca="1" si="203"/>
        <v>0</v>
      </c>
      <c r="E661" s="2499">
        <f t="shared" ca="1" si="203"/>
        <v>0</v>
      </c>
      <c r="F661" s="2499">
        <f t="shared" ca="1" si="203"/>
        <v>0</v>
      </c>
      <c r="G661" s="2499">
        <f t="shared" ca="1" si="203"/>
        <v>0</v>
      </c>
      <c r="H661" s="2499">
        <f t="shared" ca="1" si="203"/>
        <v>0</v>
      </c>
      <c r="I661" s="2499">
        <f t="shared" ca="1" si="203"/>
        <v>0</v>
      </c>
      <c r="J661" s="2499">
        <f t="shared" ca="1" si="203"/>
        <v>0</v>
      </c>
      <c r="K661" s="2499">
        <f t="shared" ca="1" si="203"/>
        <v>0</v>
      </c>
      <c r="L661" s="2499">
        <f t="shared" ca="1" si="203"/>
        <v>0</v>
      </c>
    </row>
    <row r="673" spans="1:24">
      <c r="A673" s="2234" t="s">
        <v>1781</v>
      </c>
      <c r="E673" s="2417">
        <f>D674+1</f>
        <v>46327</v>
      </c>
      <c r="F673" s="2417">
        <f>E674+1</f>
        <v>46508</v>
      </c>
      <c r="G673" s="2417">
        <f>F674+1</f>
        <v>46692</v>
      </c>
      <c r="H673" s="2417">
        <f>G674+1</f>
        <v>46874</v>
      </c>
    </row>
    <row r="674" spans="1:24">
      <c r="D674" s="2381">
        <f>'IS(FY)'!M6</f>
        <v>46326</v>
      </c>
      <c r="E674" s="2417">
        <f t="shared" ref="E674:X674" si="204">EOMONTH(D674,6)</f>
        <v>46507</v>
      </c>
      <c r="F674" s="2417">
        <f t="shared" si="204"/>
        <v>46691</v>
      </c>
      <c r="G674" s="2417">
        <f t="shared" si="204"/>
        <v>46873</v>
      </c>
      <c r="H674" s="2417">
        <f t="shared" si="204"/>
        <v>47057</v>
      </c>
      <c r="I674" s="2417">
        <f t="shared" si="204"/>
        <v>47238</v>
      </c>
      <c r="J674" s="2417">
        <f t="shared" si="204"/>
        <v>47422</v>
      </c>
      <c r="K674" s="2417">
        <f t="shared" si="204"/>
        <v>47603</v>
      </c>
      <c r="L674" s="2417">
        <f t="shared" si="204"/>
        <v>47787</v>
      </c>
      <c r="M674" s="2417">
        <f t="shared" si="204"/>
        <v>47968</v>
      </c>
      <c r="N674" s="2417">
        <f t="shared" si="204"/>
        <v>48152</v>
      </c>
      <c r="O674" s="2417">
        <f t="shared" si="204"/>
        <v>48334</v>
      </c>
      <c r="P674" s="2417">
        <f t="shared" si="204"/>
        <v>48518</v>
      </c>
      <c r="Q674" s="2417">
        <f t="shared" si="204"/>
        <v>48699</v>
      </c>
      <c r="R674" s="2417">
        <f t="shared" si="204"/>
        <v>48883</v>
      </c>
      <c r="S674" s="2417">
        <f t="shared" si="204"/>
        <v>49064</v>
      </c>
      <c r="T674" s="2417">
        <f t="shared" si="204"/>
        <v>49248</v>
      </c>
      <c r="U674" s="2417">
        <f t="shared" si="204"/>
        <v>49429</v>
      </c>
      <c r="V674" s="2417">
        <f t="shared" si="204"/>
        <v>49613</v>
      </c>
      <c r="W674" s="2417">
        <f t="shared" si="204"/>
        <v>49795</v>
      </c>
      <c r="X674" s="2417">
        <f t="shared" si="204"/>
        <v>49979</v>
      </c>
    </row>
    <row r="675" spans="1:24">
      <c r="B675" s="2808" t="s">
        <v>1449</v>
      </c>
      <c r="C675" s="2810" t="s">
        <v>1460</v>
      </c>
      <c r="D675" s="2418" t="str">
        <f t="shared" ref="D675:X675" si="205">TEXT(D674,"yy.mm")</f>
        <v>26.10</v>
      </c>
      <c r="E675" s="2418" t="str">
        <f t="shared" si="205"/>
        <v>27.04</v>
      </c>
      <c r="F675" s="2418" t="str">
        <f t="shared" si="205"/>
        <v>27.10</v>
      </c>
      <c r="G675" s="2418" t="str">
        <f t="shared" si="205"/>
        <v>28.04</v>
      </c>
      <c r="H675" s="2419" t="str">
        <f t="shared" si="205"/>
        <v>28.10</v>
      </c>
      <c r="I675" s="2419" t="str">
        <f t="shared" si="205"/>
        <v>29.04</v>
      </c>
      <c r="J675" s="2419" t="str">
        <f t="shared" si="205"/>
        <v>29.10</v>
      </c>
      <c r="K675" s="2419" t="str">
        <f t="shared" si="205"/>
        <v>30.04</v>
      </c>
      <c r="L675" s="2419" t="str">
        <f t="shared" si="205"/>
        <v>30.10</v>
      </c>
      <c r="M675" s="2419" t="str">
        <f t="shared" si="205"/>
        <v>31.04</v>
      </c>
      <c r="N675" s="2419" t="str">
        <f t="shared" si="205"/>
        <v>31.10</v>
      </c>
      <c r="O675" s="2419" t="str">
        <f t="shared" si="205"/>
        <v>32.04</v>
      </c>
      <c r="P675" s="2419" t="str">
        <f t="shared" si="205"/>
        <v>32.10</v>
      </c>
      <c r="Q675" s="2419" t="str">
        <f t="shared" si="205"/>
        <v>33.04</v>
      </c>
      <c r="R675" s="2419" t="str">
        <f t="shared" si="205"/>
        <v>33.10</v>
      </c>
      <c r="S675" s="2419" t="str">
        <f t="shared" si="205"/>
        <v>34.04</v>
      </c>
      <c r="T675" s="2419" t="str">
        <f t="shared" si="205"/>
        <v>34.10</v>
      </c>
      <c r="U675" s="2419" t="str">
        <f t="shared" si="205"/>
        <v>35.04</v>
      </c>
      <c r="V675" s="2419" t="str">
        <f t="shared" si="205"/>
        <v>35.10</v>
      </c>
      <c r="W675" s="2419" t="str">
        <f t="shared" si="205"/>
        <v>36.04</v>
      </c>
      <c r="X675" s="2419" t="str">
        <f t="shared" si="205"/>
        <v>36.10</v>
      </c>
    </row>
    <row r="676" spans="1:24" ht="12.75" thickBot="1">
      <c r="B676" s="2809"/>
      <c r="C676" s="2811"/>
      <c r="D676" s="2287" t="s">
        <v>1461</v>
      </c>
      <c r="E676" s="2484">
        <v>1</v>
      </c>
      <c r="F676" s="2484">
        <f t="shared" ref="F676:X676" si="206">E676+1</f>
        <v>2</v>
      </c>
      <c r="G676" s="2484">
        <f t="shared" si="206"/>
        <v>3</v>
      </c>
      <c r="H676" s="2485">
        <f t="shared" si="206"/>
        <v>4</v>
      </c>
      <c r="I676" s="2485">
        <f t="shared" si="206"/>
        <v>5</v>
      </c>
      <c r="J676" s="2485">
        <f t="shared" si="206"/>
        <v>6</v>
      </c>
      <c r="K676" s="2485">
        <f t="shared" si="206"/>
        <v>7</v>
      </c>
      <c r="L676" s="2485">
        <f t="shared" si="206"/>
        <v>8</v>
      </c>
      <c r="M676" s="2485">
        <f t="shared" si="206"/>
        <v>9</v>
      </c>
      <c r="N676" s="2485">
        <f t="shared" si="206"/>
        <v>10</v>
      </c>
      <c r="O676" s="2485">
        <f t="shared" si="206"/>
        <v>11</v>
      </c>
      <c r="P676" s="2485">
        <f t="shared" si="206"/>
        <v>12</v>
      </c>
      <c r="Q676" s="2485">
        <f t="shared" si="206"/>
        <v>13</v>
      </c>
      <c r="R676" s="2485">
        <f t="shared" si="206"/>
        <v>14</v>
      </c>
      <c r="S676" s="2485">
        <f t="shared" si="206"/>
        <v>15</v>
      </c>
      <c r="T676" s="2485">
        <f t="shared" si="206"/>
        <v>16</v>
      </c>
      <c r="U676" s="2485">
        <f t="shared" si="206"/>
        <v>17</v>
      </c>
      <c r="V676" s="2485">
        <f t="shared" si="206"/>
        <v>18</v>
      </c>
      <c r="W676" s="2485">
        <f t="shared" si="206"/>
        <v>19</v>
      </c>
      <c r="X676" s="2485">
        <f t="shared" si="206"/>
        <v>20</v>
      </c>
    </row>
    <row r="677" spans="1:24" ht="12.75" thickBot="1">
      <c r="B677" s="2289" t="s">
        <v>1504</v>
      </c>
      <c r="C677" s="2290">
        <f t="shared" ref="C677:C705" si="207">SUM(D677:X677)</f>
        <v>173411.61493373639</v>
      </c>
      <c r="D677" s="2290">
        <f t="shared" ref="D677:X677" si="208">SUM(D678:D680)</f>
        <v>0</v>
      </c>
      <c r="E677" s="2290">
        <f t="shared" si="208"/>
        <v>7464.3223097152813</v>
      </c>
      <c r="F677" s="2290">
        <f t="shared" si="208"/>
        <v>7872.777909561064</v>
      </c>
      <c r="G677" s="2290">
        <f t="shared" si="208"/>
        <v>7632.0962092718628</v>
      </c>
      <c r="H677" s="2291">
        <f t="shared" si="208"/>
        <v>8050.7631991137878</v>
      </c>
      <c r="I677" s="2291">
        <f t="shared" si="208"/>
        <v>8145.7400338257958</v>
      </c>
      <c r="J677" s="2291">
        <f t="shared" si="208"/>
        <v>3220.9320777057219</v>
      </c>
      <c r="K677" s="2291">
        <f t="shared" si="208"/>
        <v>8625.0926779498604</v>
      </c>
      <c r="L677" s="2291">
        <f t="shared" si="208"/>
        <v>8857.6786013201399</v>
      </c>
      <c r="M677" s="2291">
        <f t="shared" si="208"/>
        <v>8847.8397435735114</v>
      </c>
      <c r="N677" s="2291">
        <f t="shared" si="208"/>
        <v>9076.3502741668435</v>
      </c>
      <c r="O677" s="2291">
        <f t="shared" si="208"/>
        <v>9066.2654449765487</v>
      </c>
      <c r="P677" s="2291">
        <f t="shared" si="208"/>
        <v>9300.4887388347124</v>
      </c>
      <c r="Q677" s="2291">
        <f t="shared" si="208"/>
        <v>9290.1517889146598</v>
      </c>
      <c r="R677" s="2291">
        <f t="shared" si="208"/>
        <v>9530.2306651192812</v>
      </c>
      <c r="S677" s="2291">
        <f t="shared" si="208"/>
        <v>9519.6352914512281</v>
      </c>
      <c r="T677" s="2291">
        <f t="shared" si="208"/>
        <v>9544.7661863158064</v>
      </c>
      <c r="U677" s="2291">
        <f t="shared" si="208"/>
        <v>9658.6890515864598</v>
      </c>
      <c r="V677" s="2291">
        <f t="shared" si="208"/>
        <v>9783.5590341481056</v>
      </c>
      <c r="W677" s="2291">
        <f t="shared" si="208"/>
        <v>9898.8579783701753</v>
      </c>
      <c r="X677" s="2291">
        <f t="shared" si="208"/>
        <v>10025.377717815505</v>
      </c>
    </row>
    <row r="678" spans="1:24">
      <c r="B678" s="2292" t="s">
        <v>656</v>
      </c>
      <c r="C678" s="2293">
        <f t="shared" si="207"/>
        <v>163345.51848045687</v>
      </c>
      <c r="D678" s="2293">
        <f>('IS(FY)'!M13)/1000</f>
        <v>0</v>
      </c>
      <c r="E678" s="2293">
        <f>('IS(FY)'!N13)/1000</f>
        <v>7005.428644640625</v>
      </c>
      <c r="F678" s="2293">
        <f>('IS(FY)'!O13)/1000</f>
        <v>7409.3734719406266</v>
      </c>
      <c r="G678" s="2293">
        <f>('IS(FY)'!P13)/1000</f>
        <v>7164.5004947566404</v>
      </c>
      <c r="H678" s="2294">
        <f>('IS(FY)'!Q13)/1000</f>
        <v>7578.5439427391393</v>
      </c>
      <c r="I678" s="2294">
        <f>('IS(FY)'!R13)/1000</f>
        <v>7669.2247186339928</v>
      </c>
      <c r="J678" s="2294">
        <f>('IS(FY)'!S13)/1000</f>
        <v>2739.6776321080069</v>
      </c>
      <c r="K678" s="2294">
        <f>('IS(FY)'!T13)/1000</f>
        <v>8139.4347720645619</v>
      </c>
      <c r="L678" s="2294">
        <f>('IS(FY)'!U13)/1000</f>
        <v>8367.1630867687818</v>
      </c>
      <c r="M678" s="2294">
        <f>('IS(FY)'!V13)/1000</f>
        <v>8352.8106822273803</v>
      </c>
      <c r="N678" s="2294">
        <f>('IS(FY)'!W13)/1000</f>
        <v>8576.3421639380012</v>
      </c>
      <c r="O678" s="2294">
        <f>('IS(FY)'!X13)/1000</f>
        <v>8561.6309492830642</v>
      </c>
      <c r="P678" s="2294">
        <f>('IS(FY)'!Y13)/1000</f>
        <v>8790.7507180364501</v>
      </c>
      <c r="Q678" s="2294">
        <f>('IS(FY)'!Z13)/1000</f>
        <v>8775.6717230151389</v>
      </c>
      <c r="R678" s="2294">
        <f>('IS(FY)'!AA13)/1000</f>
        <v>9010.5194859873627</v>
      </c>
      <c r="S678" s="2294">
        <f>('IS(FY)'!AB13)/1000</f>
        <v>8995.0635160905185</v>
      </c>
      <c r="T678" s="2294">
        <f>('IS(FY)'!AC13)/1000</f>
        <v>9014.8436325296716</v>
      </c>
      <c r="U678" s="2294">
        <f>('IS(FY)'!AD13)/1000</f>
        <v>9123.7878853786387</v>
      </c>
      <c r="V678" s="2294">
        <f>('IS(FY)'!AE13)/1000</f>
        <v>9243.1587087036187</v>
      </c>
      <c r="W678" s="2294">
        <f>('IS(FY)'!AF13)/1000</f>
        <v>9353.354575193458</v>
      </c>
      <c r="X678" s="2294">
        <f>('IS(FY)'!AG13)/1000</f>
        <v>9474.2376764212058</v>
      </c>
    </row>
    <row r="679" spans="1:24">
      <c r="B679" s="2295" t="s">
        <v>64</v>
      </c>
      <c r="C679" s="2296">
        <f t="shared" si="207"/>
        <v>8636.6643042394644</v>
      </c>
      <c r="D679" s="2296">
        <f>('IS(FY)'!M14)/1000</f>
        <v>0</v>
      </c>
      <c r="E679" s="2296">
        <f>('IS(FY)'!N14)/1000</f>
        <v>387.42205762265621</v>
      </c>
      <c r="F679" s="2296">
        <f>('IS(FY)'!O14)/1000</f>
        <v>391.93283016843759</v>
      </c>
      <c r="G679" s="2296">
        <f>('IS(FY)'!P14)/1000</f>
        <v>396.12410706322254</v>
      </c>
      <c r="H679" s="2297">
        <f>('IS(FY)'!Q14)/1000</f>
        <v>400.74764892264841</v>
      </c>
      <c r="I679" s="2297">
        <f>('IS(FY)'!R14)/1000</f>
        <v>405.04370773980327</v>
      </c>
      <c r="J679" s="2297">
        <f>('IS(FY)'!S14)/1000</f>
        <v>409.78283814571461</v>
      </c>
      <c r="K679" s="2297">
        <f>('IS(FY)'!T14)/1000</f>
        <v>414.18629843329825</v>
      </c>
      <c r="L679" s="2297">
        <f>('IS(FY)'!U14)/1000</f>
        <v>419.04390709935745</v>
      </c>
      <c r="M679" s="2297">
        <f>('IS(FY)'!V14)/1000</f>
        <v>423.55745389413067</v>
      </c>
      <c r="N679" s="2297">
        <f>('IS(FY)'!W14)/1000</f>
        <v>428.53650277684142</v>
      </c>
      <c r="O679" s="2297">
        <f>('IS(FY)'!X14)/1000</f>
        <v>433.16288824148393</v>
      </c>
      <c r="P679" s="2297">
        <f>('IS(FY)'!Y14)/1000</f>
        <v>438.26641334626231</v>
      </c>
      <c r="Q679" s="2297">
        <f>('IS(FY)'!Z14)/1000</f>
        <v>443.00845844752092</v>
      </c>
      <c r="R679" s="2297">
        <f>('IS(FY)'!AA14)/1000</f>
        <v>448.23957167991892</v>
      </c>
      <c r="S679" s="2297">
        <f>('IS(FY)'!AB14)/1000</f>
        <v>453.10016790870895</v>
      </c>
      <c r="T679" s="2297">
        <f>('IS(FY)'!AC14)/1000</f>
        <v>458.45094633413419</v>
      </c>
      <c r="U679" s="2297">
        <f>('IS(FY)'!AD14)/1000</f>
        <v>463.42955875582095</v>
      </c>
      <c r="V679" s="2297">
        <f>('IS(FY)'!AE14)/1000</f>
        <v>468.92871799248724</v>
      </c>
      <c r="W679" s="2297">
        <f>('IS(FY)'!AF14)/1000</f>
        <v>474.0317957247164</v>
      </c>
      <c r="X679" s="2297">
        <f>('IS(FY)'!AG14)/1000</f>
        <v>479.6684339422996</v>
      </c>
    </row>
    <row r="680" spans="1:24" ht="12.75" thickBot="1">
      <c r="B680" s="2298" t="s">
        <v>1674</v>
      </c>
      <c r="C680" s="2299">
        <f t="shared" si="207"/>
        <v>1429.4321490399993</v>
      </c>
      <c r="D680" s="2299">
        <f>('IS(FY)'!M15)/1000</f>
        <v>0</v>
      </c>
      <c r="E680" s="2299">
        <f>('IS(FY)'!N15)/1000</f>
        <v>71.471607452000001</v>
      </c>
      <c r="F680" s="2299">
        <f>('IS(FY)'!O15)/1000</f>
        <v>71.471607452000001</v>
      </c>
      <c r="G680" s="2299">
        <f>('IS(FY)'!P15)/1000</f>
        <v>71.471607452000001</v>
      </c>
      <c r="H680" s="2300">
        <f>('IS(FY)'!Q15)/1000</f>
        <v>71.471607452000001</v>
      </c>
      <c r="I680" s="2300">
        <f>('IS(FY)'!R15)/1000</f>
        <v>71.471607452000001</v>
      </c>
      <c r="J680" s="2300">
        <f>('IS(FY)'!S15)/1000</f>
        <v>71.471607452000001</v>
      </c>
      <c r="K680" s="2300">
        <f>('IS(FY)'!T15)/1000</f>
        <v>71.471607452000001</v>
      </c>
      <c r="L680" s="2300">
        <f>('IS(FY)'!U15)/1000</f>
        <v>71.471607452000001</v>
      </c>
      <c r="M680" s="2300">
        <f>('IS(FY)'!V15)/1000</f>
        <v>71.471607452000001</v>
      </c>
      <c r="N680" s="2300">
        <f>('IS(FY)'!W15)/1000</f>
        <v>71.471607452000001</v>
      </c>
      <c r="O680" s="2300">
        <f>('IS(FY)'!X15)/1000</f>
        <v>71.471607452000001</v>
      </c>
      <c r="P680" s="2300">
        <f>('IS(FY)'!Y15)/1000</f>
        <v>71.471607452000001</v>
      </c>
      <c r="Q680" s="2300">
        <f>('IS(FY)'!Z15)/1000</f>
        <v>71.471607452000001</v>
      </c>
      <c r="R680" s="2300">
        <f>('IS(FY)'!AA15)/1000</f>
        <v>71.471607452000001</v>
      </c>
      <c r="S680" s="2300">
        <f>('IS(FY)'!AB15)/1000</f>
        <v>71.471607452000001</v>
      </c>
      <c r="T680" s="2300">
        <f>('IS(FY)'!AC15)/1000</f>
        <v>71.471607452000001</v>
      </c>
      <c r="U680" s="2300">
        <f>('IS(FY)'!AD15)/1000</f>
        <v>71.471607452000001</v>
      </c>
      <c r="V680" s="2300">
        <f>('IS(FY)'!AE15)/1000</f>
        <v>71.471607452000001</v>
      </c>
      <c r="W680" s="2300">
        <f>('IS(FY)'!AF15)/1000</f>
        <v>71.471607452000001</v>
      </c>
      <c r="X680" s="2300">
        <f>('IS(FY)'!AG15)/1000</f>
        <v>71.471607452000001</v>
      </c>
    </row>
    <row r="681" spans="1:24" ht="12.75" thickBot="1">
      <c r="B681" s="2289" t="s">
        <v>1212</v>
      </c>
      <c r="C681" s="2290">
        <f t="shared" si="207"/>
        <v>23206.747133190525</v>
      </c>
      <c r="D681" s="2290">
        <f t="shared" ref="D681:X681" si="209">SUM(D682:D690)</f>
        <v>0</v>
      </c>
      <c r="E681" s="2290">
        <f t="shared" si="209"/>
        <v>1121.3043037648999</v>
      </c>
      <c r="F681" s="2290">
        <f t="shared" si="209"/>
        <v>1110.4309337648999</v>
      </c>
      <c r="G681" s="2290">
        <f t="shared" si="209"/>
        <v>1110.5365112604759</v>
      </c>
      <c r="H681" s="2291">
        <f t="shared" si="209"/>
        <v>1110.5365112604759</v>
      </c>
      <c r="I681" s="2291">
        <f t="shared" si="209"/>
        <v>1111.0423401687135</v>
      </c>
      <c r="J681" s="2291">
        <f t="shared" si="209"/>
        <v>1179.4407326908827</v>
      </c>
      <c r="K681" s="2291">
        <f t="shared" si="209"/>
        <v>1155.1458430253533</v>
      </c>
      <c r="L681" s="2291">
        <f t="shared" si="209"/>
        <v>1112.5074569877695</v>
      </c>
      <c r="M681" s="2291">
        <f t="shared" si="209"/>
        <v>1113.2568268254372</v>
      </c>
      <c r="N681" s="2291">
        <f t="shared" si="209"/>
        <v>1113.2568268254372</v>
      </c>
      <c r="O681" s="2291">
        <f t="shared" si="209"/>
        <v>1114.9669000626327</v>
      </c>
      <c r="P681" s="2291">
        <f t="shared" si="209"/>
        <v>1114.9669000626327</v>
      </c>
      <c r="Q681" s="2291">
        <f t="shared" si="209"/>
        <v>1117.0800563304317</v>
      </c>
      <c r="R681" s="2291">
        <f t="shared" si="209"/>
        <v>1117.0800563304317</v>
      </c>
      <c r="S681" s="2291">
        <f t="shared" si="209"/>
        <v>1119.597383104373</v>
      </c>
      <c r="T681" s="2291">
        <f t="shared" si="209"/>
        <v>1797.1356565365181</v>
      </c>
      <c r="U681" s="2291">
        <f t="shared" si="209"/>
        <v>1213.610495282112</v>
      </c>
      <c r="V681" s="2291">
        <f t="shared" si="209"/>
        <v>1123.1520749693775</v>
      </c>
      <c r="W681" s="2291">
        <f t="shared" si="209"/>
        <v>1125.8496619688376</v>
      </c>
      <c r="X681" s="2291">
        <f t="shared" si="209"/>
        <v>1125.8496619688376</v>
      </c>
    </row>
    <row r="682" spans="1:24">
      <c r="B682" s="2292" t="s">
        <v>73</v>
      </c>
      <c r="C682" s="2293">
        <f t="shared" si="207"/>
        <v>642.16330010059983</v>
      </c>
      <c r="D682" s="2293">
        <f>('IS(FY)'!M21)/1000</f>
        <v>0</v>
      </c>
      <c r="E682" s="2293">
        <f>('IS(FY)'!N21)/1000</f>
        <v>30</v>
      </c>
      <c r="F682" s="2293">
        <f>('IS(FY)'!O21)/1000</f>
        <v>30</v>
      </c>
      <c r="G682" s="2293">
        <f>('IS(FY)'!P21)/1000</f>
        <v>30.449999999999996</v>
      </c>
      <c r="H682" s="2294">
        <f>('IS(FY)'!Q21)/1000</f>
        <v>30.449999999999996</v>
      </c>
      <c r="I682" s="2294">
        <f>('IS(FY)'!R21)/1000</f>
        <v>30.906749999999992</v>
      </c>
      <c r="J682" s="2294">
        <f>('IS(FY)'!S21)/1000</f>
        <v>30.906749999999992</v>
      </c>
      <c r="K682" s="2294">
        <f>('IS(FY)'!T21)/1000</f>
        <v>31.370351249999988</v>
      </c>
      <c r="L682" s="2294">
        <f>('IS(FY)'!U21)/1000</f>
        <v>31.370351249999988</v>
      </c>
      <c r="M682" s="2294">
        <f>('IS(FY)'!V21)/1000</f>
        <v>31.840906518749982</v>
      </c>
      <c r="N682" s="2294">
        <f>('IS(FY)'!W21)/1000</f>
        <v>31.840906518749982</v>
      </c>
      <c r="O682" s="2294">
        <f>('IS(FY)'!X21)/1000</f>
        <v>32.318520116531225</v>
      </c>
      <c r="P682" s="2294">
        <f>('IS(FY)'!Y21)/1000</f>
        <v>32.318520116531225</v>
      </c>
      <c r="Q682" s="2294">
        <f>('IS(FY)'!Z21)/1000</f>
        <v>32.803297918279192</v>
      </c>
      <c r="R682" s="2294">
        <f>('IS(FY)'!AA21)/1000</f>
        <v>32.803297918279192</v>
      </c>
      <c r="S682" s="2294">
        <f>('IS(FY)'!AB21)/1000</f>
        <v>33.295347387053368</v>
      </c>
      <c r="T682" s="2294">
        <f>('IS(FY)'!AC21)/1000</f>
        <v>33.295347387053368</v>
      </c>
      <c r="U682" s="2294">
        <f>('IS(FY)'!AD21)/1000</f>
        <v>33.794777597859174</v>
      </c>
      <c r="V682" s="2294">
        <f>('IS(FY)'!AE21)/1000</f>
        <v>33.794777597859174</v>
      </c>
      <c r="W682" s="2294">
        <f>('IS(FY)'!AF21)/1000</f>
        <v>34.301699261827054</v>
      </c>
      <c r="X682" s="2294">
        <f>('IS(FY)'!AG21)/1000</f>
        <v>34.301699261827054</v>
      </c>
    </row>
    <row r="683" spans="1:24">
      <c r="B683" s="2295" t="s">
        <v>75</v>
      </c>
      <c r="C683" s="2296">
        <f t="shared" si="207"/>
        <v>6974.9803358780373</v>
      </c>
      <c r="D683" s="2296">
        <f>('IS(FY)'!M22)/1000</f>
        <v>0</v>
      </c>
      <c r="E683" s="2296">
        <f>('IS(FY)'!N22)/1000</f>
        <v>318.50036800229998</v>
      </c>
      <c r="F683" s="2296">
        <f>('IS(FY)'!O22)/1000</f>
        <v>318.50036800229998</v>
      </c>
      <c r="G683" s="2296">
        <f>('IS(FY)'!P22)/1000</f>
        <v>324.87037536234595</v>
      </c>
      <c r="H683" s="2297">
        <f>('IS(FY)'!Q22)/1000</f>
        <v>324.87037536234595</v>
      </c>
      <c r="I683" s="2297">
        <f>('IS(FY)'!R22)/1000</f>
        <v>331.36778286959287</v>
      </c>
      <c r="J683" s="2297">
        <f>('IS(FY)'!S22)/1000</f>
        <v>331.36778286959287</v>
      </c>
      <c r="K683" s="2297">
        <f>('IS(FY)'!T22)/1000</f>
        <v>337.9951385269847</v>
      </c>
      <c r="L683" s="2297">
        <f>('IS(FY)'!U22)/1000</f>
        <v>337.9951385269847</v>
      </c>
      <c r="M683" s="2297">
        <f>('IS(FY)'!V22)/1000</f>
        <v>344.75504129752437</v>
      </c>
      <c r="N683" s="2297">
        <f>('IS(FY)'!W22)/1000</f>
        <v>344.75504129752437</v>
      </c>
      <c r="O683" s="2297">
        <f>('IS(FY)'!X22)/1000</f>
        <v>351.65014212347489</v>
      </c>
      <c r="P683" s="2297">
        <f>('IS(FY)'!Y22)/1000</f>
        <v>351.65014212347489</v>
      </c>
      <c r="Q683" s="2297">
        <f>('IS(FY)'!Z22)/1000</f>
        <v>358.68314496594439</v>
      </c>
      <c r="R683" s="2297">
        <f>('IS(FY)'!AA22)/1000</f>
        <v>358.68314496594439</v>
      </c>
      <c r="S683" s="2297">
        <f>('IS(FY)'!AB22)/1000</f>
        <v>365.85680786526331</v>
      </c>
      <c r="T683" s="2297">
        <f>('IS(FY)'!AC22)/1000</f>
        <v>365.85680786526331</v>
      </c>
      <c r="U683" s="2297">
        <f>('IS(FY)'!AD22)/1000</f>
        <v>373.17394402256861</v>
      </c>
      <c r="V683" s="2297">
        <f>('IS(FY)'!AE22)/1000</f>
        <v>373.17394402256861</v>
      </c>
      <c r="W683" s="2297">
        <f>('IS(FY)'!AF22)/1000</f>
        <v>380.63742290301985</v>
      </c>
      <c r="X683" s="2297">
        <f>('IS(FY)'!AG22)/1000</f>
        <v>380.63742290301985</v>
      </c>
    </row>
    <row r="684" spans="1:24" hidden="1">
      <c r="B684" s="2295" t="s">
        <v>80</v>
      </c>
      <c r="C684" s="2296">
        <f t="shared" si="207"/>
        <v>0</v>
      </c>
      <c r="D684" s="2296">
        <f>('IS(FY)'!M24)/1000</f>
        <v>0</v>
      </c>
      <c r="E684" s="2296">
        <f>('IS(FY)'!N24)/1000</f>
        <v>0</v>
      </c>
      <c r="F684" s="2296">
        <f>('IS(FY)'!O24)/1000</f>
        <v>0</v>
      </c>
      <c r="G684" s="2296">
        <f>('IS(FY)'!P24)/1000</f>
        <v>0</v>
      </c>
      <c r="H684" s="2297">
        <f>('IS(FY)'!Q24)/1000</f>
        <v>0</v>
      </c>
      <c r="I684" s="2297">
        <f>('IS(FY)'!R24)/1000</f>
        <v>0</v>
      </c>
      <c r="J684" s="2297">
        <f>('IS(FY)'!S24)/1000</f>
        <v>0</v>
      </c>
      <c r="K684" s="2297">
        <f>('IS(FY)'!T24)/1000</f>
        <v>0</v>
      </c>
      <c r="L684" s="2297">
        <f>('IS(FY)'!U24)/1000</f>
        <v>0</v>
      </c>
      <c r="M684" s="2297">
        <f>('IS(FY)'!V24)/1000</f>
        <v>0</v>
      </c>
      <c r="N684" s="2297">
        <f>('IS(FY)'!W24)/1000</f>
        <v>0</v>
      </c>
      <c r="O684" s="2297">
        <f>('IS(FY)'!X24)/1000</f>
        <v>0</v>
      </c>
      <c r="P684" s="2297">
        <f>('IS(FY)'!Y24)/1000</f>
        <v>0</v>
      </c>
      <c r="Q684" s="2297">
        <f>('IS(FY)'!Z24)/1000</f>
        <v>0</v>
      </c>
      <c r="R684" s="2297">
        <f>('IS(FY)'!AA24)/1000</f>
        <v>0</v>
      </c>
      <c r="S684" s="2297">
        <f>('IS(FY)'!AB24)/1000</f>
        <v>0</v>
      </c>
      <c r="T684" s="2297">
        <f>('IS(FY)'!AC24)/1000</f>
        <v>0</v>
      </c>
      <c r="U684" s="2297">
        <f>('IS(FY)'!AD24)/1000</f>
        <v>0</v>
      </c>
      <c r="V684" s="2297">
        <f>('IS(FY)'!AE24)/1000</f>
        <v>0</v>
      </c>
      <c r="W684" s="2297">
        <f>('IS(FY)'!AF24)/1000</f>
        <v>0</v>
      </c>
      <c r="X684" s="2297">
        <f>('IS(FY)'!AG24)/1000</f>
        <v>0</v>
      </c>
    </row>
    <row r="685" spans="1:24">
      <c r="B685" s="2295" t="s">
        <v>83</v>
      </c>
      <c r="C685" s="2296">
        <f t="shared" si="207"/>
        <v>6789.2028330659668</v>
      </c>
      <c r="D685" s="2296">
        <f>('IS(FY)'!M25)/1000</f>
        <v>0</v>
      </c>
      <c r="E685" s="2296">
        <f>('IS(FY)'!N25)/1000</f>
        <v>371.14235000000002</v>
      </c>
      <c r="F685" s="2296">
        <f>('IS(FY)'!O25)/1000</f>
        <v>371.14235000000002</v>
      </c>
      <c r="G685" s="2296">
        <f>('IS(FY)'!P25)/1000</f>
        <v>363.71950300000003</v>
      </c>
      <c r="H685" s="2297">
        <f>('IS(FY)'!Q25)/1000</f>
        <v>363.71950300000003</v>
      </c>
      <c r="I685" s="2297">
        <f>('IS(FY)'!R25)/1000</f>
        <v>356.44511294</v>
      </c>
      <c r="J685" s="2297">
        <f>('IS(FY)'!S25)/1000</f>
        <v>356.44511294</v>
      </c>
      <c r="K685" s="2297">
        <f>('IS(FY)'!T25)/1000</f>
        <v>349.3162106812</v>
      </c>
      <c r="L685" s="2297">
        <f>('IS(FY)'!U25)/1000</f>
        <v>349.3162106812</v>
      </c>
      <c r="M685" s="2297">
        <f>('IS(FY)'!V25)/1000</f>
        <v>342.32988646757599</v>
      </c>
      <c r="N685" s="2297">
        <f>('IS(FY)'!W25)/1000</f>
        <v>342.32988646757599</v>
      </c>
      <c r="O685" s="2297">
        <f>('IS(FY)'!X25)/1000</f>
        <v>335.48328873822447</v>
      </c>
      <c r="P685" s="2297">
        <f>('IS(FY)'!Y25)/1000</f>
        <v>335.48328873822447</v>
      </c>
      <c r="Q685" s="2297">
        <f>('IS(FY)'!Z25)/1000</f>
        <v>328.77362296346001</v>
      </c>
      <c r="R685" s="2297">
        <f>('IS(FY)'!AA25)/1000</f>
        <v>328.77362296346001</v>
      </c>
      <c r="S685" s="2297">
        <f>('IS(FY)'!AB25)/1000</f>
        <v>322.19815050419083</v>
      </c>
      <c r="T685" s="2297">
        <f>('IS(FY)'!AC25)/1000</f>
        <v>322.19815050419083</v>
      </c>
      <c r="U685" s="2297">
        <f>('IS(FY)'!AD25)/1000</f>
        <v>315.75418749410693</v>
      </c>
      <c r="V685" s="2297">
        <f>('IS(FY)'!AE25)/1000</f>
        <v>315.75418749410693</v>
      </c>
      <c r="W685" s="2297">
        <f>('IS(FY)'!AF25)/1000</f>
        <v>309.43910374422484</v>
      </c>
      <c r="X685" s="2297">
        <f>('IS(FY)'!AG25)/1000</f>
        <v>309.43910374422484</v>
      </c>
    </row>
    <row r="686" spans="1:24">
      <c r="B686" s="2295" t="s">
        <v>78</v>
      </c>
      <c r="C686" s="2296">
        <f t="shared" si="207"/>
        <v>341.53875420512708</v>
      </c>
      <c r="D686" s="2296">
        <f>('IS(FY)'!M23)/1000</f>
        <v>0</v>
      </c>
      <c r="E686" s="2296">
        <f>('IS(FY)'!N23)/1000</f>
        <v>15.595774276499998</v>
      </c>
      <c r="F686" s="2296">
        <f>('IS(FY)'!O23)/1000</f>
        <v>15.595774276499998</v>
      </c>
      <c r="G686" s="2296">
        <f>('IS(FY)'!P23)/1000</f>
        <v>15.907689762029998</v>
      </c>
      <c r="H686" s="2297">
        <f>('IS(FY)'!Q23)/1000</f>
        <v>15.907689762029998</v>
      </c>
      <c r="I686" s="2297">
        <f>('IS(FY)'!R23)/1000</f>
        <v>16.225843557270597</v>
      </c>
      <c r="J686" s="2297">
        <f>('IS(FY)'!S23)/1000</f>
        <v>16.225843557270597</v>
      </c>
      <c r="K686" s="2297">
        <f>('IS(FY)'!T23)/1000</f>
        <v>16.55036042841601</v>
      </c>
      <c r="L686" s="2297">
        <f>('IS(FY)'!U23)/1000</f>
        <v>16.55036042841601</v>
      </c>
      <c r="M686" s="2297">
        <f>('IS(FY)'!V23)/1000</f>
        <v>16.881367636984329</v>
      </c>
      <c r="N686" s="2297">
        <f>('IS(FY)'!W23)/1000</f>
        <v>16.881367636984329</v>
      </c>
      <c r="O686" s="2297">
        <f>('IS(FY)'!X23)/1000</f>
        <v>17.218994989724017</v>
      </c>
      <c r="P686" s="2297">
        <f>('IS(FY)'!Y23)/1000</f>
        <v>17.218994989724017</v>
      </c>
      <c r="Q686" s="2297">
        <f>('IS(FY)'!Z23)/1000</f>
        <v>17.563374889518499</v>
      </c>
      <c r="R686" s="2297">
        <f>('IS(FY)'!AA23)/1000</f>
        <v>17.563374889518499</v>
      </c>
      <c r="S686" s="2297">
        <f>('IS(FY)'!AB23)/1000</f>
        <v>17.914642387308866</v>
      </c>
      <c r="T686" s="2297">
        <f>('IS(FY)'!AC23)/1000</f>
        <v>17.914642387308866</v>
      </c>
      <c r="U686" s="2297">
        <f>('IS(FY)'!AD23)/1000</f>
        <v>18.272935235055044</v>
      </c>
      <c r="V686" s="2297">
        <f>('IS(FY)'!AE23)/1000</f>
        <v>18.272935235055044</v>
      </c>
      <c r="W686" s="2297">
        <f>('IS(FY)'!AF23)/1000</f>
        <v>18.638393939756146</v>
      </c>
      <c r="X686" s="2297">
        <f>('IS(FY)'!AG23)/1000</f>
        <v>18.638393939756146</v>
      </c>
    </row>
    <row r="687" spans="1:24">
      <c r="B687" s="2295" t="s">
        <v>1540</v>
      </c>
      <c r="C687" s="2296">
        <f t="shared" si="207"/>
        <v>208.94832972199998</v>
      </c>
      <c r="D687" s="2296">
        <f>('IS(FY)'!M30)/1000</f>
        <v>0</v>
      </c>
      <c r="E687" s="2296">
        <f>('IS(FY)'!N30)/1000</f>
        <v>10.447416486100002</v>
      </c>
      <c r="F687" s="2296">
        <f>('IS(FY)'!O30)/1000</f>
        <v>10.447416486100002</v>
      </c>
      <c r="G687" s="2296">
        <f>('IS(FY)'!P30)/1000</f>
        <v>10.447416486100002</v>
      </c>
      <c r="H687" s="2297">
        <f>('IS(FY)'!Q30)/1000</f>
        <v>10.447416486100002</v>
      </c>
      <c r="I687" s="2297">
        <f>('IS(FY)'!R30)/1000</f>
        <v>10.447416486100002</v>
      </c>
      <c r="J687" s="2297">
        <f>('IS(FY)'!S30)/1000</f>
        <v>10.447416486100002</v>
      </c>
      <c r="K687" s="2297">
        <f>('IS(FY)'!T30)/1000</f>
        <v>10.447416486100002</v>
      </c>
      <c r="L687" s="2297">
        <f>('IS(FY)'!U30)/1000</f>
        <v>10.447416486100002</v>
      </c>
      <c r="M687" s="2297">
        <f>('IS(FY)'!V30)/1000</f>
        <v>10.447416486100002</v>
      </c>
      <c r="N687" s="2297">
        <f>('IS(FY)'!W30)/1000</f>
        <v>10.447416486100002</v>
      </c>
      <c r="O687" s="2297">
        <f>('IS(FY)'!X30)/1000</f>
        <v>10.447416486100002</v>
      </c>
      <c r="P687" s="2297">
        <f>('IS(FY)'!Y30)/1000</f>
        <v>10.447416486100002</v>
      </c>
      <c r="Q687" s="2297">
        <f>('IS(FY)'!Z30)/1000</f>
        <v>10.447416486100002</v>
      </c>
      <c r="R687" s="2297">
        <f>('IS(FY)'!AA30)/1000</f>
        <v>10.447416486100002</v>
      </c>
      <c r="S687" s="2297">
        <f>('IS(FY)'!AB30)/1000</f>
        <v>10.447416486100002</v>
      </c>
      <c r="T687" s="2297">
        <f>('IS(FY)'!AC30)/1000</f>
        <v>10.447416486100002</v>
      </c>
      <c r="U687" s="2297">
        <f>('IS(FY)'!AD30)/1000</f>
        <v>10.447416486100002</v>
      </c>
      <c r="V687" s="2297">
        <f>('IS(FY)'!AE30)/1000</f>
        <v>10.447416486100002</v>
      </c>
      <c r="W687" s="2297">
        <f>('IS(FY)'!AF30)/1000</f>
        <v>10.447416486100002</v>
      </c>
      <c r="X687" s="2297">
        <f>('IS(FY)'!AG30)/1000</f>
        <v>10.447416486100002</v>
      </c>
    </row>
    <row r="688" spans="1:24">
      <c r="B688" s="2295" t="s">
        <v>659</v>
      </c>
      <c r="C688" s="2296">
        <f t="shared" si="207"/>
        <v>7357.6257177690059</v>
      </c>
      <c r="D688" s="2296">
        <f>SUM('IS(FY)'!M26:M29)/1000</f>
        <v>0</v>
      </c>
      <c r="E688" s="2296">
        <f>SUM('IS(FY)'!N26:N29)/1000</f>
        <v>364.745025</v>
      </c>
      <c r="F688" s="2296">
        <f>SUM('IS(FY)'!O26:O29)/1000</f>
        <v>364.745025</v>
      </c>
      <c r="G688" s="2296">
        <f>SUM('IS(FY)'!P26:P29)/1000</f>
        <v>365.14152665</v>
      </c>
      <c r="H688" s="2297">
        <f>SUM('IS(FY)'!Q26:Q29)/1000</f>
        <v>365.14152665</v>
      </c>
      <c r="I688" s="2297">
        <f>SUM('IS(FY)'!R26:R29)/1000</f>
        <v>365.64943431575</v>
      </c>
      <c r="J688" s="2297">
        <f>SUM('IS(FY)'!S26:S29)/1000</f>
        <v>365.64943431575</v>
      </c>
      <c r="K688" s="2297">
        <f>SUM('IS(FY)'!T26:T29)/1000</f>
        <v>366.26942397782369</v>
      </c>
      <c r="L688" s="2297">
        <f>SUM('IS(FY)'!U26:U29)/1000</f>
        <v>366.26942397782369</v>
      </c>
      <c r="M688" s="2297">
        <f>SUM('IS(FY)'!V26:V29)/1000</f>
        <v>367.00220841850256</v>
      </c>
      <c r="N688" s="2297">
        <f>SUM('IS(FY)'!W26:W29)/1000</f>
        <v>367.00220841850256</v>
      </c>
      <c r="O688" s="2297">
        <f>SUM('IS(FY)'!X26:X29)/1000</f>
        <v>367.84853760857823</v>
      </c>
      <c r="P688" s="2297">
        <f>SUM('IS(FY)'!Y26:Y29)/1000</f>
        <v>367.84853760857823</v>
      </c>
      <c r="Q688" s="2297">
        <f>SUM('IS(FY)'!Z26:Z29)/1000</f>
        <v>368.8091991071297</v>
      </c>
      <c r="R688" s="2297">
        <f>SUM('IS(FY)'!AA26:AA29)/1000</f>
        <v>368.8091991071297</v>
      </c>
      <c r="S688" s="2297">
        <f>SUM('IS(FY)'!AB26:AB29)/1000</f>
        <v>369.8850184744565</v>
      </c>
      <c r="T688" s="2297">
        <f>SUM('IS(FY)'!AC26:AC29)/1000</f>
        <v>369.8850184744565</v>
      </c>
      <c r="U688" s="2297">
        <f>SUM('IS(FY)'!AD26:AD29)/1000</f>
        <v>371.07685969835217</v>
      </c>
      <c r="V688" s="2297">
        <f>SUM('IS(FY)'!AE26:AE29)/1000</f>
        <v>371.07685969835217</v>
      </c>
      <c r="W688" s="2297">
        <f>SUM('IS(FY)'!AF26:AF29)/1000</f>
        <v>372.38562563390963</v>
      </c>
      <c r="X688" s="2297">
        <f>SUM('IS(FY)'!AG26:AG29)/1000</f>
        <v>372.38562563390963</v>
      </c>
    </row>
    <row r="689" spans="2:24" ht="12.75" thickBot="1">
      <c r="B689" s="2295" t="s">
        <v>468</v>
      </c>
      <c r="C689" s="2296">
        <f t="shared" si="207"/>
        <v>892.28786244979415</v>
      </c>
      <c r="D689" s="2296">
        <f>('IS(FY)'!M31)/1000</f>
        <v>0</v>
      </c>
      <c r="E689" s="2296">
        <f>('IS(FY)'!N31)/1000</f>
        <v>10.87337</v>
      </c>
      <c r="F689" s="2296">
        <f>('IS(FY)'!O31)/1000</f>
        <v>0</v>
      </c>
      <c r="G689" s="2296">
        <f>('IS(FY)'!P31)/1000</f>
        <v>0</v>
      </c>
      <c r="H689" s="2297">
        <f>('IS(FY)'!Q31)/1000</f>
        <v>0</v>
      </c>
      <c r="I689" s="2297">
        <f>('IS(FY)'!R31)/1000</f>
        <v>0</v>
      </c>
      <c r="J689" s="2297">
        <f>('IS(FY)'!S31)/1000</f>
        <v>68.398392522169118</v>
      </c>
      <c r="K689" s="2297">
        <f>('IS(FY)'!T31)/1000</f>
        <v>43.196941674829176</v>
      </c>
      <c r="L689" s="2297">
        <f>('IS(FY)'!U31)/1000</f>
        <v>0.55855563724519308</v>
      </c>
      <c r="M689" s="2297">
        <f>('IS(FY)'!V31)/1000</f>
        <v>0</v>
      </c>
      <c r="N689" s="2297">
        <f>('IS(FY)'!W31)/1000</f>
        <v>0</v>
      </c>
      <c r="O689" s="2297">
        <f>('IS(FY)'!X31)/1000</f>
        <v>0</v>
      </c>
      <c r="P689" s="2297">
        <f>('IS(FY)'!Y31)/1000</f>
        <v>0</v>
      </c>
      <c r="Q689" s="2297">
        <f>('IS(FY)'!Z31)/1000</f>
        <v>0</v>
      </c>
      <c r="R689" s="2297">
        <f>('IS(FY)'!AA31)/1000</f>
        <v>0</v>
      </c>
      <c r="S689" s="2297">
        <f>('IS(FY)'!AB31)/1000</f>
        <v>0</v>
      </c>
      <c r="T689" s="2297">
        <f>('IS(FY)'!AC31)/1000</f>
        <v>677.53827343214505</v>
      </c>
      <c r="U689" s="2297">
        <f>('IS(FY)'!AD31)/1000</f>
        <v>91.09037474806992</v>
      </c>
      <c r="V689" s="2297">
        <f>('IS(FY)'!AE31)/1000</f>
        <v>0.63195443533556805</v>
      </c>
      <c r="W689" s="2297">
        <f>('IS(FY)'!AF31)/1000</f>
        <v>0</v>
      </c>
      <c r="X689" s="2297">
        <f>('IS(FY)'!AG31)/1000</f>
        <v>0</v>
      </c>
    </row>
    <row r="690" spans="2:24" ht="12.75" hidden="1" thickBot="1">
      <c r="B690" s="2298" t="s">
        <v>462</v>
      </c>
      <c r="C690" s="2299">
        <f t="shared" si="207"/>
        <v>0</v>
      </c>
      <c r="D690" s="2299">
        <v>0</v>
      </c>
      <c r="E690" s="2299">
        <v>0</v>
      </c>
      <c r="F690" s="2299">
        <v>0</v>
      </c>
      <c r="G690" s="2299">
        <v>0</v>
      </c>
      <c r="H690" s="2300">
        <v>0</v>
      </c>
      <c r="I690" s="2300">
        <v>0</v>
      </c>
      <c r="J690" s="2300">
        <v>0</v>
      </c>
      <c r="K690" s="2300">
        <v>0</v>
      </c>
      <c r="L690" s="2300">
        <v>0</v>
      </c>
      <c r="M690" s="2300">
        <v>0</v>
      </c>
      <c r="N690" s="2300">
        <v>0</v>
      </c>
      <c r="O690" s="2300">
        <v>0</v>
      </c>
      <c r="P690" s="2300">
        <v>0</v>
      </c>
      <c r="Q690" s="2300">
        <v>0</v>
      </c>
      <c r="R690" s="2300">
        <v>0</v>
      </c>
      <c r="S690" s="2300">
        <v>0</v>
      </c>
      <c r="T690" s="2300">
        <v>0</v>
      </c>
      <c r="U690" s="2300">
        <v>0</v>
      </c>
      <c r="V690" s="2300">
        <v>0</v>
      </c>
      <c r="W690" s="2300">
        <v>0</v>
      </c>
      <c r="X690" s="2300">
        <v>0</v>
      </c>
    </row>
    <row r="691" spans="2:24" ht="12.75" thickBot="1">
      <c r="B691" s="2289" t="s">
        <v>1476</v>
      </c>
      <c r="C691" s="2290">
        <f t="shared" si="207"/>
        <v>150204.86780054582</v>
      </c>
      <c r="D691" s="2290">
        <f t="shared" ref="D691:X691" si="210">D677-D681</f>
        <v>0</v>
      </c>
      <c r="E691" s="2290">
        <f t="shared" si="210"/>
        <v>6343.0180059503818</v>
      </c>
      <c r="F691" s="2290">
        <f t="shared" si="210"/>
        <v>6762.3469757961639</v>
      </c>
      <c r="G691" s="2290">
        <f t="shared" si="210"/>
        <v>6521.5596980113869</v>
      </c>
      <c r="H691" s="2291">
        <f t="shared" si="210"/>
        <v>6940.2266878533119</v>
      </c>
      <c r="I691" s="2291">
        <f t="shared" si="210"/>
        <v>7034.6976936570827</v>
      </c>
      <c r="J691" s="2291">
        <f t="shared" si="210"/>
        <v>2041.4913450148392</v>
      </c>
      <c r="K691" s="2291">
        <f t="shared" si="210"/>
        <v>7469.9468349245071</v>
      </c>
      <c r="L691" s="2291">
        <f t="shared" si="210"/>
        <v>7745.1711443323702</v>
      </c>
      <c r="M691" s="2291">
        <f t="shared" si="210"/>
        <v>7734.5829167480742</v>
      </c>
      <c r="N691" s="2291">
        <f t="shared" si="210"/>
        <v>7963.0934473414063</v>
      </c>
      <c r="O691" s="2291">
        <f t="shared" si="210"/>
        <v>7951.298544913916</v>
      </c>
      <c r="P691" s="2291">
        <f t="shared" si="210"/>
        <v>8185.5218387720797</v>
      </c>
      <c r="Q691" s="2291">
        <f t="shared" si="210"/>
        <v>8173.0717325842279</v>
      </c>
      <c r="R691" s="2291">
        <f t="shared" si="210"/>
        <v>8413.1506087888501</v>
      </c>
      <c r="S691" s="2291">
        <f t="shared" si="210"/>
        <v>8400.0379083468542</v>
      </c>
      <c r="T691" s="2291">
        <f t="shared" si="210"/>
        <v>7747.6305297792878</v>
      </c>
      <c r="U691" s="2291">
        <f t="shared" si="210"/>
        <v>8445.0785563043482</v>
      </c>
      <c r="V691" s="2291">
        <f t="shared" si="210"/>
        <v>8660.4069591787284</v>
      </c>
      <c r="W691" s="2291">
        <f t="shared" si="210"/>
        <v>8773.0083164013377</v>
      </c>
      <c r="X691" s="2291">
        <f t="shared" si="210"/>
        <v>8899.5280558466675</v>
      </c>
    </row>
    <row r="692" spans="2:24" ht="12.75" thickBot="1">
      <c r="B692" s="2289" t="s">
        <v>1505</v>
      </c>
      <c r="C692" s="2290">
        <f t="shared" ca="1" si="207"/>
        <v>-26122.341401419864</v>
      </c>
      <c r="D692" s="2290">
        <f t="shared" ref="D692:X692" si="211">SUM(D693:D698)</f>
        <v>0</v>
      </c>
      <c r="E692" s="2290">
        <f t="shared" ca="1" si="211"/>
        <v>-6619.3983617848498</v>
      </c>
      <c r="F692" s="2290">
        <f t="shared" ca="1" si="211"/>
        <v>-6503.0238107181312</v>
      </c>
      <c r="G692" s="2290">
        <f t="shared" ca="1" si="211"/>
        <v>-6539.7191736927416</v>
      </c>
      <c r="H692" s="2291">
        <f t="shared" ca="1" si="211"/>
        <v>-6555.8290196033613</v>
      </c>
      <c r="I692" s="2291">
        <f t="shared" ca="1" si="211"/>
        <v>-6643.1348599008525</v>
      </c>
      <c r="J692" s="2291">
        <f t="shared" ca="1" si="211"/>
        <v>-6684.3445962323658</v>
      </c>
      <c r="K692" s="2291">
        <f t="shared" ca="1" si="211"/>
        <v>-6764.1644182548525</v>
      </c>
      <c r="L692" s="2291">
        <f t="shared" ca="1" si="211"/>
        <v>-6767.9946237112754</v>
      </c>
      <c r="M692" s="2291">
        <f t="shared" ca="1" si="211"/>
        <v>-6781.8693741191955</v>
      </c>
      <c r="N692" s="2291">
        <f t="shared" ca="1" si="211"/>
        <v>-6781.59264178578</v>
      </c>
      <c r="O692" s="2291">
        <f t="shared" ca="1" si="211"/>
        <v>-6468.9088651944176</v>
      </c>
      <c r="P692" s="2291">
        <f t="shared" ca="1" si="211"/>
        <v>-6459.066307888821</v>
      </c>
      <c r="Q692" s="2291">
        <f t="shared" ca="1" si="211"/>
        <v>-6462.5675106687258</v>
      </c>
      <c r="R692" s="2291">
        <f t="shared" ca="1" si="211"/>
        <v>-6449.4399550485205</v>
      </c>
      <c r="S692" s="2291">
        <f t="shared" ca="1" si="211"/>
        <v>-6445.6910907912816</v>
      </c>
      <c r="T692" s="2291">
        <f t="shared" ca="1" si="211"/>
        <v>-6439.6842919310084</v>
      </c>
      <c r="U692" s="2291">
        <f t="shared" ca="1" si="211"/>
        <v>-6437.9862736322766</v>
      </c>
      <c r="V692" s="2291">
        <f t="shared" ca="1" si="211"/>
        <v>-6419.6582364062951</v>
      </c>
      <c r="W692" s="2291">
        <f t="shared" ca="1" si="211"/>
        <v>-6410.5187941714112</v>
      </c>
      <c r="X692" s="2291">
        <f t="shared" ca="1" si="211"/>
        <v>98512.250804116324</v>
      </c>
    </row>
    <row r="693" spans="2:24">
      <c r="B693" s="2292" t="s">
        <v>1022</v>
      </c>
      <c r="C693" s="2293">
        <f t="shared" ca="1" si="207"/>
        <v>1737.468086606299</v>
      </c>
      <c r="D693" s="2293">
        <f>('IS(FY)'!M38)/1000</f>
        <v>0</v>
      </c>
      <c r="E693" s="2293">
        <f ca="1">('IS(FY)'!N38)/1000</f>
        <v>194.08267155863479</v>
      </c>
      <c r="F693" s="2293">
        <f ca="1">('IS(FY)'!O38)/1000</f>
        <v>165.81968928186845</v>
      </c>
      <c r="G693" s="2293">
        <f ca="1">('IS(FY)'!P38)/1000</f>
        <v>129.12432630725766</v>
      </c>
      <c r="H693" s="2294">
        <f ca="1">('IS(FY)'!Q38)/1000</f>
        <v>113.0144803966384</v>
      </c>
      <c r="I693" s="2294">
        <f ca="1">('IS(FY)'!R38)/1000</f>
        <v>177.70864009914746</v>
      </c>
      <c r="J693" s="2294">
        <f ca="1">('IS(FY)'!S38)/1000</f>
        <v>136.498903767634</v>
      </c>
      <c r="K693" s="2294">
        <f ca="1">('IS(FY)'!T38)/1000</f>
        <v>56.67908174514757</v>
      </c>
      <c r="L693" s="2294">
        <f ca="1">('IS(FY)'!U38)/1000</f>
        <v>52.848876288724227</v>
      </c>
      <c r="M693" s="2294">
        <f ca="1">('IS(FY)'!V38)/1000</f>
        <v>38.974125880804507</v>
      </c>
      <c r="N693" s="2294">
        <f ca="1">('IS(FY)'!W38)/1000</f>
        <v>39.250858214220024</v>
      </c>
      <c r="O693" s="2294">
        <f ca="1">('IS(FY)'!X38)/1000</f>
        <v>32.434634805582043</v>
      </c>
      <c r="P693" s="2294">
        <f ca="1">('IS(FY)'!Y38)/1000</f>
        <v>42.277192111179239</v>
      </c>
      <c r="Q693" s="2294">
        <f ca="1">('IS(FY)'!Z38)/1000</f>
        <v>38.775989331274396</v>
      </c>
      <c r="R693" s="2294">
        <f ca="1">('IS(FY)'!AA38)/1000</f>
        <v>51.903544951479816</v>
      </c>
      <c r="S693" s="2294">
        <f ca="1">('IS(FY)'!AB38)/1000</f>
        <v>55.652409208718034</v>
      </c>
      <c r="T693" s="2294">
        <f ca="1">('IS(FY)'!AC38)/1000</f>
        <v>61.659208068991326</v>
      </c>
      <c r="U693" s="2294">
        <f ca="1">('IS(FY)'!AD38)/1000</f>
        <v>63.357226367723371</v>
      </c>
      <c r="V693" s="2294">
        <f ca="1">('IS(FY)'!AE38)/1000</f>
        <v>81.685263593704832</v>
      </c>
      <c r="W693" s="2294">
        <f ca="1">('IS(FY)'!AF38)/1000</f>
        <v>90.824705828588364</v>
      </c>
      <c r="X693" s="2294">
        <f ca="1">('IS(FY)'!AG38)/1000</f>
        <v>114.89625879898119</v>
      </c>
    </row>
    <row r="694" spans="2:24">
      <c r="B694" s="2295" t="s">
        <v>1607</v>
      </c>
      <c r="C694" s="2296">
        <f t="shared" si="207"/>
        <v>-93877</v>
      </c>
      <c r="D694" s="2296">
        <f>-('IS(FY)'!M41+'IS(FY)'!M42+'IS(FY)'!M43)/1000</f>
        <v>0</v>
      </c>
      <c r="E694" s="2296">
        <f>-('IS(FY)'!N41+'IS(FY)'!N42+'IS(FY)'!N43)/1000</f>
        <v>-3819.9999999999995</v>
      </c>
      <c r="F694" s="2296">
        <f>-('IS(FY)'!O41+'IS(FY)'!O42+'IS(FY)'!O43)/1000</f>
        <v>-3819.9999999999995</v>
      </c>
      <c r="G694" s="2296">
        <f>-('IS(FY)'!P41+'IS(FY)'!P42+'IS(FY)'!P43)/1000</f>
        <v>-3819.9999999999995</v>
      </c>
      <c r="H694" s="2297">
        <f>-('IS(FY)'!Q41+'IS(FY)'!Q42+'IS(FY)'!Q43)/1000</f>
        <v>-3819.9999999999995</v>
      </c>
      <c r="I694" s="2297">
        <f>-('IS(FY)'!R41+'IS(FY)'!R42+'IS(FY)'!R43)/1000</f>
        <v>-5112</v>
      </c>
      <c r="J694" s="2297">
        <f>-('IS(FY)'!S41+'IS(FY)'!S42+'IS(FY)'!S43)/1000</f>
        <v>-5112</v>
      </c>
      <c r="K694" s="2297">
        <f>-('IS(FY)'!T41+'IS(FY)'!T42+'IS(FY)'!T43)/1000</f>
        <v>-5112</v>
      </c>
      <c r="L694" s="2297">
        <f>-('IS(FY)'!U41+'IS(FY)'!U42+'IS(FY)'!U43)/1000</f>
        <v>-5112</v>
      </c>
      <c r="M694" s="2297">
        <f>-('IS(FY)'!V41+'IS(FY)'!V42+'IS(FY)'!V43)/1000</f>
        <v>-5112</v>
      </c>
      <c r="N694" s="2297">
        <f>-('IS(FY)'!W41+'IS(FY)'!W42+'IS(FY)'!W43)/1000</f>
        <v>-5112</v>
      </c>
      <c r="O694" s="2297">
        <f>-('IS(FY)'!X41+'IS(FY)'!X42+'IS(FY)'!X43)/1000</f>
        <v>-4792.5</v>
      </c>
      <c r="P694" s="2297">
        <f>-('IS(FY)'!Y41+'IS(FY)'!Y42+'IS(FY)'!Y43)/1000</f>
        <v>-4792.5</v>
      </c>
      <c r="Q694" s="2297">
        <f>-('IS(FY)'!Z41+'IS(FY)'!Z42+'IS(FY)'!Z43)/1000</f>
        <v>-4792.5</v>
      </c>
      <c r="R694" s="2297">
        <f>-('IS(FY)'!AA41+'IS(FY)'!AA42+'IS(FY)'!AA43)/1000</f>
        <v>-4792.5</v>
      </c>
      <c r="S694" s="2297">
        <f>-('IS(FY)'!AB41+'IS(FY)'!AB42+'IS(FY)'!AB43)/1000</f>
        <v>-4792.5</v>
      </c>
      <c r="T694" s="2297">
        <f>-('IS(FY)'!AC41+'IS(FY)'!AC42+'IS(FY)'!AC43)/1000</f>
        <v>-4792.5</v>
      </c>
      <c r="U694" s="2297">
        <f>-('IS(FY)'!AD41+'IS(FY)'!AD42+'IS(FY)'!AD43)/1000</f>
        <v>-4792.5</v>
      </c>
      <c r="V694" s="2297">
        <f>-('IS(FY)'!AE41+'IS(FY)'!AE42+'IS(FY)'!AE43)/1000</f>
        <v>-4792.5</v>
      </c>
      <c r="W694" s="2297">
        <f>-('IS(FY)'!AF41+'IS(FY)'!AF42+'IS(FY)'!AF43)/1000</f>
        <v>-4792.5</v>
      </c>
      <c r="X694" s="2297">
        <f>-('IS(FY)'!AG41+'IS(FY)'!AG42+'IS(FY)'!AG43)/1000</f>
        <v>-4792.5</v>
      </c>
    </row>
    <row r="695" spans="2:24">
      <c r="B695" s="2295" t="s">
        <v>1541</v>
      </c>
      <c r="C695" s="2296">
        <f t="shared" si="207"/>
        <v>-4560</v>
      </c>
      <c r="D695" s="2296">
        <f>-('IS(FY)'!M44+'IS(FY)'!M45+'IS(FY)'!M46)/1000</f>
        <v>0</v>
      </c>
      <c r="E695" s="2296">
        <f>-('IS(FY)'!N44+'IS(FY)'!N45+'IS(FY)'!N46)/1000</f>
        <v>-1140</v>
      </c>
      <c r="F695" s="2296">
        <f>-('IS(FY)'!O44+'IS(FY)'!O45+'IS(FY)'!O46)/1000</f>
        <v>-1140</v>
      </c>
      <c r="G695" s="2296">
        <f>-('IS(FY)'!P44+'IS(FY)'!P45+'IS(FY)'!P46)/1000</f>
        <v>-1140</v>
      </c>
      <c r="H695" s="2297">
        <f>-('IS(FY)'!Q44+'IS(FY)'!Q45+'IS(FY)'!Q46)/1000</f>
        <v>-1140</v>
      </c>
      <c r="I695" s="2297">
        <f>-('IS(FY)'!R44+'IS(FY)'!R45+'IS(FY)'!R46)/1000</f>
        <v>0</v>
      </c>
      <c r="J695" s="2297">
        <f>-('IS(FY)'!S44+'IS(FY)'!S45+'IS(FY)'!S46)/1000</f>
        <v>0</v>
      </c>
      <c r="K695" s="2297">
        <f>-('IS(FY)'!T44+'IS(FY)'!T45+'IS(FY)'!T46)/1000</f>
        <v>0</v>
      </c>
      <c r="L695" s="2297">
        <f>-('IS(FY)'!U44+'IS(FY)'!U45+'IS(FY)'!U46)/1000</f>
        <v>0</v>
      </c>
      <c r="M695" s="2297">
        <f>-('IS(FY)'!V44+'IS(FY)'!V45+'IS(FY)'!V46)/1000</f>
        <v>0</v>
      </c>
      <c r="N695" s="2297">
        <f>-('IS(FY)'!W44+'IS(FY)'!W45+'IS(FY)'!W46)/1000</f>
        <v>0</v>
      </c>
      <c r="O695" s="2297">
        <f>-('IS(FY)'!X44+'IS(FY)'!X45+'IS(FY)'!X46)/1000</f>
        <v>0</v>
      </c>
      <c r="P695" s="2297">
        <f>-('IS(FY)'!Y44+'IS(FY)'!Y45+'IS(FY)'!Y46)/1000</f>
        <v>0</v>
      </c>
      <c r="Q695" s="2297">
        <f>-('IS(FY)'!Z44+'IS(FY)'!Z45+'IS(FY)'!Z46)/1000</f>
        <v>0</v>
      </c>
      <c r="R695" s="2297">
        <f>-('IS(FY)'!AA44+'IS(FY)'!AA45+'IS(FY)'!AA46)/1000</f>
        <v>0</v>
      </c>
      <c r="S695" s="2297">
        <f>-('IS(FY)'!AB44+'IS(FY)'!AB45+'IS(FY)'!AB46)/1000</f>
        <v>0</v>
      </c>
      <c r="T695" s="2297">
        <f>-('IS(FY)'!AC44+'IS(FY)'!AC45+'IS(FY)'!AC46)/1000</f>
        <v>0</v>
      </c>
      <c r="U695" s="2297">
        <f>-('IS(FY)'!AD44+'IS(FY)'!AD45+'IS(FY)'!AD46)/1000</f>
        <v>0</v>
      </c>
      <c r="V695" s="2297">
        <f>-('IS(FY)'!AE44+'IS(FY)'!AE45+'IS(FY)'!AE46)/1000</f>
        <v>0</v>
      </c>
      <c r="W695" s="2297">
        <f>-('IS(FY)'!AF44+'IS(FY)'!AF45+'IS(FY)'!AF46)/1000</f>
        <v>0</v>
      </c>
      <c r="X695" s="2297">
        <f>-('IS(FY)'!AG44+'IS(FY)'!AG45+'IS(FY)'!AG46)/1000</f>
        <v>0</v>
      </c>
    </row>
    <row r="696" spans="2:24">
      <c r="B696" s="2295" t="s">
        <v>1608</v>
      </c>
      <c r="C696" s="2296">
        <f t="shared" si="207"/>
        <v>-144.63753334348496</v>
      </c>
      <c r="D696" s="2296">
        <f>-('IS(FY)'!M47)/1000</f>
        <v>0</v>
      </c>
      <c r="E696" s="2296">
        <f>-('IS(FY)'!N47)/1000</f>
        <v>-144.63753334348496</v>
      </c>
      <c r="F696" s="2296">
        <f>-('IS(FY)'!O47)/1000</f>
        <v>0</v>
      </c>
      <c r="G696" s="2296">
        <f>-('IS(FY)'!P47)/1000</f>
        <v>0</v>
      </c>
      <c r="H696" s="2297">
        <f>-('IS(FY)'!Q47)/1000</f>
        <v>0</v>
      </c>
      <c r="I696" s="2297">
        <f>-('IS(FY)'!R47)/1000</f>
        <v>0</v>
      </c>
      <c r="J696" s="2297">
        <f>-('IS(FY)'!S47)/1000</f>
        <v>0</v>
      </c>
      <c r="K696" s="2297">
        <f>-('IS(FY)'!T47)/1000</f>
        <v>0</v>
      </c>
      <c r="L696" s="2297">
        <f>-('IS(FY)'!U47)/1000</f>
        <v>0</v>
      </c>
      <c r="M696" s="2297">
        <f>-('IS(FY)'!V47)/1000</f>
        <v>0</v>
      </c>
      <c r="N696" s="2297">
        <f>-('IS(FY)'!W47)/1000</f>
        <v>0</v>
      </c>
      <c r="O696" s="2297">
        <f>-('IS(FY)'!X47)/1000</f>
        <v>0</v>
      </c>
      <c r="P696" s="2297">
        <f>-('IS(FY)'!Y47)/1000</f>
        <v>0</v>
      </c>
      <c r="Q696" s="2297">
        <f>-('IS(FY)'!Z47)/1000</f>
        <v>0</v>
      </c>
      <c r="R696" s="2297">
        <f>-('IS(FY)'!AA47)/1000</f>
        <v>0</v>
      </c>
      <c r="S696" s="2297">
        <f>-('IS(FY)'!AB47)/1000</f>
        <v>0</v>
      </c>
      <c r="T696" s="2297">
        <f>-('IS(FY)'!AC47)/1000</f>
        <v>0</v>
      </c>
      <c r="U696" s="2297">
        <f>-('IS(FY)'!AD47)/1000</f>
        <v>0</v>
      </c>
      <c r="V696" s="2297">
        <f>-('IS(FY)'!AE47)/1000</f>
        <v>0</v>
      </c>
      <c r="W696" s="2297">
        <f>-('IS(FY)'!AF47)/1000</f>
        <v>0</v>
      </c>
      <c r="X696" s="2297">
        <f>-('IS(FY)'!AG47)/1000</f>
        <v>0</v>
      </c>
    </row>
    <row r="697" spans="2:24">
      <c r="B697" s="2295" t="s">
        <v>1214</v>
      </c>
      <c r="C697" s="2296">
        <f t="shared" si="207"/>
        <v>-34176.869999999988</v>
      </c>
      <c r="D697" s="2296">
        <f>-('IS(FY)'!M20)/1000</f>
        <v>0</v>
      </c>
      <c r="E697" s="2296">
        <f>-('IS(FY)'!N20)/1000</f>
        <v>-1708.8434999999999</v>
      </c>
      <c r="F697" s="2296">
        <f>-('IS(FY)'!O20)/1000</f>
        <v>-1708.8434999999999</v>
      </c>
      <c r="G697" s="2296">
        <f>-('IS(FY)'!P20)/1000</f>
        <v>-1708.8434999999999</v>
      </c>
      <c r="H697" s="2297">
        <f>-('IS(FY)'!Q20)/1000</f>
        <v>-1708.8434999999999</v>
      </c>
      <c r="I697" s="2297">
        <f>-('IS(FY)'!R20)/1000</f>
        <v>-1708.8434999999999</v>
      </c>
      <c r="J697" s="2297">
        <f>-('IS(FY)'!S20)/1000</f>
        <v>-1708.8434999999999</v>
      </c>
      <c r="K697" s="2297">
        <f>-('IS(FY)'!T20)/1000</f>
        <v>-1708.8434999999999</v>
      </c>
      <c r="L697" s="2297">
        <f>-('IS(FY)'!U20)/1000</f>
        <v>-1708.8434999999999</v>
      </c>
      <c r="M697" s="2297">
        <f>-('IS(FY)'!V20)/1000</f>
        <v>-1708.8434999999999</v>
      </c>
      <c r="N697" s="2297">
        <f>-('IS(FY)'!W20)/1000</f>
        <v>-1708.8434999999999</v>
      </c>
      <c r="O697" s="2297">
        <f>-('IS(FY)'!X20)/1000</f>
        <v>-1708.8434999999999</v>
      </c>
      <c r="P697" s="2297">
        <f>-('IS(FY)'!Y20)/1000</f>
        <v>-1708.8434999999999</v>
      </c>
      <c r="Q697" s="2297">
        <f>-('IS(FY)'!Z20)/1000</f>
        <v>-1708.8434999999999</v>
      </c>
      <c r="R697" s="2297">
        <f>-('IS(FY)'!AA20)/1000</f>
        <v>-1708.8434999999999</v>
      </c>
      <c r="S697" s="2297">
        <f>-('IS(FY)'!AB20)/1000</f>
        <v>-1708.8434999999999</v>
      </c>
      <c r="T697" s="2297">
        <f>-('IS(FY)'!AC20)/1000</f>
        <v>-1708.8434999999999</v>
      </c>
      <c r="U697" s="2297">
        <f>-('IS(FY)'!AD20)/1000</f>
        <v>-1708.8434999999999</v>
      </c>
      <c r="V697" s="2297">
        <f>-('IS(FY)'!AE20)/1000</f>
        <v>-1708.8434999999999</v>
      </c>
      <c r="W697" s="2297">
        <f>-('IS(FY)'!AF20)/1000</f>
        <v>-1708.8434999999999</v>
      </c>
      <c r="X697" s="2297">
        <f>-('IS(FY)'!AG20)/1000</f>
        <v>-1708.8434999999999</v>
      </c>
    </row>
    <row r="698" spans="2:24" ht="12.75" thickBot="1">
      <c r="B698" s="2298" t="s">
        <v>1506</v>
      </c>
      <c r="C698" s="2299">
        <f t="shared" si="207"/>
        <v>104898.69804531735</v>
      </c>
      <c r="D698" s="2299">
        <f>('IS(FY)'!M39)/1000</f>
        <v>0</v>
      </c>
      <c r="E698" s="2299">
        <f>('IS(FY)'!N39)/1000</f>
        <v>0</v>
      </c>
      <c r="F698" s="2299">
        <f>('IS(FY)'!O39)/1000</f>
        <v>0</v>
      </c>
      <c r="G698" s="2299">
        <f>('IS(FY)'!P39)/1000</f>
        <v>0</v>
      </c>
      <c r="H698" s="2300">
        <f>('IS(FY)'!Q39)/1000</f>
        <v>0</v>
      </c>
      <c r="I698" s="2300">
        <f>('IS(FY)'!R39)/1000</f>
        <v>0</v>
      </c>
      <c r="J698" s="2300">
        <f>('IS(FY)'!S39)/1000</f>
        <v>0</v>
      </c>
      <c r="K698" s="2300">
        <f>('IS(FY)'!T39)/1000</f>
        <v>0</v>
      </c>
      <c r="L698" s="2300">
        <f>('IS(FY)'!U39)/1000</f>
        <v>0</v>
      </c>
      <c r="M698" s="2300">
        <f>('IS(FY)'!V39)/1000</f>
        <v>0</v>
      </c>
      <c r="N698" s="2300">
        <f>('IS(FY)'!W39)/1000</f>
        <v>0</v>
      </c>
      <c r="O698" s="2300">
        <f>('IS(FY)'!X39)/1000</f>
        <v>0</v>
      </c>
      <c r="P698" s="2300">
        <f>('IS(FY)'!Y39)/1000</f>
        <v>0</v>
      </c>
      <c r="Q698" s="2300">
        <f>('IS(FY)'!Z39)/1000</f>
        <v>0</v>
      </c>
      <c r="R698" s="2300">
        <f>('IS(FY)'!AA39)/1000</f>
        <v>0</v>
      </c>
      <c r="S698" s="2300">
        <f>('IS(FY)'!AB39)/1000</f>
        <v>0</v>
      </c>
      <c r="T698" s="2300">
        <f>('IS(FY)'!AC39)/1000</f>
        <v>0</v>
      </c>
      <c r="U698" s="2300">
        <f>('IS(FY)'!AD39)/1000</f>
        <v>0</v>
      </c>
      <c r="V698" s="2300">
        <f>('IS(FY)'!AE39)/1000</f>
        <v>0</v>
      </c>
      <c r="W698" s="2300">
        <f>('IS(FY)'!AF39)/1000</f>
        <v>0</v>
      </c>
      <c r="X698" s="2300">
        <f>('IS(FY)'!AG39)/1000</f>
        <v>104898.69804531735</v>
      </c>
    </row>
    <row r="699" spans="2:24" ht="12.75" thickBot="1">
      <c r="B699" s="2289" t="s">
        <v>1507</v>
      </c>
      <c r="C699" s="2290">
        <f t="shared" si="207"/>
        <v>8096.9916246850535</v>
      </c>
      <c r="D699" s="2290">
        <f t="shared" ref="D699:X699" si="212">SUM(D700:D704)</f>
        <v>0</v>
      </c>
      <c r="E699" s="2290">
        <f t="shared" si="212"/>
        <v>400.290920435511</v>
      </c>
      <c r="F699" s="2290">
        <f t="shared" si="212"/>
        <v>400.290920435511</v>
      </c>
      <c r="G699" s="2290">
        <f t="shared" si="212"/>
        <v>401.25092043551103</v>
      </c>
      <c r="H699" s="2291">
        <f t="shared" si="212"/>
        <v>401.25092043551103</v>
      </c>
      <c r="I699" s="2291">
        <f t="shared" si="212"/>
        <v>402.23012043551103</v>
      </c>
      <c r="J699" s="2291">
        <f t="shared" si="212"/>
        <v>402.23012043551103</v>
      </c>
      <c r="K699" s="2291">
        <f t="shared" si="212"/>
        <v>403.22890443551097</v>
      </c>
      <c r="L699" s="2291">
        <f t="shared" si="212"/>
        <v>403.22890443551097</v>
      </c>
      <c r="M699" s="2291">
        <f t="shared" si="212"/>
        <v>404.24766411551099</v>
      </c>
      <c r="N699" s="2291">
        <f t="shared" si="212"/>
        <v>404.24766411551099</v>
      </c>
      <c r="O699" s="2291">
        <f t="shared" si="212"/>
        <v>405.28679898911099</v>
      </c>
      <c r="P699" s="2291">
        <f t="shared" si="212"/>
        <v>405.28679898911099</v>
      </c>
      <c r="Q699" s="2291">
        <f t="shared" si="212"/>
        <v>406.34671656018298</v>
      </c>
      <c r="R699" s="2291">
        <f t="shared" si="212"/>
        <v>406.34671656018298</v>
      </c>
      <c r="S699" s="2291">
        <f t="shared" si="212"/>
        <v>407.42783248267642</v>
      </c>
      <c r="T699" s="2291">
        <f t="shared" si="212"/>
        <v>407.42783248267642</v>
      </c>
      <c r="U699" s="2291">
        <f t="shared" si="212"/>
        <v>408.53057072361975</v>
      </c>
      <c r="V699" s="2291">
        <f t="shared" si="212"/>
        <v>408.53057072361975</v>
      </c>
      <c r="W699" s="2291">
        <f t="shared" si="212"/>
        <v>409.65536372938192</v>
      </c>
      <c r="X699" s="2291">
        <f t="shared" si="212"/>
        <v>409.65536372938192</v>
      </c>
    </row>
    <row r="700" spans="2:24">
      <c r="B700" s="2292" t="s">
        <v>190</v>
      </c>
      <c r="C700" s="2293">
        <f t="shared" si="207"/>
        <v>6665.4700000000039</v>
      </c>
      <c r="D700" s="2293">
        <f>('IS(FY)'!M32)/1000</f>
        <v>0</v>
      </c>
      <c r="E700" s="2293">
        <f>('IS(FY)'!N32)/1000</f>
        <v>333.27350000000013</v>
      </c>
      <c r="F700" s="2293">
        <f>('IS(FY)'!O32)/1000</f>
        <v>333.27350000000013</v>
      </c>
      <c r="G700" s="2293">
        <f>('IS(FY)'!P32)/1000</f>
        <v>333.27350000000013</v>
      </c>
      <c r="H700" s="2294">
        <f>('IS(FY)'!Q32)/1000</f>
        <v>333.27350000000013</v>
      </c>
      <c r="I700" s="2294">
        <f>('IS(FY)'!R32)/1000</f>
        <v>333.27350000000013</v>
      </c>
      <c r="J700" s="2294">
        <f>('IS(FY)'!S32)/1000</f>
        <v>333.27350000000013</v>
      </c>
      <c r="K700" s="2294">
        <f>('IS(FY)'!T32)/1000</f>
        <v>333.27350000000013</v>
      </c>
      <c r="L700" s="2294">
        <f>('IS(FY)'!U32)/1000</f>
        <v>333.27350000000013</v>
      </c>
      <c r="M700" s="2294">
        <f>('IS(FY)'!V32)/1000</f>
        <v>333.27350000000013</v>
      </c>
      <c r="N700" s="2294">
        <f>('IS(FY)'!W32)/1000</f>
        <v>333.27350000000013</v>
      </c>
      <c r="O700" s="2294">
        <f>('IS(FY)'!X32)/1000</f>
        <v>333.27350000000013</v>
      </c>
      <c r="P700" s="2294">
        <f>('IS(FY)'!Y32)/1000</f>
        <v>333.27350000000013</v>
      </c>
      <c r="Q700" s="2294">
        <f>('IS(FY)'!Z32)/1000</f>
        <v>333.27350000000013</v>
      </c>
      <c r="R700" s="2294">
        <f>('IS(FY)'!AA32)/1000</f>
        <v>333.27350000000013</v>
      </c>
      <c r="S700" s="2294">
        <f>('IS(FY)'!AB32)/1000</f>
        <v>333.27350000000013</v>
      </c>
      <c r="T700" s="2294">
        <f>('IS(FY)'!AC32)/1000</f>
        <v>333.27350000000013</v>
      </c>
      <c r="U700" s="2294">
        <f>('IS(FY)'!AD32)/1000</f>
        <v>333.27350000000013</v>
      </c>
      <c r="V700" s="2294">
        <f>('IS(FY)'!AE32)/1000</f>
        <v>333.27350000000013</v>
      </c>
      <c r="W700" s="2294">
        <f>('IS(FY)'!AF32)/1000</f>
        <v>333.27350000000013</v>
      </c>
      <c r="X700" s="2294">
        <f>('IS(FY)'!AG32)/1000</f>
        <v>333.27350000000013</v>
      </c>
    </row>
    <row r="701" spans="2:24">
      <c r="B701" s="2295" t="s">
        <v>192</v>
      </c>
      <c r="C701" s="2296">
        <f t="shared" si="207"/>
        <v>260.34840871021788</v>
      </c>
      <c r="D701" s="2296">
        <f>('IS(FY)'!M34)/1000</f>
        <v>0</v>
      </c>
      <c r="E701" s="2296">
        <f>('IS(FY)'!N34)/1000</f>
        <v>13.017420435510887</v>
      </c>
      <c r="F701" s="2296">
        <f>('IS(FY)'!O34)/1000</f>
        <v>13.017420435510887</v>
      </c>
      <c r="G701" s="2296">
        <f>('IS(FY)'!P34)/1000</f>
        <v>13.017420435510887</v>
      </c>
      <c r="H701" s="2297">
        <f>('IS(FY)'!Q34)/1000</f>
        <v>13.017420435510887</v>
      </c>
      <c r="I701" s="2297">
        <f>('IS(FY)'!R34)/1000</f>
        <v>13.017420435510887</v>
      </c>
      <c r="J701" s="2297">
        <f>('IS(FY)'!S34)/1000</f>
        <v>13.017420435510887</v>
      </c>
      <c r="K701" s="2297">
        <f>('IS(FY)'!T34)/1000</f>
        <v>13.017420435510887</v>
      </c>
      <c r="L701" s="2297">
        <f>('IS(FY)'!U34)/1000</f>
        <v>13.017420435510887</v>
      </c>
      <c r="M701" s="2297">
        <f>('IS(FY)'!V34)/1000</f>
        <v>13.017420435510887</v>
      </c>
      <c r="N701" s="2297">
        <f>('IS(FY)'!W34)/1000</f>
        <v>13.017420435510887</v>
      </c>
      <c r="O701" s="2297">
        <f>('IS(FY)'!X34)/1000</f>
        <v>13.017420435510887</v>
      </c>
      <c r="P701" s="2297">
        <f>('IS(FY)'!Y34)/1000</f>
        <v>13.017420435510887</v>
      </c>
      <c r="Q701" s="2297">
        <f>('IS(FY)'!Z34)/1000</f>
        <v>13.017420435510887</v>
      </c>
      <c r="R701" s="2297">
        <f>('IS(FY)'!AA34)/1000</f>
        <v>13.017420435510887</v>
      </c>
      <c r="S701" s="2297">
        <f>('IS(FY)'!AB34)/1000</f>
        <v>13.017420435510887</v>
      </c>
      <c r="T701" s="2297">
        <f>('IS(FY)'!AC34)/1000</f>
        <v>13.017420435510887</v>
      </c>
      <c r="U701" s="2297">
        <f>('IS(FY)'!AD34)/1000</f>
        <v>13.017420435510887</v>
      </c>
      <c r="V701" s="2297">
        <f>('IS(FY)'!AE34)/1000</f>
        <v>13.017420435510887</v>
      </c>
      <c r="W701" s="2297">
        <f>('IS(FY)'!AF34)/1000</f>
        <v>13.017420435510887</v>
      </c>
      <c r="X701" s="2297">
        <f>('IS(FY)'!AG34)/1000</f>
        <v>13.017420435510887</v>
      </c>
    </row>
    <row r="702" spans="2:24">
      <c r="B702" s="2295" t="s">
        <v>150</v>
      </c>
      <c r="C702" s="2296">
        <f t="shared" si="207"/>
        <v>120</v>
      </c>
      <c r="D702" s="2296">
        <f>('IS(FY)'!M33)/1000</f>
        <v>0</v>
      </c>
      <c r="E702" s="2296">
        <f>('IS(FY)'!N33)/1000</f>
        <v>6</v>
      </c>
      <c r="F702" s="2296">
        <f>('IS(FY)'!O33)/1000</f>
        <v>6</v>
      </c>
      <c r="G702" s="2296">
        <f>('IS(FY)'!P33)/1000</f>
        <v>6</v>
      </c>
      <c r="H702" s="2297">
        <f>('IS(FY)'!Q33)/1000</f>
        <v>6</v>
      </c>
      <c r="I702" s="2297">
        <f>('IS(FY)'!R33)/1000</f>
        <v>6</v>
      </c>
      <c r="J702" s="2297">
        <f>('IS(FY)'!S33)/1000</f>
        <v>6</v>
      </c>
      <c r="K702" s="2297">
        <f>('IS(FY)'!T33)/1000</f>
        <v>6</v>
      </c>
      <c r="L702" s="2297">
        <f>('IS(FY)'!U33)/1000</f>
        <v>6</v>
      </c>
      <c r="M702" s="2297">
        <f>('IS(FY)'!V33)/1000</f>
        <v>6</v>
      </c>
      <c r="N702" s="2297">
        <f>('IS(FY)'!W33)/1000</f>
        <v>6</v>
      </c>
      <c r="O702" s="2297">
        <f>('IS(FY)'!X33)/1000</f>
        <v>6</v>
      </c>
      <c r="P702" s="2297">
        <f>('IS(FY)'!Y33)/1000</f>
        <v>6</v>
      </c>
      <c r="Q702" s="2297">
        <f>('IS(FY)'!Z33)/1000</f>
        <v>6</v>
      </c>
      <c r="R702" s="2297">
        <f>('IS(FY)'!AA33)/1000</f>
        <v>6</v>
      </c>
      <c r="S702" s="2297">
        <f>('IS(FY)'!AB33)/1000</f>
        <v>6</v>
      </c>
      <c r="T702" s="2297">
        <f>('IS(FY)'!AC33)/1000</f>
        <v>6</v>
      </c>
      <c r="U702" s="2297">
        <f>('IS(FY)'!AD33)/1000</f>
        <v>6</v>
      </c>
      <c r="V702" s="2297">
        <f>('IS(FY)'!AE33)/1000</f>
        <v>6</v>
      </c>
      <c r="W702" s="2297">
        <f>('IS(FY)'!AF33)/1000</f>
        <v>6</v>
      </c>
      <c r="X702" s="2297">
        <f>('IS(FY)'!AG33)/1000</f>
        <v>6</v>
      </c>
    </row>
    <row r="703" spans="2:24">
      <c r="B703" s="2295" t="s">
        <v>533</v>
      </c>
      <c r="C703" s="2296">
        <f t="shared" si="207"/>
        <v>788.37991198112547</v>
      </c>
      <c r="D703" s="2296">
        <f>('IS(FY)'!M35)/1000</f>
        <v>0</v>
      </c>
      <c r="E703" s="2296">
        <f>('IS(FY)'!N35)/1000</f>
        <v>36</v>
      </c>
      <c r="F703" s="2296">
        <f>('IS(FY)'!O35)/1000</f>
        <v>36</v>
      </c>
      <c r="G703" s="2296">
        <f>('IS(FY)'!P35)/1000</f>
        <v>36.72</v>
      </c>
      <c r="H703" s="2297">
        <f>('IS(FY)'!Q35)/1000</f>
        <v>36.72</v>
      </c>
      <c r="I703" s="2297">
        <f>('IS(FY)'!R35)/1000</f>
        <v>37.4544</v>
      </c>
      <c r="J703" s="2297">
        <f>('IS(FY)'!S35)/1000</f>
        <v>37.4544</v>
      </c>
      <c r="K703" s="2297">
        <f>('IS(FY)'!T35)/1000</f>
        <v>38.203488</v>
      </c>
      <c r="L703" s="2297">
        <f>('IS(FY)'!U35)/1000</f>
        <v>38.203488</v>
      </c>
      <c r="M703" s="2297">
        <f>('IS(FY)'!V35)/1000</f>
        <v>38.967557760000005</v>
      </c>
      <c r="N703" s="2297">
        <f>('IS(FY)'!W35)/1000</f>
        <v>38.967557760000005</v>
      </c>
      <c r="O703" s="2297">
        <f>('IS(FY)'!X35)/1000</f>
        <v>39.746908915200002</v>
      </c>
      <c r="P703" s="2297">
        <f>('IS(FY)'!Y35)/1000</f>
        <v>39.746908915200002</v>
      </c>
      <c r="Q703" s="2297">
        <f>('IS(FY)'!Z35)/1000</f>
        <v>40.541847093504003</v>
      </c>
      <c r="R703" s="2297">
        <f>('IS(FY)'!AA35)/1000</f>
        <v>40.541847093504003</v>
      </c>
      <c r="S703" s="2297">
        <f>('IS(FY)'!AB35)/1000</f>
        <v>41.352684035374075</v>
      </c>
      <c r="T703" s="2297">
        <f>('IS(FY)'!AC35)/1000</f>
        <v>41.352684035374075</v>
      </c>
      <c r="U703" s="2297">
        <f>('IS(FY)'!AD35)/1000</f>
        <v>42.179737716081561</v>
      </c>
      <c r="V703" s="2297">
        <f>('IS(FY)'!AE35)/1000</f>
        <v>42.179737716081561</v>
      </c>
      <c r="W703" s="2297">
        <f>('IS(FY)'!AF35)/1000</f>
        <v>43.023332470403183</v>
      </c>
      <c r="X703" s="2297">
        <f>('IS(FY)'!AG35)/1000</f>
        <v>43.023332470403183</v>
      </c>
    </row>
    <row r="704" spans="2:24" ht="12.75" thickBot="1">
      <c r="B704" s="2295" t="s">
        <v>463</v>
      </c>
      <c r="C704" s="2296">
        <f t="shared" si="207"/>
        <v>262.79330399370855</v>
      </c>
      <c r="D704" s="2296">
        <f>('IS(FY)'!M19)/1000</f>
        <v>0</v>
      </c>
      <c r="E704" s="2296">
        <f>('IS(FY)'!N19)/1000</f>
        <v>12</v>
      </c>
      <c r="F704" s="2296">
        <f>('IS(FY)'!O19)/1000</f>
        <v>12</v>
      </c>
      <c r="G704" s="2296">
        <f>('IS(FY)'!P19)/1000</f>
        <v>12.24</v>
      </c>
      <c r="H704" s="2297">
        <f>('IS(FY)'!Q19)/1000</f>
        <v>12.24</v>
      </c>
      <c r="I704" s="2297">
        <f>('IS(FY)'!R19)/1000</f>
        <v>12.4848</v>
      </c>
      <c r="J704" s="2297">
        <f>('IS(FY)'!S19)/1000</f>
        <v>12.4848</v>
      </c>
      <c r="K704" s="2297">
        <f>('IS(FY)'!T19)/1000</f>
        <v>12.734495999999996</v>
      </c>
      <c r="L704" s="2297">
        <f>('IS(FY)'!U19)/1000</f>
        <v>12.734495999999996</v>
      </c>
      <c r="M704" s="2297">
        <f>('IS(FY)'!V19)/1000</f>
        <v>12.989185920000002</v>
      </c>
      <c r="N704" s="2297">
        <f>('IS(FY)'!W19)/1000</f>
        <v>12.989185920000002</v>
      </c>
      <c r="O704" s="2297">
        <f>('IS(FY)'!X19)/1000</f>
        <v>13.248969638400002</v>
      </c>
      <c r="P704" s="2297">
        <f>('IS(FY)'!Y19)/1000</f>
        <v>13.248969638400002</v>
      </c>
      <c r="Q704" s="2297">
        <f>('IS(FY)'!Z19)/1000</f>
        <v>13.513949031168002</v>
      </c>
      <c r="R704" s="2297">
        <f>('IS(FY)'!AA19)/1000</f>
        <v>13.513949031168002</v>
      </c>
      <c r="S704" s="2297">
        <f>('IS(FY)'!AB19)/1000</f>
        <v>13.784228011791358</v>
      </c>
      <c r="T704" s="2297">
        <f>('IS(FY)'!AC19)/1000</f>
        <v>13.784228011791358</v>
      </c>
      <c r="U704" s="2297">
        <f>('IS(FY)'!AD19)/1000</f>
        <v>14.059912572027187</v>
      </c>
      <c r="V704" s="2297">
        <f>('IS(FY)'!AE19)/1000</f>
        <v>14.059912572027187</v>
      </c>
      <c r="W704" s="2297">
        <f>('IS(FY)'!AF19)/1000</f>
        <v>14.34111082346773</v>
      </c>
      <c r="X704" s="2297">
        <f>('IS(FY)'!AG19)/1000</f>
        <v>14.34111082346773</v>
      </c>
    </row>
    <row r="705" spans="1:24" ht="12.75" thickBot="1">
      <c r="B705" s="2289" t="s">
        <v>538</v>
      </c>
      <c r="C705" s="2290">
        <f t="shared" ca="1" si="207"/>
        <v>115985.53477444092</v>
      </c>
      <c r="D705" s="2290">
        <f t="shared" ref="D705:X705" si="213">D691+D692-D699</f>
        <v>0</v>
      </c>
      <c r="E705" s="2290">
        <f t="shared" ca="1" si="213"/>
        <v>-676.67127626997899</v>
      </c>
      <c r="F705" s="2290">
        <f t="shared" ca="1" si="213"/>
        <v>-140.96775535747838</v>
      </c>
      <c r="G705" s="2290">
        <f t="shared" ca="1" si="213"/>
        <v>-419.41039611686574</v>
      </c>
      <c r="H705" s="2291">
        <f t="shared" ca="1" si="213"/>
        <v>-16.85325218556045</v>
      </c>
      <c r="I705" s="2291">
        <f t="shared" ca="1" si="213"/>
        <v>-10.667286679280778</v>
      </c>
      <c r="J705" s="2291">
        <f t="shared" ca="1" si="213"/>
        <v>-5045.0833716530369</v>
      </c>
      <c r="K705" s="2291">
        <f t="shared" ca="1" si="213"/>
        <v>302.55351223414362</v>
      </c>
      <c r="L705" s="2291">
        <f t="shared" ca="1" si="213"/>
        <v>573.94761618558391</v>
      </c>
      <c r="M705" s="2291">
        <f t="shared" ca="1" si="213"/>
        <v>548.46587851336767</v>
      </c>
      <c r="N705" s="2291">
        <f t="shared" ca="1" si="213"/>
        <v>777.25314144011531</v>
      </c>
      <c r="O705" s="2291">
        <f t="shared" ca="1" si="213"/>
        <v>1077.1028807303874</v>
      </c>
      <c r="P705" s="2291">
        <f t="shared" ca="1" si="213"/>
        <v>1321.1687318941476</v>
      </c>
      <c r="Q705" s="2291">
        <f t="shared" ca="1" si="213"/>
        <v>1304.157505355319</v>
      </c>
      <c r="R705" s="2291">
        <f t="shared" ca="1" si="213"/>
        <v>1557.3639371801466</v>
      </c>
      <c r="S705" s="2291">
        <f t="shared" ca="1" si="213"/>
        <v>1546.9189850728962</v>
      </c>
      <c r="T705" s="2291">
        <f t="shared" ca="1" si="213"/>
        <v>900.51840536560303</v>
      </c>
      <c r="U705" s="2291">
        <f t="shared" ca="1" si="213"/>
        <v>1598.5617119484518</v>
      </c>
      <c r="V705" s="2291">
        <f t="shared" ca="1" si="213"/>
        <v>1832.2181520488134</v>
      </c>
      <c r="W705" s="2291">
        <f t="shared" ca="1" si="213"/>
        <v>1952.8341585005446</v>
      </c>
      <c r="X705" s="2291">
        <f t="shared" ca="1" si="213"/>
        <v>107002.1234962336</v>
      </c>
    </row>
    <row r="706" spans="1:24">
      <c r="C706" s="2270">
        <f ca="1">C574</f>
        <v>-1253.9026799298877</v>
      </c>
    </row>
    <row r="707" spans="1:24">
      <c r="B707" s="2306" t="s">
        <v>567</v>
      </c>
      <c r="C707" s="2496" t="b">
        <f ca="1">ROUND(SUM(D705:H705)-C706,6)=0</f>
        <v>1</v>
      </c>
    </row>
    <row r="708" spans="1:24">
      <c r="C708" s="2270">
        <f ca="1">C705-C698-C697</f>
        <v>45263.706729123565</v>
      </c>
    </row>
    <row r="709" spans="1:24">
      <c r="D709" s="2270"/>
      <c r="E709" s="2270"/>
      <c r="F709" s="2270"/>
      <c r="G709" s="2270"/>
      <c r="H709" s="2270"/>
    </row>
    <row r="713" spans="1:24">
      <c r="A713" s="2234" t="s">
        <v>1666</v>
      </c>
    </row>
    <row r="714" spans="1:24">
      <c r="B714" s="2812" t="s">
        <v>1449</v>
      </c>
      <c r="C714" s="2814" t="s">
        <v>1460</v>
      </c>
      <c r="D714" s="2412" t="str">
        <f t="shared" ref="D714:H715" si="214">D675</f>
        <v>26.10</v>
      </c>
      <c r="E714" s="2412" t="str">
        <f t="shared" si="214"/>
        <v>27.04</v>
      </c>
      <c r="F714" s="2412" t="str">
        <f t="shared" si="214"/>
        <v>27.10</v>
      </c>
      <c r="G714" s="2412" t="str">
        <f t="shared" si="214"/>
        <v>28.04</v>
      </c>
      <c r="H714" s="2413" t="str">
        <f t="shared" si="214"/>
        <v>28.10</v>
      </c>
    </row>
    <row r="715" spans="1:24" ht="12.75" thickBot="1">
      <c r="B715" s="2813"/>
      <c r="C715" s="2815"/>
      <c r="D715" s="2285" t="str">
        <f t="shared" si="214"/>
        <v>투자일</v>
      </c>
      <c r="E715" s="2494">
        <f t="shared" si="214"/>
        <v>1</v>
      </c>
      <c r="F715" s="2494">
        <f t="shared" si="214"/>
        <v>2</v>
      </c>
      <c r="G715" s="2494">
        <f t="shared" si="214"/>
        <v>3</v>
      </c>
      <c r="H715" s="2495">
        <f t="shared" si="214"/>
        <v>4</v>
      </c>
    </row>
    <row r="716" spans="1:24" ht="12.75" thickBot="1">
      <c r="B716" s="2289" t="s">
        <v>1543</v>
      </c>
      <c r="C716" s="2304">
        <f t="shared" ref="C716:C761" ca="1" si="215">SUM(D716:H716)</f>
        <v>5776.1097777284467</v>
      </c>
      <c r="D716" s="2304">
        <f ca="1">D730+D731-D736</f>
        <v>0</v>
      </c>
      <c r="E716" s="2304">
        <f ca="1">E730+E731-E736</f>
        <v>1004.267547063354</v>
      </c>
      <c r="F716" s="2304">
        <f ca="1">F730+F731-F736</f>
        <v>1787.7296279758539</v>
      </c>
      <c r="G716" s="2304">
        <f ca="1">G730+G731-G736</f>
        <v>1161.3808704998</v>
      </c>
      <c r="H716" s="2305">
        <f ca="1">H730+H731-H736</f>
        <v>1822.7317321894388</v>
      </c>
    </row>
    <row r="717" spans="1:24" ht="12.75" thickBot="1">
      <c r="B717" s="2289" t="s">
        <v>1604</v>
      </c>
      <c r="C717" s="2304">
        <f t="shared" si="215"/>
        <v>31019.959627661992</v>
      </c>
      <c r="D717" s="2304">
        <f t="shared" ref="D717:H717" si="216">SUM(D718:D720)</f>
        <v>0</v>
      </c>
      <c r="E717" s="2304">
        <f t="shared" si="216"/>
        <v>7464.3223097152813</v>
      </c>
      <c r="F717" s="2304">
        <f t="shared" si="216"/>
        <v>7872.7779095610631</v>
      </c>
      <c r="G717" s="2304">
        <f t="shared" si="216"/>
        <v>7632.0962092718628</v>
      </c>
      <c r="H717" s="2305">
        <f t="shared" si="216"/>
        <v>8050.7631991137878</v>
      </c>
    </row>
    <row r="718" spans="1:24">
      <c r="B718" s="2292" t="s">
        <v>269</v>
      </c>
      <c r="C718" s="2293">
        <f t="shared" si="215"/>
        <v>29157.84655407703</v>
      </c>
      <c r="D718" s="2293">
        <f>('CF(FY)'!L11+'CF(FY)'!L12)/1000</f>
        <v>0</v>
      </c>
      <c r="E718" s="2293">
        <f>('CF(FY)'!M11+'CF(FY)'!M12)/1000</f>
        <v>7005.428644640625</v>
      </c>
      <c r="F718" s="2293">
        <f>('CF(FY)'!N11+'CF(FY)'!N12)/1000</f>
        <v>7409.3734719406257</v>
      </c>
      <c r="G718" s="2293">
        <f>('CF(FY)'!O11+'CF(FY)'!O12)/1000</f>
        <v>7164.5004947566404</v>
      </c>
      <c r="H718" s="2294">
        <f>('CF(FY)'!P11+'CF(FY)'!P12)/1000</f>
        <v>7578.5439427391393</v>
      </c>
    </row>
    <row r="719" spans="1:24">
      <c r="B719" s="2295" t="s">
        <v>64</v>
      </c>
      <c r="C719" s="2296">
        <f t="shared" si="215"/>
        <v>1576.2266437769649</v>
      </c>
      <c r="D719" s="2296">
        <f>('CF(FY)'!L13)/1000</f>
        <v>0</v>
      </c>
      <c r="E719" s="2296">
        <f>('CF(FY)'!M13)/1000</f>
        <v>387.42205762265621</v>
      </c>
      <c r="F719" s="2296">
        <f>('CF(FY)'!N13)/1000</f>
        <v>391.93283016843759</v>
      </c>
      <c r="G719" s="2296">
        <f>('CF(FY)'!O13)/1000</f>
        <v>396.12410706322254</v>
      </c>
      <c r="H719" s="2297">
        <f>('CF(FY)'!P13)/1000</f>
        <v>400.74764892264841</v>
      </c>
    </row>
    <row r="720" spans="1:24" ht="12.75" thickBot="1">
      <c r="B720" s="2295" t="s">
        <v>1674</v>
      </c>
      <c r="C720" s="2296">
        <f t="shared" ref="C720" si="217">SUM(D720:H720)</f>
        <v>285.886429808</v>
      </c>
      <c r="D720" s="2296">
        <f>('CF(FY)'!L14)/1000</f>
        <v>0</v>
      </c>
      <c r="E720" s="2296">
        <f>('CF(FY)'!M14)/1000</f>
        <v>71.471607452000001</v>
      </c>
      <c r="F720" s="2296">
        <f>('CF(FY)'!N14)/1000</f>
        <v>71.471607452000001</v>
      </c>
      <c r="G720" s="2296">
        <f>('CF(FY)'!O14)/1000</f>
        <v>71.471607452000001</v>
      </c>
      <c r="H720" s="2297">
        <f>('CF(FY)'!P14)/1000</f>
        <v>71.471607452000001</v>
      </c>
    </row>
    <row r="721" spans="2:8" ht="12.75" thickBot="1">
      <c r="B721" s="2289" t="s">
        <v>1605</v>
      </c>
      <c r="C721" s="2304">
        <f t="shared" ca="1" si="215"/>
        <v>4258.1698023924191</v>
      </c>
      <c r="D721" s="2304">
        <f ca="1">SUM(D722:D729)</f>
        <v>0</v>
      </c>
      <c r="E721" s="2304">
        <f ca="1">SUM(E722:E729)</f>
        <v>1149.2089804315667</v>
      </c>
      <c r="F721" s="2304">
        <f ca="1">SUM(F722:F729)</f>
        <v>890.5770504315667</v>
      </c>
      <c r="G721" s="2304">
        <f ca="1">SUM(G722:G729)</f>
        <v>1238.5887446438096</v>
      </c>
      <c r="H721" s="2305">
        <f ca="1">SUM(H722:H729)</f>
        <v>979.79502688547586</v>
      </c>
    </row>
    <row r="722" spans="2:8">
      <c r="B722" s="2295" t="s">
        <v>73</v>
      </c>
      <c r="C722" s="2296">
        <f t="shared" si="215"/>
        <v>120.89999999999998</v>
      </c>
      <c r="D722" s="2296">
        <f>-('CF(FY)'!L18)/1000</f>
        <v>0</v>
      </c>
      <c r="E722" s="2296">
        <f>-('CF(FY)'!M18)/1000</f>
        <v>30</v>
      </c>
      <c r="F722" s="2296">
        <f>-('CF(FY)'!N18)/1000</f>
        <v>30</v>
      </c>
      <c r="G722" s="2296">
        <f>-('CF(FY)'!O18)/1000</f>
        <v>30.449999999999996</v>
      </c>
      <c r="H722" s="2297">
        <f>-('CF(FY)'!P18)/1000</f>
        <v>30.449999999999996</v>
      </c>
    </row>
    <row r="723" spans="2:8">
      <c r="B723" s="2295" t="s">
        <v>75</v>
      </c>
      <c r="C723" s="2296">
        <f t="shared" si="215"/>
        <v>1286.7414867292919</v>
      </c>
      <c r="D723" s="2296">
        <f>-('CF(FY)'!L19)/1000</f>
        <v>0</v>
      </c>
      <c r="E723" s="2296">
        <f>-('CF(FY)'!M19)/1000</f>
        <v>318.50036800229998</v>
      </c>
      <c r="F723" s="2296">
        <f>-('CF(FY)'!N19)/1000</f>
        <v>318.50036800229998</v>
      </c>
      <c r="G723" s="2296">
        <f>-('CF(FY)'!O19)/1000</f>
        <v>324.87037536234595</v>
      </c>
      <c r="H723" s="2297">
        <f>-('CF(FY)'!P19)/1000</f>
        <v>324.87037536234595</v>
      </c>
    </row>
    <row r="724" spans="2:8" hidden="1">
      <c r="B724" s="2295" t="s">
        <v>80</v>
      </c>
      <c r="C724" s="2296">
        <f t="shared" si="215"/>
        <v>0</v>
      </c>
      <c r="D724" s="2296">
        <f>-('CF(FY)'!L21)/1000</f>
        <v>0</v>
      </c>
      <c r="E724" s="2296">
        <f>-('CF(FY)'!M21)/1000</f>
        <v>0</v>
      </c>
      <c r="F724" s="2296">
        <f>-('CF(FY)'!N21)/1000</f>
        <v>0</v>
      </c>
      <c r="G724" s="2296">
        <f>-('CF(FY)'!O21)/1000</f>
        <v>0</v>
      </c>
      <c r="H724" s="2297">
        <f>-('CF(FY)'!P21)/1000</f>
        <v>0</v>
      </c>
    </row>
    <row r="725" spans="2:8">
      <c r="B725" s="2295" t="s">
        <v>83</v>
      </c>
      <c r="C725" s="2296">
        <f t="shared" ca="1" si="215"/>
        <v>1469.7237060000002</v>
      </c>
      <c r="D725" s="2296">
        <f ca="1">-('CF(FY)'!L22)/1000</f>
        <v>0</v>
      </c>
      <c r="E725" s="2296">
        <f ca="1">-('CF(FY)'!M22)/1000</f>
        <v>742.28470000000004</v>
      </c>
      <c r="F725" s="2296">
        <f ca="1">-('CF(FY)'!N22)/1000</f>
        <v>0</v>
      </c>
      <c r="G725" s="2296">
        <f ca="1">-('CF(FY)'!O22)/1000</f>
        <v>727.43900600000018</v>
      </c>
      <c r="H725" s="2297">
        <f ca="1">-('CF(FY)'!P22)/1000</f>
        <v>0</v>
      </c>
    </row>
    <row r="726" spans="2:8">
      <c r="B726" s="2295" t="s">
        <v>78</v>
      </c>
      <c r="C726" s="2296">
        <f t="shared" si="215"/>
        <v>63.006928077059989</v>
      </c>
      <c r="D726" s="2296">
        <f>-('CF(FY)'!L20)/1000</f>
        <v>0</v>
      </c>
      <c r="E726" s="2296">
        <f>-('CF(FY)'!M20)/1000</f>
        <v>15.595774276499998</v>
      </c>
      <c r="F726" s="2296">
        <f>-('CF(FY)'!N20)/1000</f>
        <v>15.595774276499998</v>
      </c>
      <c r="G726" s="2296">
        <f>-('CF(FY)'!O20)/1000</f>
        <v>15.907689762029998</v>
      </c>
      <c r="H726" s="2297">
        <f>-('CF(FY)'!P20)/1000</f>
        <v>15.907689762029998</v>
      </c>
    </row>
    <row r="727" spans="2:8">
      <c r="B727" s="2295" t="s">
        <v>1540</v>
      </c>
      <c r="C727" s="2296">
        <f t="shared" si="215"/>
        <v>41.789665944400006</v>
      </c>
      <c r="D727" s="2296">
        <f>-('CF(FY)'!L27)/1000</f>
        <v>0</v>
      </c>
      <c r="E727" s="2296">
        <f>-('CF(FY)'!M27)/1000</f>
        <v>10.447416486100002</v>
      </c>
      <c r="F727" s="2296">
        <f>-('CF(FY)'!N27)/1000</f>
        <v>10.447416486100002</v>
      </c>
      <c r="G727" s="2296">
        <f>-('CF(FY)'!O27)/1000</f>
        <v>10.447416486100002</v>
      </c>
      <c r="H727" s="2297">
        <f>-('CF(FY)'!P27)/1000</f>
        <v>10.447416486100002</v>
      </c>
    </row>
    <row r="728" spans="2:8">
      <c r="B728" s="2295" t="s">
        <v>1544</v>
      </c>
      <c r="C728" s="2296">
        <f t="shared" si="215"/>
        <v>1265.1346456416666</v>
      </c>
      <c r="D728" s="2296">
        <f>-('CF(FY)'!L23+'CF(FY)'!L24+'CF(FY)'!L25+'CF(FY)'!L26)/1000</f>
        <v>0</v>
      </c>
      <c r="E728" s="2296">
        <f>-('CF(FY)'!M23+'CF(FY)'!M24+'CF(FY)'!M25+'CF(FY)'!M26)/1000</f>
        <v>21.507351666666665</v>
      </c>
      <c r="F728" s="2296">
        <f>-('CF(FY)'!N23+'CF(FY)'!N24+'CF(FY)'!N25+'CF(FY)'!N26)/1000</f>
        <v>516.03349166666669</v>
      </c>
      <c r="G728" s="2296">
        <f>-('CF(FY)'!O23+'CF(FY)'!O24+'CF(FY)'!O25+'CF(FY)'!O26)/1000</f>
        <v>129.47425703333332</v>
      </c>
      <c r="H728" s="2297">
        <f>-('CF(FY)'!P23+'CF(FY)'!P24+'CF(FY)'!P25+'CF(FY)'!P26)/1000</f>
        <v>598.11954527499995</v>
      </c>
    </row>
    <row r="729" spans="2:8" ht="12.75" thickBot="1">
      <c r="B729" s="2295" t="s">
        <v>468</v>
      </c>
      <c r="C729" s="2296">
        <f t="shared" si="215"/>
        <v>10.87337</v>
      </c>
      <c r="D729" s="2296">
        <f>-('CF(FY)'!L28)/1000</f>
        <v>0</v>
      </c>
      <c r="E729" s="2296">
        <f>-('CF(FY)'!M28)/1000</f>
        <v>10.87337</v>
      </c>
      <c r="F729" s="2296">
        <f>-('CF(FY)'!N28)/1000</f>
        <v>0</v>
      </c>
      <c r="G729" s="2296">
        <f>-('CF(FY)'!O28)/1000</f>
        <v>0</v>
      </c>
      <c r="H729" s="2297">
        <f>-('CF(FY)'!P28)/1000</f>
        <v>0</v>
      </c>
    </row>
    <row r="730" spans="2:8" ht="12.75" thickBot="1">
      <c r="B730" s="2289" t="s">
        <v>1606</v>
      </c>
      <c r="C730" s="2304">
        <f t="shared" ca="1" si="215"/>
        <v>26761.789825269578</v>
      </c>
      <c r="D730" s="2304">
        <f ca="1">D717-D721</f>
        <v>0</v>
      </c>
      <c r="E730" s="2304">
        <f ca="1">E717-E721</f>
        <v>6315.1133292837148</v>
      </c>
      <c r="F730" s="2304">
        <f ca="1">F717-F721</f>
        <v>6982.2008591294962</v>
      </c>
      <c r="G730" s="2304">
        <f ca="1">G717-G721</f>
        <v>6393.5074646280536</v>
      </c>
      <c r="H730" s="2305">
        <f ca="1">H717-H721</f>
        <v>7070.9681722283121</v>
      </c>
    </row>
    <row r="731" spans="2:8" ht="12.75" thickBot="1">
      <c r="B731" s="2289" t="s">
        <v>513</v>
      </c>
      <c r="C731" s="2304">
        <f t="shared" ca="1" si="215"/>
        <v>-19382.596365799087</v>
      </c>
      <c r="D731" s="2304">
        <f>SUM(D732:D735)</f>
        <v>0</v>
      </c>
      <c r="E731" s="2304">
        <f ca="1">SUM(E732:E735)</f>
        <v>-4910.5548617848499</v>
      </c>
      <c r="F731" s="2304">
        <f ca="1">SUM(F732:F735)</f>
        <v>-4794.1803107181313</v>
      </c>
      <c r="G731" s="2304">
        <f ca="1">SUM(G732:G735)</f>
        <v>-4830.8756736927426</v>
      </c>
      <c r="H731" s="2305">
        <f ca="1">SUM(H732:H735)</f>
        <v>-4846.9855196033623</v>
      </c>
    </row>
    <row r="732" spans="2:8">
      <c r="B732" s="2292" t="s">
        <v>239</v>
      </c>
      <c r="C732" s="2293">
        <f t="shared" ca="1" si="215"/>
        <v>602.04116754439929</v>
      </c>
      <c r="D732" s="2293">
        <f>('CF(FY)'!L15)/1000</f>
        <v>0</v>
      </c>
      <c r="E732" s="2293">
        <f ca="1">('CF(FY)'!M15)/1000</f>
        <v>194.08267155863479</v>
      </c>
      <c r="F732" s="2293">
        <f ca="1">('CF(FY)'!N15)/1000</f>
        <v>165.81968928186845</v>
      </c>
      <c r="G732" s="2293">
        <f ca="1">('CF(FY)'!O15)/1000</f>
        <v>129.12432630725766</v>
      </c>
      <c r="H732" s="2294">
        <f ca="1">('CF(FY)'!P15)/1000</f>
        <v>113.0144803966384</v>
      </c>
    </row>
    <row r="733" spans="2:8">
      <c r="B733" s="2295" t="s">
        <v>1607</v>
      </c>
      <c r="C733" s="2296">
        <f t="shared" si="215"/>
        <v>-15280</v>
      </c>
      <c r="D733" s="2296">
        <f>('CF(FY)'!L36+'CF(FY)'!L37+'CF(FY)'!L38)/1000</f>
        <v>0</v>
      </c>
      <c r="E733" s="2296">
        <f>('CF(FY)'!M36+'CF(FY)'!M37+'CF(FY)'!M38)/1000</f>
        <v>-3820</v>
      </c>
      <c r="F733" s="2296">
        <f>('CF(FY)'!N36+'CF(FY)'!N37+'CF(FY)'!N38)/1000</f>
        <v>-3820</v>
      </c>
      <c r="G733" s="2296">
        <f>('CF(FY)'!O36+'CF(FY)'!O37+'CF(FY)'!O38)/1000</f>
        <v>-3820</v>
      </c>
      <c r="H733" s="2297">
        <f>('CF(FY)'!P36+'CF(FY)'!P37+'CF(FY)'!P38)/1000</f>
        <v>-3820</v>
      </c>
    </row>
    <row r="734" spans="2:8">
      <c r="B734" s="2295" t="s">
        <v>1541</v>
      </c>
      <c r="C734" s="2296">
        <f t="shared" si="215"/>
        <v>-4560</v>
      </c>
      <c r="D734" s="2296">
        <f>('CF(FY)'!L39+'CF(FY)'!L40+'CF(FY)'!L41)/1000</f>
        <v>0</v>
      </c>
      <c r="E734" s="2296">
        <f>('CF(FY)'!M39+'CF(FY)'!M40+'CF(FY)'!M41)/1000</f>
        <v>-1140</v>
      </c>
      <c r="F734" s="2296">
        <f>('CF(FY)'!N39+'CF(FY)'!N40+'CF(FY)'!N41)/1000</f>
        <v>-1140</v>
      </c>
      <c r="G734" s="2296">
        <f>('CF(FY)'!O39+'CF(FY)'!O40+'CF(FY)'!O41)/1000</f>
        <v>-1140</v>
      </c>
      <c r="H734" s="2297">
        <f>('CF(FY)'!P39+'CF(FY)'!P40+'CF(FY)'!P41)/1000</f>
        <v>-1140</v>
      </c>
    </row>
    <row r="735" spans="2:8" ht="12.75" thickBot="1">
      <c r="B735" s="2295" t="s">
        <v>1608</v>
      </c>
      <c r="C735" s="2296">
        <f t="shared" si="215"/>
        <v>-144.63753334348496</v>
      </c>
      <c r="D735" s="2296">
        <f>('CF(FY)'!L42)/1000</f>
        <v>0</v>
      </c>
      <c r="E735" s="2296">
        <f>('CF(FY)'!M42)/1000</f>
        <v>-144.63753334348496</v>
      </c>
      <c r="F735" s="2296">
        <f>('CF(FY)'!N42)/1000</f>
        <v>0</v>
      </c>
      <c r="G735" s="2296">
        <f>('CF(FY)'!O42)/1000</f>
        <v>0</v>
      </c>
      <c r="H735" s="2297">
        <f>('CF(FY)'!P42)/1000</f>
        <v>0</v>
      </c>
    </row>
    <row r="736" spans="2:8" ht="12.75" thickBot="1">
      <c r="B736" s="2289" t="s">
        <v>1545</v>
      </c>
      <c r="C736" s="2304">
        <f t="shared" si="215"/>
        <v>1603.0836817420436</v>
      </c>
      <c r="D736" s="2304">
        <f>SUM(D737:D741)</f>
        <v>0</v>
      </c>
      <c r="E736" s="2304">
        <f>SUM(E737:E741)</f>
        <v>400.29092043551094</v>
      </c>
      <c r="F736" s="2304">
        <f>SUM(F737:F741)</f>
        <v>400.29092043551094</v>
      </c>
      <c r="G736" s="2304">
        <f>SUM(G737:G741)</f>
        <v>401.25092043551092</v>
      </c>
      <c r="H736" s="2305">
        <f>SUM(H737:H741)</f>
        <v>401.25092043551092</v>
      </c>
    </row>
    <row r="737" spans="2:8">
      <c r="B737" s="2292" t="s">
        <v>190</v>
      </c>
      <c r="C737" s="2293">
        <f t="shared" si="215"/>
        <v>1333.0940000000003</v>
      </c>
      <c r="D737" s="2293">
        <f>-('CF(FY)'!L31)/1000</f>
        <v>0</v>
      </c>
      <c r="E737" s="2293">
        <f>-('CF(FY)'!M31)/1000</f>
        <v>333.27350000000007</v>
      </c>
      <c r="F737" s="2293">
        <f>-('CF(FY)'!N31)/1000</f>
        <v>333.27350000000007</v>
      </c>
      <c r="G737" s="2293">
        <f>-('CF(FY)'!O31)/1000</f>
        <v>333.27350000000007</v>
      </c>
      <c r="H737" s="2294">
        <f>-('CF(FY)'!P31)/1000</f>
        <v>333.27350000000007</v>
      </c>
    </row>
    <row r="738" spans="2:8">
      <c r="B738" s="2295" t="s">
        <v>152</v>
      </c>
      <c r="C738" s="2296">
        <f t="shared" si="215"/>
        <v>52.069681742043549</v>
      </c>
      <c r="D738" s="2296">
        <f>-('CF(FY)'!L33)/1000</f>
        <v>0</v>
      </c>
      <c r="E738" s="2296">
        <f>-('CF(FY)'!M33)/1000</f>
        <v>13.017420435510887</v>
      </c>
      <c r="F738" s="2296">
        <f>-('CF(FY)'!N33)/1000</f>
        <v>13.017420435510887</v>
      </c>
      <c r="G738" s="2296">
        <f>-('CF(FY)'!O33)/1000</f>
        <v>13.017420435510887</v>
      </c>
      <c r="H738" s="2297">
        <f>-('CF(FY)'!P33)/1000</f>
        <v>13.017420435510887</v>
      </c>
    </row>
    <row r="739" spans="2:8">
      <c r="B739" s="2295" t="s">
        <v>150</v>
      </c>
      <c r="C739" s="2296">
        <f t="shared" si="215"/>
        <v>24</v>
      </c>
      <c r="D739" s="2296">
        <f>-('CF(FY)'!L32)/1000</f>
        <v>0</v>
      </c>
      <c r="E739" s="2296">
        <f>-('CF(FY)'!M32)/1000</f>
        <v>6</v>
      </c>
      <c r="F739" s="2296">
        <f>-('CF(FY)'!N32)/1000</f>
        <v>6</v>
      </c>
      <c r="G739" s="2296">
        <f>-('CF(FY)'!O32)/1000</f>
        <v>6</v>
      </c>
      <c r="H739" s="2297">
        <f>-('CF(FY)'!P32)/1000</f>
        <v>6</v>
      </c>
    </row>
    <row r="740" spans="2:8">
      <c r="B740" s="2295" t="s">
        <v>533</v>
      </c>
      <c r="C740" s="2296">
        <f t="shared" si="215"/>
        <v>145.44</v>
      </c>
      <c r="D740" s="2296">
        <f>-('CF(FY)'!L34)/1000</f>
        <v>0</v>
      </c>
      <c r="E740" s="2296">
        <f>-('CF(FY)'!M34)/1000</f>
        <v>36</v>
      </c>
      <c r="F740" s="2296">
        <f>-('CF(FY)'!N34)/1000</f>
        <v>36</v>
      </c>
      <c r="G740" s="2296">
        <f>-('CF(FY)'!O34)/1000</f>
        <v>36.72</v>
      </c>
      <c r="H740" s="2297">
        <f>-('CF(FY)'!P34)/1000</f>
        <v>36.72</v>
      </c>
    </row>
    <row r="741" spans="2:8" ht="12.75" thickBot="1">
      <c r="B741" s="2295" t="s">
        <v>463</v>
      </c>
      <c r="C741" s="2296">
        <f t="shared" si="215"/>
        <v>48.480000000000004</v>
      </c>
      <c r="D741" s="2296">
        <f>-('CF(FY)'!L30)/1000</f>
        <v>0</v>
      </c>
      <c r="E741" s="2296">
        <f>-('CF(FY)'!M30)/1000</f>
        <v>12</v>
      </c>
      <c r="F741" s="2296">
        <f>-('CF(FY)'!N30)/1000</f>
        <v>12</v>
      </c>
      <c r="G741" s="2296">
        <f>-('CF(FY)'!O30)/1000</f>
        <v>12.24</v>
      </c>
      <c r="H741" s="2297">
        <f>-('CF(FY)'!P30)/1000</f>
        <v>12.24</v>
      </c>
    </row>
    <row r="742" spans="2:8" ht="12.75" thickBot="1">
      <c r="B742" s="2289" t="s">
        <v>1546</v>
      </c>
      <c r="C742" s="2304">
        <f t="shared" si="215"/>
        <v>-288956.19792442792</v>
      </c>
      <c r="D742" s="2304">
        <f>SUM(D743:D746)</f>
        <v>-301756.66963053192</v>
      </c>
      <c r="E742" s="2304">
        <f>SUM(E743:E746)</f>
        <v>12800.493159896285</v>
      </c>
      <c r="F742" s="2304">
        <f>SUM(F743:F746)</f>
        <v>0</v>
      </c>
      <c r="G742" s="2304">
        <f>SUM(G743:G746)</f>
        <v>-2.145379227893136E-2</v>
      </c>
      <c r="H742" s="2305">
        <f>SUM(H743:H746)</f>
        <v>-1.1641532182693482E-13</v>
      </c>
    </row>
    <row r="743" spans="2:8">
      <c r="B743" s="2295" t="s">
        <v>1508</v>
      </c>
      <c r="C743" s="2296">
        <f t="shared" si="215"/>
        <v>-270000</v>
      </c>
      <c r="D743" s="2296">
        <f>('CF(FY)'!L56)/1000</f>
        <v>-270000</v>
      </c>
      <c r="E743" s="2296">
        <f>('CF(FY)'!M56)/1000</f>
        <v>0</v>
      </c>
      <c r="F743" s="2296">
        <f>('CF(FY)'!N56)/1000</f>
        <v>0</v>
      </c>
      <c r="G743" s="2296">
        <f>('CF(FY)'!O56)/1000</f>
        <v>0</v>
      </c>
      <c r="H743" s="2297">
        <f>('CF(FY)'!P56)/1000</f>
        <v>0</v>
      </c>
    </row>
    <row r="744" spans="2:8">
      <c r="B744" s="2295" t="s">
        <v>1610</v>
      </c>
      <c r="C744" s="2296">
        <f t="shared" si="215"/>
        <v>-18899.999999999956</v>
      </c>
      <c r="D744" s="2296">
        <f>('CF(FY)'!L57+'CF(FY)'!L58+'CF(FY)'!L59+'CF(FY)'!L60+'CF(FY)'!L61)/1000</f>
        <v>-18899.999999999956</v>
      </c>
      <c r="E744" s="2296">
        <f>('CF(FY)'!M57+'CF(FY)'!M58+'CF(FY)'!M59+'CF(FY)'!M60+'CF(FY)'!M61)/1000</f>
        <v>0</v>
      </c>
      <c r="F744" s="2296">
        <f>('CF(FY)'!N57+'CF(FY)'!N58+'CF(FY)'!N59+'CF(FY)'!N60+'CF(FY)'!N61)/1000</f>
        <v>0</v>
      </c>
      <c r="G744" s="2296">
        <f>('CF(FY)'!O57+'CF(FY)'!O58+'CF(FY)'!O59+'CF(FY)'!O60+'CF(FY)'!O61)/1000</f>
        <v>0</v>
      </c>
      <c r="H744" s="2297">
        <f>('CF(FY)'!P57+'CF(FY)'!P58+'CF(FY)'!P59+'CF(FY)'!P60+'CF(FY)'!P61)/1000</f>
        <v>0</v>
      </c>
    </row>
    <row r="745" spans="2:8" hidden="1">
      <c r="B745" s="2295" t="s">
        <v>1611</v>
      </c>
      <c r="C745" s="2296">
        <f t="shared" si="215"/>
        <v>0</v>
      </c>
      <c r="D745" s="2296">
        <f>('CF(FY)'!L51+'CF(FY)'!L52+'CF(FY)'!L53+'CF(FY)'!L54)/1000</f>
        <v>0</v>
      </c>
      <c r="E745" s="2296">
        <f>('CF(FY)'!M51+'CF(FY)'!M52+'CF(FY)'!M53+'CF(FY)'!M54)/1000</f>
        <v>0</v>
      </c>
      <c r="F745" s="2296">
        <f>('CF(FY)'!N51+'CF(FY)'!N52+'CF(FY)'!N53+'CF(FY)'!N54)/1000</f>
        <v>0</v>
      </c>
      <c r="G745" s="2296">
        <f>('CF(FY)'!O51+'CF(FY)'!O52+'CF(FY)'!O53+'CF(FY)'!O54)/1000</f>
        <v>0</v>
      </c>
      <c r="H745" s="2297">
        <f>('CF(FY)'!P51+'CF(FY)'!P52+'CF(FY)'!P53+'CF(FY)'!P54)/1000</f>
        <v>0</v>
      </c>
    </row>
    <row r="746" spans="2:8" ht="12.75" thickBot="1">
      <c r="B746" s="2295" t="s">
        <v>1609</v>
      </c>
      <c r="C746" s="2296">
        <f t="shared" si="215"/>
        <v>-56.197924427992533</v>
      </c>
      <c r="D746" s="2296">
        <f>('CF(FY)'!L45+'CF(FY)'!L46+'CF(FY)'!L47+'CF(FY)'!L48)/1000</f>
        <v>-12856.669630531998</v>
      </c>
      <c r="E746" s="2296">
        <f>('CF(FY)'!M45+'CF(FY)'!M46+'CF(FY)'!M47+'CF(FY)'!M48)/1000</f>
        <v>12800.493159896285</v>
      </c>
      <c r="F746" s="2296">
        <f>('CF(FY)'!N45+'CF(FY)'!N46+'CF(FY)'!N47+'CF(FY)'!N48)/1000</f>
        <v>0</v>
      </c>
      <c r="G746" s="2296">
        <f>('CF(FY)'!O45+'CF(FY)'!O46+'CF(FY)'!O47+'CF(FY)'!O48)/1000</f>
        <v>-2.145379227893136E-2</v>
      </c>
      <c r="H746" s="2297">
        <f>('CF(FY)'!P45+'CF(FY)'!P46+'CF(FY)'!P47+'CF(FY)'!P48)/1000</f>
        <v>-1.1641532182693482E-13</v>
      </c>
    </row>
    <row r="747" spans="2:8" ht="12.75" thickBot="1">
      <c r="B747" s="2289" t="s">
        <v>1547</v>
      </c>
      <c r="C747" s="2304">
        <f t="shared" ca="1" si="215"/>
        <v>291930.00000000006</v>
      </c>
      <c r="D747" s="2304">
        <f ca="1">SUM(D748:D761)</f>
        <v>311756.66963053204</v>
      </c>
      <c r="E747" s="2304">
        <f ca="1">SUM(E748:E761)</f>
        <v>-16126.669630531998</v>
      </c>
      <c r="F747" s="2304">
        <f ca="1">SUM(F748:F761)</f>
        <v>-3270</v>
      </c>
      <c r="G747" s="2304">
        <f ca="1">SUM(G748:G761)</f>
        <v>-2715</v>
      </c>
      <c r="H747" s="2305">
        <f ca="1">SUM(H748:H761)</f>
        <v>2285</v>
      </c>
    </row>
    <row r="748" spans="2:8">
      <c r="B748" s="2292" t="s">
        <v>1593</v>
      </c>
      <c r="C748" s="2293">
        <f t="shared" si="215"/>
        <v>0</v>
      </c>
      <c r="D748" s="2293">
        <f>('CF(FY)'!L88+'CF(FY)'!L89)/1000</f>
        <v>12856.669630531998</v>
      </c>
      <c r="E748" s="2293">
        <f>('CF(FY)'!M88+'CF(FY)'!M89)/1000</f>
        <v>-12856.669630531998</v>
      </c>
      <c r="F748" s="2293">
        <f>('CF(FY)'!N88+'CF(FY)'!N89)/1000</f>
        <v>0</v>
      </c>
      <c r="G748" s="2293">
        <f>('CF(FY)'!O88+'CF(FY)'!O89)/1000</f>
        <v>0</v>
      </c>
      <c r="H748" s="2294">
        <f>('CF(FY)'!P88+'CF(FY)'!P89)/1000</f>
        <v>0</v>
      </c>
    </row>
    <row r="749" spans="2:8">
      <c r="B749" s="2295" t="s">
        <v>205</v>
      </c>
      <c r="C749" s="2296">
        <f t="shared" si="215"/>
        <v>2100</v>
      </c>
      <c r="D749" s="2296">
        <f>('CF(FY)'!L64+'CF(FY)'!L65)/1000</f>
        <v>2100</v>
      </c>
      <c r="E749" s="2296">
        <f>('CF(FY)'!M64+'CF(FY)'!M65)/1000</f>
        <v>0</v>
      </c>
      <c r="F749" s="2296">
        <f>('CF(FY)'!N64+'CF(FY)'!N65)/1000</f>
        <v>0</v>
      </c>
      <c r="G749" s="2296">
        <f>('CF(FY)'!O64+'CF(FY)'!O65)/1000</f>
        <v>0</v>
      </c>
      <c r="H749" s="2297">
        <f>('CF(FY)'!P64+'CF(FY)'!P65)/1000</f>
        <v>0</v>
      </c>
    </row>
    <row r="750" spans="2:8">
      <c r="B750" s="2295" t="s">
        <v>1562</v>
      </c>
      <c r="C750" s="2296">
        <f t="shared" si="215"/>
        <v>213000</v>
      </c>
      <c r="D750" s="2296">
        <f>('CF(FY)'!L67+'CF(FY)'!L68+'CF(FY)'!L70+'CF(FY)'!L71+'CF(FY)'!L73+'CF(FY)'!L74)/1000</f>
        <v>160000</v>
      </c>
      <c r="E750" s="2296">
        <f>('CF(FY)'!M67+'CF(FY)'!M68+'CF(FY)'!M70+'CF(FY)'!M71+'CF(FY)'!M73+'CF(FY)'!M74)/1000</f>
        <v>0</v>
      </c>
      <c r="F750" s="2296">
        <f>('CF(FY)'!N67+'CF(FY)'!N68+'CF(FY)'!N70+'CF(FY)'!N71+'CF(FY)'!N73+'CF(FY)'!N74)/1000</f>
        <v>0</v>
      </c>
      <c r="G750" s="2296">
        <f>('CF(FY)'!O67+'CF(FY)'!O68+'CF(FY)'!O70+'CF(FY)'!O71+'CF(FY)'!O73+'CF(FY)'!O74)/1000</f>
        <v>0</v>
      </c>
      <c r="H750" s="2297">
        <f>('CF(FY)'!P67+'CF(FY)'!P68+'CF(FY)'!P70+'CF(FY)'!P71+'CF(FY)'!P73+'CF(FY)'!P74)/1000</f>
        <v>53000</v>
      </c>
    </row>
    <row r="751" spans="2:8">
      <c r="B751" s="2295" t="s">
        <v>1564</v>
      </c>
      <c r="C751" s="2296">
        <f t="shared" si="215"/>
        <v>0</v>
      </c>
      <c r="D751" s="2296">
        <f>('CF(FY)'!L76+'CF(FY)'!L77+'CF(FY)'!L79+'CF(FY)'!L80+'CF(FY)'!L82+'CF(FY)'!L83)/1000</f>
        <v>38000</v>
      </c>
      <c r="E751" s="2296">
        <f>('CF(FY)'!M76+'CF(FY)'!M77+'CF(FY)'!M79+'CF(FY)'!M80+'CF(FY)'!M82+'CF(FY)'!M83)/1000</f>
        <v>0</v>
      </c>
      <c r="F751" s="2296">
        <f>('CF(FY)'!N76+'CF(FY)'!N77+'CF(FY)'!N79+'CF(FY)'!N80+'CF(FY)'!N82+'CF(FY)'!N83)/1000</f>
        <v>0</v>
      </c>
      <c r="G751" s="2296">
        <f>('CF(FY)'!O76+'CF(FY)'!O77+'CF(FY)'!O79+'CF(FY)'!O80+'CF(FY)'!O82+'CF(FY)'!O83)/1000</f>
        <v>0</v>
      </c>
      <c r="H751" s="2297">
        <f>('CF(FY)'!P76+'CF(FY)'!P77+'CF(FY)'!P79+'CF(FY)'!P80+'CF(FY)'!P82+'CF(FY)'!P83)/1000</f>
        <v>-38000</v>
      </c>
    </row>
    <row r="752" spans="2:8">
      <c r="B752" s="2295" t="s">
        <v>1565</v>
      </c>
      <c r="C752" s="2296">
        <f t="shared" si="215"/>
        <v>24000</v>
      </c>
      <c r="D752" s="2296">
        <f>('CF(FY)'!L91)/1000</f>
        <v>24000</v>
      </c>
      <c r="E752" s="2296">
        <f>('CF(FY)'!M91)/1000</f>
        <v>0</v>
      </c>
      <c r="F752" s="2296">
        <f>('CF(FY)'!N91)/1000</f>
        <v>0</v>
      </c>
      <c r="G752" s="2296">
        <f>('CF(FY)'!O91)/1000</f>
        <v>0</v>
      </c>
      <c r="H752" s="2297">
        <f>('CF(FY)'!P91)/1000</f>
        <v>0</v>
      </c>
    </row>
    <row r="753" spans="1:8">
      <c r="B753" s="2295" t="s">
        <v>1566</v>
      </c>
      <c r="C753" s="2296">
        <f t="shared" si="215"/>
        <v>50000</v>
      </c>
      <c r="D753" s="2296">
        <f>('CF(FY)'!L96)/1000</f>
        <v>50000</v>
      </c>
      <c r="E753" s="2296">
        <f>('CF(FY)'!M96)/1000</f>
        <v>0</v>
      </c>
      <c r="F753" s="2296">
        <f>('CF(FY)'!N96)/1000</f>
        <v>0</v>
      </c>
      <c r="G753" s="2296">
        <f>('CF(FY)'!O96)/1000</f>
        <v>0</v>
      </c>
      <c r="H753" s="2297">
        <f>('CF(FY)'!P96)/1000</f>
        <v>0</v>
      </c>
    </row>
    <row r="754" spans="1:8">
      <c r="B754" s="2295" t="s">
        <v>1567</v>
      </c>
      <c r="C754" s="2296">
        <f t="shared" si="215"/>
        <v>0</v>
      </c>
      <c r="D754" s="2296">
        <f>('CF(FY)'!L101+'CF(FY)'!L102+'CF(FY)'!L103+'CF(FY)'!L104)/1000</f>
        <v>10000</v>
      </c>
      <c r="E754" s="2296">
        <f>('CF(FY)'!M101+'CF(FY)'!M102+'CF(FY)'!M103+'CF(FY)'!M104)/1000</f>
        <v>0</v>
      </c>
      <c r="F754" s="2296">
        <f>('CF(FY)'!N101+'CF(FY)'!N102+'CF(FY)'!N103+'CF(FY)'!N104)/1000</f>
        <v>0</v>
      </c>
      <c r="G754" s="2296">
        <f>('CF(FY)'!O101+'CF(FY)'!O102+'CF(FY)'!O103+'CF(FY)'!O104)/1000</f>
        <v>0</v>
      </c>
      <c r="H754" s="2297">
        <f>('CF(FY)'!P101+'CF(FY)'!P102+'CF(FY)'!P103+'CF(FY)'!P104)/1000</f>
        <v>-10000</v>
      </c>
    </row>
    <row r="755" spans="1:8">
      <c r="B755" s="2295" t="s">
        <v>19</v>
      </c>
      <c r="C755" s="2296">
        <f t="shared" si="215"/>
        <v>14800</v>
      </c>
      <c r="D755" s="2296">
        <f>('CF(FY)'!L106)/1000</f>
        <v>14800</v>
      </c>
      <c r="E755" s="2296">
        <f>('CF(FY)'!M106)/1000</f>
        <v>0</v>
      </c>
      <c r="F755" s="2296">
        <f>('CF(FY)'!N106)/1000</f>
        <v>0</v>
      </c>
      <c r="G755" s="2296">
        <f>('CF(FY)'!O106)/1000</f>
        <v>0</v>
      </c>
      <c r="H755" s="2297">
        <f>('CF(FY)'!P106)/1000</f>
        <v>0</v>
      </c>
    </row>
    <row r="756" spans="1:8">
      <c r="B756" s="2295" t="s">
        <v>1548</v>
      </c>
      <c r="C756" s="2296">
        <f t="shared" ca="1" si="215"/>
        <v>-3360.0000000000005</v>
      </c>
      <c r="D756" s="2296">
        <f ca="1">('CF(FY)'!L93)/1000</f>
        <v>0</v>
      </c>
      <c r="E756" s="2296">
        <f ca="1">('CF(FY)'!M93)/1000</f>
        <v>-840.00000000000011</v>
      </c>
      <c r="F756" s="2296">
        <f ca="1">('CF(FY)'!N93)/1000</f>
        <v>-840.00000000000011</v>
      </c>
      <c r="G756" s="2296">
        <f ca="1">('CF(FY)'!O93)/1000</f>
        <v>-840.00000000000011</v>
      </c>
      <c r="H756" s="2297">
        <f ca="1">('CF(FY)'!P93)/1000</f>
        <v>-840.00000000000011</v>
      </c>
    </row>
    <row r="757" spans="1:8">
      <c r="B757" s="2295" t="s">
        <v>1549</v>
      </c>
      <c r="C757" s="2296">
        <f t="shared" ca="1" si="215"/>
        <v>-7500</v>
      </c>
      <c r="D757" s="2296">
        <f ca="1">('CF(FY)'!L98)/1000</f>
        <v>0</v>
      </c>
      <c r="E757" s="2296">
        <f ca="1">('CF(FY)'!M98)/1000</f>
        <v>-1875</v>
      </c>
      <c r="F757" s="2296">
        <f ca="1">('CF(FY)'!N98)/1000</f>
        <v>-1875</v>
      </c>
      <c r="G757" s="2296">
        <f ca="1">('CF(FY)'!O98)/1000</f>
        <v>-1875</v>
      </c>
      <c r="H757" s="2297">
        <f ca="1">('CF(FY)'!P98)/1000</f>
        <v>-1875</v>
      </c>
    </row>
    <row r="758" spans="1:8" ht="12.75" thickBot="1">
      <c r="B758" s="2295" t="s">
        <v>1550</v>
      </c>
      <c r="C758" s="2296">
        <f t="shared" ca="1" si="215"/>
        <v>-1110</v>
      </c>
      <c r="D758" s="2296">
        <f ca="1">('CF(FY)'!L108)/1000</f>
        <v>0</v>
      </c>
      <c r="E758" s="2296">
        <f ca="1">('CF(FY)'!M108)/1000</f>
        <v>-555</v>
      </c>
      <c r="F758" s="2296">
        <f ca="1">('CF(FY)'!N108)/1000</f>
        <v>-555</v>
      </c>
      <c r="G758" s="2296">
        <f ca="1">('CF(FY)'!O108)/1000</f>
        <v>0</v>
      </c>
      <c r="H758" s="2297">
        <f ca="1">('CF(FY)'!P108)/1000</f>
        <v>0</v>
      </c>
    </row>
    <row r="759" spans="1:8" hidden="1">
      <c r="B759" s="2295" t="s">
        <v>1612</v>
      </c>
      <c r="C759" s="2296">
        <f t="shared" si="215"/>
        <v>0</v>
      </c>
      <c r="D759" s="2296">
        <f>('CF(FY)'!L92+'CF(FY)'!L94)/1000</f>
        <v>0</v>
      </c>
      <c r="E759" s="2296">
        <f>('CF(FY)'!M92+'CF(FY)'!M94)/1000</f>
        <v>0</v>
      </c>
      <c r="F759" s="2296">
        <f>('CF(FY)'!N92+'CF(FY)'!N94)/1000</f>
        <v>0</v>
      </c>
      <c r="G759" s="2296">
        <f>('CF(FY)'!O92+'CF(FY)'!O94)/1000</f>
        <v>0</v>
      </c>
      <c r="H759" s="2297">
        <f>('CF(FY)'!P92+'CF(FY)'!P94)/1000</f>
        <v>0</v>
      </c>
    </row>
    <row r="760" spans="1:8" hidden="1">
      <c r="B760" s="2295" t="s">
        <v>1613</v>
      </c>
      <c r="C760" s="2296">
        <f t="shared" si="215"/>
        <v>0</v>
      </c>
      <c r="D760" s="2296">
        <f>('CF(FY)'!L97+'CF(FY)'!L99)/1000</f>
        <v>0</v>
      </c>
      <c r="E760" s="2296">
        <f>('CF(FY)'!M97+'CF(FY)'!M99)/1000</f>
        <v>0</v>
      </c>
      <c r="F760" s="2296">
        <f>('CF(FY)'!N97+'CF(FY)'!N99)/1000</f>
        <v>0</v>
      </c>
      <c r="G760" s="2296">
        <f>('CF(FY)'!O97+'CF(FY)'!O99)/1000</f>
        <v>0</v>
      </c>
      <c r="H760" s="2297">
        <f>('CF(FY)'!P97+'CF(FY)'!P99)/1000</f>
        <v>0</v>
      </c>
    </row>
    <row r="761" spans="1:8" ht="12.75" hidden="1" thickBot="1">
      <c r="B761" s="2295" t="s">
        <v>1614</v>
      </c>
      <c r="C761" s="2296">
        <f t="shared" si="215"/>
        <v>0</v>
      </c>
      <c r="D761" s="2296">
        <f>('CF(FY)'!L107+'CF(FY)'!L109)/1000</f>
        <v>0</v>
      </c>
      <c r="E761" s="2296">
        <f>('CF(FY)'!M107+'CF(FY)'!M109)/1000</f>
        <v>0</v>
      </c>
      <c r="F761" s="2296">
        <f>('CF(FY)'!N107+'CF(FY)'!N109)/1000</f>
        <v>0</v>
      </c>
      <c r="G761" s="2296">
        <f>('CF(FY)'!O107+'CF(FY)'!O109)/1000</f>
        <v>0</v>
      </c>
      <c r="H761" s="2297">
        <f>('CF(FY)'!P107+'CF(FY)'!P109)/1000</f>
        <v>0</v>
      </c>
    </row>
    <row r="762" spans="1:8" ht="12.75" thickBot="1">
      <c r="B762" s="2289" t="s">
        <v>1553</v>
      </c>
      <c r="C762" s="2304">
        <f ca="1">ROUND(H764-D763,0)</f>
        <v>8750</v>
      </c>
      <c r="D762" s="2304">
        <f ca="1">D716+D742+D747</f>
        <v>10000.000000000116</v>
      </c>
      <c r="E762" s="2304">
        <f ca="1">E716+E742+E747</f>
        <v>-2321.9089235723604</v>
      </c>
      <c r="F762" s="2304">
        <f ca="1">F716+F742+F747</f>
        <v>-1482.2703720241461</v>
      </c>
      <c r="G762" s="2304">
        <f ca="1">G716+G742+G747</f>
        <v>-1553.6405832924788</v>
      </c>
      <c r="H762" s="2305">
        <f ca="1">H716+H742+H747</f>
        <v>4107.7317321894388</v>
      </c>
    </row>
    <row r="763" spans="1:8" ht="12.75" thickBot="1">
      <c r="B763" s="2303" t="s">
        <v>1551</v>
      </c>
      <c r="C763" s="2304">
        <f ca="1">SUM(D763:H763)</f>
        <v>28516.091901942615</v>
      </c>
      <c r="D763" s="2304">
        <v>0</v>
      </c>
      <c r="E763" s="2304">
        <f ca="1">D764</f>
        <v>10000.000000000116</v>
      </c>
      <c r="F763" s="2304">
        <f ca="1">E764</f>
        <v>7678.091076427756</v>
      </c>
      <c r="G763" s="2304">
        <f ca="1">F764</f>
        <v>6195.8207044036099</v>
      </c>
      <c r="H763" s="2305">
        <f ca="1">G764</f>
        <v>4642.1801211111306</v>
      </c>
    </row>
    <row r="764" spans="1:8" ht="12.75" thickBot="1">
      <c r="B764" s="2289" t="s">
        <v>1552</v>
      </c>
      <c r="C764" s="2304">
        <f ca="1">SUM(D764:H764)</f>
        <v>37266.003755243182</v>
      </c>
      <c r="D764" s="2304">
        <f ca="1">SUM(D762:D763)</f>
        <v>10000.000000000116</v>
      </c>
      <c r="E764" s="2304">
        <f ca="1">SUM(E762:E763)</f>
        <v>7678.091076427756</v>
      </c>
      <c r="F764" s="2304">
        <f ca="1">SUM(F762:F763)</f>
        <v>6195.8207044036099</v>
      </c>
      <c r="G764" s="2304">
        <f ca="1">SUM(G762:G763)</f>
        <v>4642.1801211111306</v>
      </c>
      <c r="H764" s="2305">
        <f ca="1">SUM(H762:H763)</f>
        <v>8749.9118533005694</v>
      </c>
    </row>
    <row r="765" spans="1:8">
      <c r="C765" s="2306"/>
      <c r="D765" s="2306"/>
      <c r="E765" s="2306"/>
      <c r="F765" s="2306"/>
      <c r="G765" s="2306"/>
      <c r="H765" s="2497">
        <f ca="1">L633</f>
        <v>8749.9118533005694</v>
      </c>
    </row>
    <row r="766" spans="1:8">
      <c r="C766" s="2306"/>
      <c r="D766" s="2306"/>
      <c r="E766" s="2306"/>
      <c r="F766" s="2306"/>
      <c r="G766" s="2306" t="s">
        <v>567</v>
      </c>
      <c r="H766" s="2498">
        <f ca="1">H764-H765</f>
        <v>0</v>
      </c>
    </row>
    <row r="768" spans="1:8">
      <c r="A768" s="2234" t="s">
        <v>1667</v>
      </c>
    </row>
    <row r="769" spans="2:8">
      <c r="B769" s="2812" t="s">
        <v>1449</v>
      </c>
      <c r="C769" s="2814" t="s">
        <v>1460</v>
      </c>
      <c r="D769" s="2412" t="str">
        <f t="shared" ref="D769:H770" si="218">D714</f>
        <v>26.10</v>
      </c>
      <c r="E769" s="2412" t="str">
        <f t="shared" si="218"/>
        <v>27.04</v>
      </c>
      <c r="F769" s="2412" t="str">
        <f t="shared" si="218"/>
        <v>27.10</v>
      </c>
      <c r="G769" s="2412" t="str">
        <f t="shared" si="218"/>
        <v>28.04</v>
      </c>
      <c r="H769" s="2413" t="str">
        <f t="shared" si="218"/>
        <v>28.10</v>
      </c>
    </row>
    <row r="770" spans="2:8" ht="12.75" thickBot="1">
      <c r="B770" s="2813"/>
      <c r="C770" s="2815"/>
      <c r="D770" s="2285" t="str">
        <f t="shared" si="218"/>
        <v>투자일</v>
      </c>
      <c r="E770" s="2494">
        <f t="shared" si="218"/>
        <v>1</v>
      </c>
      <c r="F770" s="2494">
        <f t="shared" si="218"/>
        <v>2</v>
      </c>
      <c r="G770" s="2494">
        <f t="shared" si="218"/>
        <v>3</v>
      </c>
      <c r="H770" s="2495">
        <f t="shared" si="218"/>
        <v>4</v>
      </c>
    </row>
    <row r="771" spans="2:8">
      <c r="B771" s="2292" t="s">
        <v>1555</v>
      </c>
      <c r="C771" s="2293"/>
      <c r="D771" s="2293">
        <f ca="1">'BS(FY)'!K11/1000</f>
        <v>10000</v>
      </c>
      <c r="E771" s="2293">
        <f ca="1">'BS(FY)'!L11/1000</f>
        <v>7678.0910764276387</v>
      </c>
      <c r="F771" s="2293">
        <f ca="1">'BS(FY)'!M11/1000</f>
        <v>6195.8207044034934</v>
      </c>
      <c r="G771" s="2293">
        <f ca="1">'BS(FY)'!N11/1000</f>
        <v>4642.1801211110132</v>
      </c>
      <c r="H771" s="2294">
        <f ca="1">'BS(FY)'!O11/1000</f>
        <v>8749.9118533004548</v>
      </c>
    </row>
    <row r="772" spans="2:8">
      <c r="B772" s="2295" t="s">
        <v>1615</v>
      </c>
      <c r="C772" s="2296"/>
      <c r="D772" s="2296">
        <f>'BS(FY)'!K12/1000</f>
        <v>12856.669630531998</v>
      </c>
      <c r="E772" s="2296">
        <f>'BS(FY)'!L12/1000</f>
        <v>56.176470635715539</v>
      </c>
      <c r="F772" s="2296">
        <f>'BS(FY)'!M12/1000</f>
        <v>56.176470635715539</v>
      </c>
      <c r="G772" s="2296">
        <f>'BS(FY)'!N12/1000</f>
        <v>56.197924427994352</v>
      </c>
      <c r="H772" s="2297">
        <f>'BS(FY)'!O12/1000</f>
        <v>56.197924427994352</v>
      </c>
    </row>
    <row r="773" spans="2:8" hidden="1">
      <c r="B773" s="2295" t="s">
        <v>237</v>
      </c>
      <c r="C773" s="2296"/>
      <c r="D773" s="2296">
        <f>'BS(FY)'!K13/1000</f>
        <v>0</v>
      </c>
      <c r="E773" s="2296">
        <f>'BS(FY)'!L13/1000</f>
        <v>0</v>
      </c>
      <c r="F773" s="2296">
        <f>'BS(FY)'!M13/1000</f>
        <v>0</v>
      </c>
      <c r="G773" s="2296">
        <f>'BS(FY)'!N13/1000</f>
        <v>0</v>
      </c>
      <c r="H773" s="2297">
        <f>'BS(FY)'!O13/1000</f>
        <v>0</v>
      </c>
    </row>
    <row r="774" spans="2:8">
      <c r="B774" s="2295" t="s">
        <v>238</v>
      </c>
      <c r="C774" s="2296"/>
      <c r="D774" s="2296">
        <f ca="1">'BS(FY)'!K14/1000</f>
        <v>0</v>
      </c>
      <c r="E774" s="2296">
        <f ca="1">'BS(FY)'!L14/1000</f>
        <v>371.14234999999996</v>
      </c>
      <c r="F774" s="2296">
        <f ca="1">'BS(FY)'!M14/1000</f>
        <v>-1.0186340659856796E-13</v>
      </c>
      <c r="G774" s="2296">
        <f ca="1">'BS(FY)'!N14/1000</f>
        <v>363.71950299999997</v>
      </c>
      <c r="H774" s="2297">
        <f ca="1">'BS(FY)'!O14/1000</f>
        <v>-7.2759576141834261E-14</v>
      </c>
    </row>
    <row r="775" spans="2:8">
      <c r="B775" s="2295" t="s">
        <v>240</v>
      </c>
      <c r="C775" s="2296"/>
      <c r="D775" s="2296">
        <f>'BS(FY)'!K16/1000</f>
        <v>152192.51999999999</v>
      </c>
      <c r="E775" s="2296">
        <f>'BS(FY)'!L16/1000</f>
        <v>152192.51999999999</v>
      </c>
      <c r="F775" s="2296">
        <f>'BS(FY)'!M16/1000</f>
        <v>152192.51999999999</v>
      </c>
      <c r="G775" s="2296">
        <f>'BS(FY)'!N16/1000</f>
        <v>152192.51999999999</v>
      </c>
      <c r="H775" s="2297">
        <f>'BS(FY)'!O16/1000</f>
        <v>152192.51999999999</v>
      </c>
    </row>
    <row r="776" spans="2:8">
      <c r="B776" s="2295" t="s">
        <v>241</v>
      </c>
      <c r="C776" s="2296"/>
      <c r="D776" s="2296">
        <f>'BS(FY)'!K17/1000</f>
        <v>136707.48000000001</v>
      </c>
      <c r="E776" s="2296">
        <f>'BS(FY)'!L17/1000</f>
        <v>136707.48000000001</v>
      </c>
      <c r="F776" s="2296">
        <f>'BS(FY)'!M17/1000</f>
        <v>136707.48000000001</v>
      </c>
      <c r="G776" s="2296">
        <f>'BS(FY)'!N17/1000</f>
        <v>136707.48000000001</v>
      </c>
      <c r="H776" s="2297">
        <f>'BS(FY)'!O17/1000</f>
        <v>136707.48000000001</v>
      </c>
    </row>
    <row r="777" spans="2:8" ht="12.75" thickBot="1">
      <c r="B777" s="2295" t="s">
        <v>517</v>
      </c>
      <c r="C777" s="2296"/>
      <c r="D777" s="2296">
        <f>'BS(FY)'!K18/1000</f>
        <v>0</v>
      </c>
      <c r="E777" s="2296">
        <f>'BS(FY)'!L18/1000</f>
        <v>-1708.8434999999999</v>
      </c>
      <c r="F777" s="2296">
        <f>'BS(FY)'!M18/1000</f>
        <v>-3417.6869999999999</v>
      </c>
      <c r="G777" s="2296">
        <f>'BS(FY)'!N18/1000</f>
        <v>-5126.5304999999998</v>
      </c>
      <c r="H777" s="2297">
        <f>'BS(FY)'!O18/1000</f>
        <v>-6835.3739999999998</v>
      </c>
    </row>
    <row r="778" spans="2:8" ht="12.75" thickBot="1">
      <c r="B778" s="2289" t="s">
        <v>1556</v>
      </c>
      <c r="C778" s="2290"/>
      <c r="D778" s="2290">
        <f ca="1">SUM(D771:D777)</f>
        <v>311756.66963053204</v>
      </c>
      <c r="E778" s="2290">
        <f ca="1">SUM(E771:E777)</f>
        <v>295296.56639706338</v>
      </c>
      <c r="F778" s="2290">
        <f ca="1">SUM(F771:F777)</f>
        <v>291734.31017503922</v>
      </c>
      <c r="G778" s="2290">
        <f ca="1">SUM(G771:G777)</f>
        <v>288835.56704853906</v>
      </c>
      <c r="H778" s="2291">
        <f ca="1">SUM(H771:H777)</f>
        <v>290870.73577772843</v>
      </c>
    </row>
    <row r="779" spans="2:8" hidden="1">
      <c r="B779" s="2295" t="s">
        <v>1609</v>
      </c>
      <c r="C779" s="2296"/>
      <c r="D779" s="2296">
        <f>'BS(FY)'!K21/1000</f>
        <v>0</v>
      </c>
      <c r="E779" s="2296">
        <f>'BS(FY)'!L21/1000</f>
        <v>0</v>
      </c>
      <c r="F779" s="2296">
        <f>'BS(FY)'!M21/1000</f>
        <v>0</v>
      </c>
      <c r="G779" s="2296">
        <f>'BS(FY)'!N21/1000</f>
        <v>0</v>
      </c>
      <c r="H779" s="2297">
        <f>'BS(FY)'!O21/1000</f>
        <v>0</v>
      </c>
    </row>
    <row r="780" spans="2:8">
      <c r="B780" s="2295" t="s">
        <v>1593</v>
      </c>
      <c r="C780" s="2296"/>
      <c r="D780" s="2296">
        <f>'BS(FY)'!K22/1000</f>
        <v>12856.669630531998</v>
      </c>
      <c r="E780" s="2296">
        <f>'BS(FY)'!L22/1000</f>
        <v>0</v>
      </c>
      <c r="F780" s="2296">
        <f>'BS(FY)'!M22/1000</f>
        <v>0</v>
      </c>
      <c r="G780" s="2296">
        <f>'BS(FY)'!N22/1000</f>
        <v>0</v>
      </c>
      <c r="H780" s="2297">
        <f>'BS(FY)'!O22/1000</f>
        <v>0</v>
      </c>
    </row>
    <row r="781" spans="2:8" hidden="1">
      <c r="B781" s="2295" t="s">
        <v>569</v>
      </c>
      <c r="C781" s="2296"/>
      <c r="D781" s="2296">
        <f>'BS(FY)'!K23/1000</f>
        <v>0</v>
      </c>
      <c r="E781" s="2296">
        <f>'BS(FY)'!L23/1000</f>
        <v>0</v>
      </c>
      <c r="F781" s="2296">
        <f>'BS(FY)'!M23/1000</f>
        <v>0</v>
      </c>
      <c r="G781" s="2296">
        <f>'BS(FY)'!N23/1000</f>
        <v>0</v>
      </c>
      <c r="H781" s="2297">
        <f>'BS(FY)'!O23/1000</f>
        <v>0</v>
      </c>
    </row>
    <row r="782" spans="2:8">
      <c r="B782" s="2295" t="s">
        <v>570</v>
      </c>
      <c r="C782" s="2296"/>
      <c r="D782" s="2296">
        <f>'BS(FY)'!K24/1000</f>
        <v>0</v>
      </c>
      <c r="E782" s="2296">
        <f>'BS(FY)'!L24/1000</f>
        <v>343.23767333333336</v>
      </c>
      <c r="F782" s="2296">
        <f>'BS(FY)'!M24/1000</f>
        <v>191.94920666666667</v>
      </c>
      <c r="G782" s="2296">
        <f>'BS(FY)'!N24/1000</f>
        <v>427.61647628333333</v>
      </c>
      <c r="H782" s="2297">
        <f>'BS(FY)'!O24/1000</f>
        <v>194.63845765833329</v>
      </c>
    </row>
    <row r="783" spans="2:8">
      <c r="B783" s="2295" t="s">
        <v>205</v>
      </c>
      <c r="C783" s="2296"/>
      <c r="D783" s="2296">
        <f>'BS(FY)'!K26/1000</f>
        <v>2100</v>
      </c>
      <c r="E783" s="2296">
        <f>'BS(FY)'!L26/1000</f>
        <v>2100</v>
      </c>
      <c r="F783" s="2296">
        <f>'BS(FY)'!M26/1000</f>
        <v>2100</v>
      </c>
      <c r="G783" s="2296">
        <f>'BS(FY)'!N26/1000</f>
        <v>2100</v>
      </c>
      <c r="H783" s="2297">
        <f>'BS(FY)'!O26/1000</f>
        <v>2100</v>
      </c>
    </row>
    <row r="784" spans="2:8" ht="12.75" thickBot="1">
      <c r="B784" s="2295" t="s">
        <v>1616</v>
      </c>
      <c r="C784" s="2296"/>
      <c r="D784" s="2296">
        <f>'BS(FY)'!K28/1000</f>
        <v>198000</v>
      </c>
      <c r="E784" s="2296">
        <f>'BS(FY)'!L28/1000</f>
        <v>198000</v>
      </c>
      <c r="F784" s="2296">
        <f>'BS(FY)'!M28/1000</f>
        <v>198000</v>
      </c>
      <c r="G784" s="2296">
        <f>'BS(FY)'!N28/1000</f>
        <v>198000</v>
      </c>
      <c r="H784" s="2297">
        <f>'BS(FY)'!O28/1000</f>
        <v>213000</v>
      </c>
    </row>
    <row r="785" spans="2:8" ht="12.75" hidden="1" thickBot="1">
      <c r="B785" s="2295" t="s">
        <v>606</v>
      </c>
      <c r="C785" s="2296"/>
      <c r="D785" s="2296">
        <f>'BS(FY)'!K27/1000</f>
        <v>0</v>
      </c>
      <c r="E785" s="2296">
        <f>'BS(FY)'!L27/1000</f>
        <v>0</v>
      </c>
      <c r="F785" s="2296">
        <f>'BS(FY)'!M27/1000</f>
        <v>0</v>
      </c>
      <c r="G785" s="2296">
        <f>'BS(FY)'!N27/1000</f>
        <v>0</v>
      </c>
      <c r="H785" s="2297">
        <f>'BS(FY)'!O27/1000</f>
        <v>0</v>
      </c>
    </row>
    <row r="786" spans="2:8" ht="12.75" thickBot="1">
      <c r="B786" s="2289" t="s">
        <v>1557</v>
      </c>
      <c r="C786" s="2290"/>
      <c r="D786" s="2290">
        <f>SUM(D779:D785)</f>
        <v>212956.66963053201</v>
      </c>
      <c r="E786" s="2290">
        <f>SUM(E779:E785)</f>
        <v>200443.23767333332</v>
      </c>
      <c r="F786" s="2290">
        <f>SUM(F779:F785)</f>
        <v>200291.94920666667</v>
      </c>
      <c r="G786" s="2290">
        <f>SUM(G779:G785)</f>
        <v>200527.61647628332</v>
      </c>
      <c r="H786" s="2291">
        <f>SUM(H779:H785)</f>
        <v>215294.63845765832</v>
      </c>
    </row>
    <row r="787" spans="2:8">
      <c r="B787" s="2295" t="s">
        <v>543</v>
      </c>
      <c r="C787" s="2296"/>
      <c r="D787" s="2296">
        <f>'BS(FY)'!K31/1000</f>
        <v>6320</v>
      </c>
      <c r="E787" s="2296">
        <f>'BS(FY)'!L31/1000</f>
        <v>6320</v>
      </c>
      <c r="F787" s="2296">
        <f>'BS(FY)'!M31/1000</f>
        <v>6320</v>
      </c>
      <c r="G787" s="2296">
        <f>'BS(FY)'!N31/1000</f>
        <v>6320</v>
      </c>
      <c r="H787" s="2297">
        <f>'BS(FY)'!O31/1000</f>
        <v>5920</v>
      </c>
    </row>
    <row r="788" spans="2:8">
      <c r="B788" s="2295" t="s">
        <v>545</v>
      </c>
      <c r="C788" s="2296"/>
      <c r="D788" s="2296">
        <f>'BS(FY)'!K32/1000</f>
        <v>92480</v>
      </c>
      <c r="E788" s="2296">
        <f>'BS(FY)'!L32/1000</f>
        <v>92480</v>
      </c>
      <c r="F788" s="2296">
        <f>'BS(FY)'!M32/1000</f>
        <v>92480</v>
      </c>
      <c r="G788" s="2296">
        <f>'BS(FY)'!N32/1000</f>
        <v>92480</v>
      </c>
      <c r="H788" s="2297">
        <f>'BS(FY)'!O32/1000</f>
        <v>82880</v>
      </c>
    </row>
    <row r="789" spans="2:8" ht="12.75" thickBot="1">
      <c r="B789" s="2295" t="s">
        <v>565</v>
      </c>
      <c r="C789" s="2296"/>
      <c r="D789" s="2296">
        <f ca="1">'BS(FY)'!K34/1000</f>
        <v>0</v>
      </c>
      <c r="E789" s="2296">
        <f ca="1">'BS(FY)'!L34/1000</f>
        <v>-3946.6712762699808</v>
      </c>
      <c r="F789" s="2296">
        <f ca="1">'BS(FY)'!M34/1000</f>
        <v>-7357.639031627461</v>
      </c>
      <c r="G789" s="2296">
        <f ca="1">'BS(FY)'!N34/1000</f>
        <v>-10492.049427744329</v>
      </c>
      <c r="H789" s="2297">
        <f ca="1">'BS(FY)'!O34/1000</f>
        <v>-13223.902679929886</v>
      </c>
    </row>
    <row r="790" spans="2:8" ht="12.75" thickBot="1">
      <c r="B790" s="2289" t="s">
        <v>1558</v>
      </c>
      <c r="C790" s="2290"/>
      <c r="D790" s="2290">
        <f ca="1">SUM(D787:D789)</f>
        <v>98800</v>
      </c>
      <c r="E790" s="2290">
        <f ca="1">SUM(E787:E789)</f>
        <v>94853.328723730025</v>
      </c>
      <c r="F790" s="2290">
        <f ca="1">SUM(F787:F789)</f>
        <v>91442.360968372537</v>
      </c>
      <c r="G790" s="2290">
        <f ca="1">SUM(G787:G789)</f>
        <v>88307.950572255679</v>
      </c>
      <c r="H790" s="2291">
        <f ca="1">SUM(H787:H789)</f>
        <v>75576.097320070112</v>
      </c>
    </row>
    <row r="791" spans="2:8" ht="12.75" thickBot="1">
      <c r="B791" s="2289" t="s">
        <v>1617</v>
      </c>
      <c r="C791" s="2290"/>
      <c r="D791" s="2290">
        <f ca="1">D786+D790</f>
        <v>311756.66963053204</v>
      </c>
      <c r="E791" s="2290">
        <f ca="1">E786+E790</f>
        <v>295296.56639706332</v>
      </c>
      <c r="F791" s="2290">
        <f ca="1">F786+F790</f>
        <v>291734.31017503922</v>
      </c>
      <c r="G791" s="2290">
        <f ca="1">G786+G790</f>
        <v>288835.567048539</v>
      </c>
      <c r="H791" s="2291">
        <f ca="1">H786+H790</f>
        <v>290870.73577772843</v>
      </c>
    </row>
    <row r="792" spans="2:8">
      <c r="B792" s="2234" t="s">
        <v>1559</v>
      </c>
      <c r="C792" s="2499">
        <f t="shared" ref="C792:H792" si="219">C778-C791</f>
        <v>0</v>
      </c>
      <c r="D792" s="2499">
        <f t="shared" ca="1" si="219"/>
        <v>0</v>
      </c>
      <c r="E792" s="2499">
        <f t="shared" ca="1" si="219"/>
        <v>0</v>
      </c>
      <c r="F792" s="2499">
        <f t="shared" ca="1" si="219"/>
        <v>0</v>
      </c>
      <c r="G792" s="2499">
        <f t="shared" ca="1" si="219"/>
        <v>0</v>
      </c>
      <c r="H792" s="2499">
        <f t="shared" ca="1" si="219"/>
        <v>0</v>
      </c>
    </row>
    <row r="800" spans="2:8">
      <c r="B800" s="2671" t="s">
        <v>1756</v>
      </c>
    </row>
    <row r="801" spans="2:19">
      <c r="B801" s="2234" t="s">
        <v>1757</v>
      </c>
    </row>
    <row r="803" spans="2:19">
      <c r="B803" s="2673" t="s">
        <v>1758</v>
      </c>
      <c r="C803" s="2674" t="s">
        <v>1759</v>
      </c>
      <c r="D803" s="2673" t="s">
        <v>1760</v>
      </c>
      <c r="E803" s="2673" t="s">
        <v>1761</v>
      </c>
      <c r="F803" s="2673" t="s">
        <v>1762</v>
      </c>
      <c r="G803" s="2674" t="s">
        <v>1763</v>
      </c>
      <c r="H803" s="2673" t="s">
        <v>1764</v>
      </c>
      <c r="I803" s="2674" t="s">
        <v>1765</v>
      </c>
      <c r="J803" s="2673" t="s">
        <v>1766</v>
      </c>
      <c r="K803" s="2673" t="s">
        <v>1767</v>
      </c>
      <c r="L803" s="2673" t="s">
        <v>1768</v>
      </c>
      <c r="M803" s="2673" t="s">
        <v>1769</v>
      </c>
      <c r="N803" s="2674" t="s">
        <v>1770</v>
      </c>
      <c r="O803" s="2673" t="s">
        <v>1771</v>
      </c>
      <c r="P803" s="2673" t="s">
        <v>1772</v>
      </c>
      <c r="Q803" s="2673" t="s">
        <v>1773</v>
      </c>
      <c r="R803" s="2234" t="s">
        <v>1782</v>
      </c>
      <c r="S803" s="2234" t="s">
        <v>1783</v>
      </c>
    </row>
    <row r="804" spans="2:19">
      <c r="B804" s="2234">
        <v>1</v>
      </c>
      <c r="C804" s="2675">
        <f t="shared" ref="C804:C823" si="220">INDEX($E$674:$X$674,$B804)</f>
        <v>46507</v>
      </c>
      <c r="D804" s="2270">
        <f t="shared" ref="D804:D823" ca="1" si="221">INDEX($E$705:$X$705,$B804)</f>
        <v>-676.67127626997899</v>
      </c>
      <c r="E804" s="2270">
        <f t="shared" ref="E804:E823" si="222">INDEX($E$698:$X$698,$B804)</f>
        <v>0</v>
      </c>
      <c r="F804" s="2270">
        <f t="shared" ref="F804:F823" si="223">-INDEX($E$697:$X$697,$B804)</f>
        <v>1708.8434999999999</v>
      </c>
      <c r="G804" s="2479">
        <f t="shared" ref="G804:G823" ca="1" si="224">D804-E804+F804-R804+S804</f>
        <v>1013.0895521713862</v>
      </c>
      <c r="H804" s="2270">
        <f>0</f>
        <v>0</v>
      </c>
      <c r="I804" s="2479">
        <f t="shared" ref="I804:I823" ca="1" si="225">G804+H804</f>
        <v>1013.0895521713862</v>
      </c>
      <c r="J804" s="2270">
        <f ca="1">MAX(MIN(I804,$C$831),0)</f>
        <v>840.00000000000011</v>
      </c>
      <c r="K804" s="2270">
        <f ca="1">MAX(MIN(I804-J804,$C$832),0)</f>
        <v>173.08955217138612</v>
      </c>
      <c r="L804" s="2270">
        <v>0</v>
      </c>
      <c r="M804" s="2270">
        <f t="shared" ref="M804:M823" ca="1" si="226">MAX(I804-J804-K804,0)</f>
        <v>0</v>
      </c>
      <c r="N804" s="2479">
        <f t="shared" ref="N804:N823" ca="1" si="227">SUM(J804:M804)</f>
        <v>1013.0895521713862</v>
      </c>
      <c r="O804" s="2270">
        <f ca="1">$C$831-J804</f>
        <v>0</v>
      </c>
      <c r="P804" s="2270">
        <f ca="1">$C$832-K804</f>
        <v>1701.910447828614</v>
      </c>
      <c r="Q804" s="2270">
        <f t="shared" ref="Q804:Q823" ca="1" si="228">I804-N804</f>
        <v>0</v>
      </c>
      <c r="R804" s="2234">
        <f t="shared" ref="R804:R823" ca="1" si="229">INDEX($E$693:$X$693,$B804)</f>
        <v>194.08267155863479</v>
      </c>
      <c r="S804" s="2234">
        <f t="shared" ref="S804:S823" si="230">IF($C$835=1,$C$833*$C$834/2,R804)</f>
        <v>175.00000000000003</v>
      </c>
    </row>
    <row r="805" spans="2:19">
      <c r="B805" s="2234">
        <v>2</v>
      </c>
      <c r="C805" s="2675">
        <f t="shared" si="220"/>
        <v>46691</v>
      </c>
      <c r="D805" s="2270">
        <f t="shared" ca="1" si="221"/>
        <v>-140.96775535747838</v>
      </c>
      <c r="E805" s="2270">
        <f t="shared" si="222"/>
        <v>0</v>
      </c>
      <c r="F805" s="2270">
        <f t="shared" si="223"/>
        <v>1708.8434999999999</v>
      </c>
      <c r="G805" s="2479">
        <f t="shared" ca="1" si="224"/>
        <v>1577.0560553606531</v>
      </c>
      <c r="H805" s="2270">
        <f t="shared" ref="H805:H823" ca="1" si="231">Q804</f>
        <v>0</v>
      </c>
      <c r="I805" s="2479">
        <f t="shared" ca="1" si="225"/>
        <v>1577.0560553606531</v>
      </c>
      <c r="J805" s="2270">
        <f t="shared" ref="J805:J823" ca="1" si="232">MAX(MIN(I805,$C$831+O804),0)</f>
        <v>840.00000000000011</v>
      </c>
      <c r="K805" s="2270">
        <f t="shared" ref="K805:K823" ca="1" si="233">MAX(MIN(I805-J805,$C$832+P804),0)</f>
        <v>737.05605536065298</v>
      </c>
      <c r="L805" s="2270">
        <v>0</v>
      </c>
      <c r="M805" s="2270">
        <f t="shared" ca="1" si="226"/>
        <v>0</v>
      </c>
      <c r="N805" s="2479">
        <f t="shared" ca="1" si="227"/>
        <v>1577.0560553606531</v>
      </c>
      <c r="O805" s="2270">
        <f t="shared" ref="O805:O823" ca="1" si="234">$C$831+O804-J805</f>
        <v>0</v>
      </c>
      <c r="P805" s="2270">
        <f t="shared" ref="P805:P823" ca="1" si="235">$C$832+P804-K805</f>
        <v>2839.8543924679611</v>
      </c>
      <c r="Q805" s="2270">
        <f t="shared" ca="1" si="228"/>
        <v>0</v>
      </c>
      <c r="R805" s="2234">
        <f t="shared" ca="1" si="229"/>
        <v>165.81968928186845</v>
      </c>
      <c r="S805" s="2234">
        <f t="shared" si="230"/>
        <v>175.00000000000003</v>
      </c>
    </row>
    <row r="806" spans="2:19">
      <c r="B806" s="2234">
        <v>3</v>
      </c>
      <c r="C806" s="2675">
        <f t="shared" si="220"/>
        <v>46873</v>
      </c>
      <c r="D806" s="2270">
        <f t="shared" ca="1" si="221"/>
        <v>-419.41039611686574</v>
      </c>
      <c r="E806" s="2270">
        <f t="shared" si="222"/>
        <v>0</v>
      </c>
      <c r="F806" s="2270">
        <f t="shared" si="223"/>
        <v>1708.8434999999999</v>
      </c>
      <c r="G806" s="2479">
        <f t="shared" ca="1" si="224"/>
        <v>1335.3087775758765</v>
      </c>
      <c r="H806" s="2270">
        <f t="shared" ca="1" si="231"/>
        <v>0</v>
      </c>
      <c r="I806" s="2479">
        <f t="shared" ca="1" si="225"/>
        <v>1335.3087775758765</v>
      </c>
      <c r="J806" s="2270">
        <f t="shared" ca="1" si="232"/>
        <v>840.00000000000011</v>
      </c>
      <c r="K806" s="2270">
        <f t="shared" ca="1" si="233"/>
        <v>495.30877757587643</v>
      </c>
      <c r="L806" s="2270">
        <v>0</v>
      </c>
      <c r="M806" s="2270">
        <f t="shared" ca="1" si="226"/>
        <v>0</v>
      </c>
      <c r="N806" s="2479">
        <f t="shared" ca="1" si="227"/>
        <v>1335.3087775758765</v>
      </c>
      <c r="O806" s="2270">
        <f t="shared" ca="1" si="234"/>
        <v>0</v>
      </c>
      <c r="P806" s="2270">
        <f t="shared" ca="1" si="235"/>
        <v>4219.5456148920848</v>
      </c>
      <c r="Q806" s="2270">
        <f t="shared" ca="1" si="228"/>
        <v>0</v>
      </c>
      <c r="R806" s="2234">
        <f t="shared" ca="1" si="229"/>
        <v>129.12432630725766</v>
      </c>
      <c r="S806" s="2234">
        <f t="shared" si="230"/>
        <v>175.00000000000003</v>
      </c>
    </row>
    <row r="807" spans="2:19">
      <c r="B807" s="2234">
        <v>4</v>
      </c>
      <c r="C807" s="2675">
        <f t="shared" si="220"/>
        <v>47057</v>
      </c>
      <c r="D807" s="2270">
        <f t="shared" ca="1" si="221"/>
        <v>-16.85325218556045</v>
      </c>
      <c r="E807" s="2270">
        <f t="shared" si="222"/>
        <v>0</v>
      </c>
      <c r="F807" s="2270">
        <f t="shared" si="223"/>
        <v>1708.8434999999999</v>
      </c>
      <c r="G807" s="2479">
        <f t="shared" ca="1" si="224"/>
        <v>1753.9757674178011</v>
      </c>
      <c r="H807" s="2270">
        <f t="shared" ca="1" si="231"/>
        <v>0</v>
      </c>
      <c r="I807" s="2479">
        <f t="shared" ca="1" si="225"/>
        <v>1753.9757674178011</v>
      </c>
      <c r="J807" s="2270">
        <f t="shared" ca="1" si="232"/>
        <v>840.00000000000011</v>
      </c>
      <c r="K807" s="2270">
        <f t="shared" ca="1" si="233"/>
        <v>913.97576741780097</v>
      </c>
      <c r="L807" s="2270">
        <v>0</v>
      </c>
      <c r="M807" s="2270">
        <f t="shared" ca="1" si="226"/>
        <v>0</v>
      </c>
      <c r="N807" s="2479">
        <f t="shared" ca="1" si="227"/>
        <v>1753.9757674178011</v>
      </c>
      <c r="O807" s="2270">
        <f t="shared" ca="1" si="234"/>
        <v>0</v>
      </c>
      <c r="P807" s="2270">
        <f t="shared" ca="1" si="235"/>
        <v>5180.569847474284</v>
      </c>
      <c r="Q807" s="2270">
        <f t="shared" ca="1" si="228"/>
        <v>0</v>
      </c>
      <c r="R807" s="2234">
        <f t="shared" ca="1" si="229"/>
        <v>113.0144803966384</v>
      </c>
      <c r="S807" s="2234">
        <f t="shared" si="230"/>
        <v>175.00000000000003</v>
      </c>
    </row>
    <row r="808" spans="2:19">
      <c r="B808" s="2234">
        <v>5</v>
      </c>
      <c r="C808" s="2675">
        <f t="shared" si="220"/>
        <v>47238</v>
      </c>
      <c r="D808" s="2270">
        <f t="shared" ca="1" si="221"/>
        <v>-10.667286679280778</v>
      </c>
      <c r="E808" s="2270">
        <f t="shared" si="222"/>
        <v>0</v>
      </c>
      <c r="F808" s="2270">
        <f t="shared" si="223"/>
        <v>1708.8434999999999</v>
      </c>
      <c r="G808" s="2479">
        <f t="shared" ca="1" si="224"/>
        <v>1695.4675732215717</v>
      </c>
      <c r="H808" s="2270">
        <f t="shared" ca="1" si="231"/>
        <v>0</v>
      </c>
      <c r="I808" s="2479">
        <f t="shared" ca="1" si="225"/>
        <v>1695.4675732215717</v>
      </c>
      <c r="J808" s="2270">
        <f t="shared" ca="1" si="232"/>
        <v>840.00000000000011</v>
      </c>
      <c r="K808" s="2270">
        <f t="shared" ca="1" si="233"/>
        <v>855.46757322157157</v>
      </c>
      <c r="L808" s="2270">
        <v>0</v>
      </c>
      <c r="M808" s="2270">
        <f t="shared" ca="1" si="226"/>
        <v>0</v>
      </c>
      <c r="N808" s="2479">
        <f t="shared" ca="1" si="227"/>
        <v>1695.4675732215717</v>
      </c>
      <c r="O808" s="2270">
        <f t="shared" ca="1" si="234"/>
        <v>0</v>
      </c>
      <c r="P808" s="2270">
        <f t="shared" ca="1" si="235"/>
        <v>6200.102274252712</v>
      </c>
      <c r="Q808" s="2270">
        <f t="shared" ca="1" si="228"/>
        <v>0</v>
      </c>
      <c r="R808" s="2234">
        <f t="shared" ca="1" si="229"/>
        <v>177.70864009914746</v>
      </c>
      <c r="S808" s="2234">
        <f t="shared" si="230"/>
        <v>175.00000000000003</v>
      </c>
    </row>
    <row r="809" spans="2:19">
      <c r="B809" s="2234">
        <v>6</v>
      </c>
      <c r="C809" s="2675">
        <f t="shared" si="220"/>
        <v>47422</v>
      </c>
      <c r="D809" s="2270">
        <f t="shared" ca="1" si="221"/>
        <v>-5045.0833716530369</v>
      </c>
      <c r="E809" s="2270">
        <f t="shared" si="222"/>
        <v>0</v>
      </c>
      <c r="F809" s="2270">
        <f t="shared" si="223"/>
        <v>1708.8434999999999</v>
      </c>
      <c r="G809" s="2479">
        <f t="shared" ca="1" si="224"/>
        <v>-3297.7387754206711</v>
      </c>
      <c r="H809" s="2270">
        <f t="shared" ca="1" si="231"/>
        <v>0</v>
      </c>
      <c r="I809" s="2479">
        <f t="shared" ca="1" si="225"/>
        <v>-3297.7387754206711</v>
      </c>
      <c r="J809" s="2270">
        <f t="shared" ca="1" si="232"/>
        <v>0</v>
      </c>
      <c r="K809" s="2270">
        <f t="shared" ca="1" si="233"/>
        <v>0</v>
      </c>
      <c r="L809" s="2270">
        <v>0</v>
      </c>
      <c r="M809" s="2270">
        <f t="shared" ca="1" si="226"/>
        <v>0</v>
      </c>
      <c r="N809" s="2479">
        <f t="shared" ca="1" si="227"/>
        <v>0</v>
      </c>
      <c r="O809" s="2270">
        <f t="shared" ca="1" si="234"/>
        <v>840.00000000000011</v>
      </c>
      <c r="P809" s="2270">
        <f t="shared" ca="1" si="235"/>
        <v>8075.102274252712</v>
      </c>
      <c r="Q809" s="2270">
        <f t="shared" ca="1" si="228"/>
        <v>-3297.7387754206711</v>
      </c>
      <c r="R809" s="2234">
        <f t="shared" ca="1" si="229"/>
        <v>136.498903767634</v>
      </c>
      <c r="S809" s="2234">
        <f t="shared" si="230"/>
        <v>175.00000000000003</v>
      </c>
    </row>
    <row r="810" spans="2:19">
      <c r="B810" s="2234">
        <v>7</v>
      </c>
      <c r="C810" s="2675">
        <f t="shared" si="220"/>
        <v>47603</v>
      </c>
      <c r="D810" s="2270">
        <f t="shared" ca="1" si="221"/>
        <v>302.55351223414362</v>
      </c>
      <c r="E810" s="2270">
        <f t="shared" si="222"/>
        <v>0</v>
      </c>
      <c r="F810" s="2270">
        <f t="shared" si="223"/>
        <v>1708.8434999999999</v>
      </c>
      <c r="G810" s="2479">
        <f t="shared" ca="1" si="224"/>
        <v>2129.717930488996</v>
      </c>
      <c r="H810" s="2270">
        <f t="shared" ca="1" si="231"/>
        <v>-3297.7387754206711</v>
      </c>
      <c r="I810" s="2479">
        <f t="shared" ca="1" si="225"/>
        <v>-1168.0208449316751</v>
      </c>
      <c r="J810" s="2270">
        <f t="shared" ca="1" si="232"/>
        <v>0</v>
      </c>
      <c r="K810" s="2270">
        <f t="shared" ca="1" si="233"/>
        <v>0</v>
      </c>
      <c r="L810" s="2270">
        <v>0</v>
      </c>
      <c r="M810" s="2270">
        <f t="shared" ca="1" si="226"/>
        <v>0</v>
      </c>
      <c r="N810" s="2479">
        <f t="shared" ca="1" si="227"/>
        <v>0</v>
      </c>
      <c r="O810" s="2270">
        <f t="shared" ca="1" si="234"/>
        <v>1680.0000000000002</v>
      </c>
      <c r="P810" s="2270">
        <f t="shared" ca="1" si="235"/>
        <v>9950.102274252713</v>
      </c>
      <c r="Q810" s="2270">
        <f t="shared" ca="1" si="228"/>
        <v>-1168.0208449316751</v>
      </c>
      <c r="R810" s="2234">
        <f t="shared" ca="1" si="229"/>
        <v>56.67908174514757</v>
      </c>
      <c r="S810" s="2234">
        <f t="shared" si="230"/>
        <v>175.00000000000003</v>
      </c>
    </row>
    <row r="811" spans="2:19">
      <c r="B811" s="2234">
        <v>8</v>
      </c>
      <c r="C811" s="2675">
        <f t="shared" si="220"/>
        <v>47787</v>
      </c>
      <c r="D811" s="2270">
        <f t="shared" ca="1" si="221"/>
        <v>573.94761618558391</v>
      </c>
      <c r="E811" s="2270">
        <f t="shared" si="222"/>
        <v>0</v>
      </c>
      <c r="F811" s="2270">
        <f t="shared" si="223"/>
        <v>1708.8434999999999</v>
      </c>
      <c r="G811" s="2479">
        <f t="shared" ca="1" si="224"/>
        <v>2404.9422398968595</v>
      </c>
      <c r="H811" s="2270">
        <f t="shared" ca="1" si="231"/>
        <v>-1168.0208449316751</v>
      </c>
      <c r="I811" s="2479">
        <f t="shared" ca="1" si="225"/>
        <v>1236.9213949651844</v>
      </c>
      <c r="J811" s="2270">
        <f t="shared" ca="1" si="232"/>
        <v>1236.9213949651844</v>
      </c>
      <c r="K811" s="2270">
        <f t="shared" ca="1" si="233"/>
        <v>0</v>
      </c>
      <c r="L811" s="2270">
        <v>0</v>
      </c>
      <c r="M811" s="2270">
        <f t="shared" ca="1" si="226"/>
        <v>0</v>
      </c>
      <c r="N811" s="2479">
        <f t="shared" ca="1" si="227"/>
        <v>1236.9213949651844</v>
      </c>
      <c r="O811" s="2270">
        <f t="shared" ca="1" si="234"/>
        <v>1283.0786050348161</v>
      </c>
      <c r="P811" s="2270">
        <f t="shared" ca="1" si="235"/>
        <v>11825.102274252713</v>
      </c>
      <c r="Q811" s="2270">
        <f t="shared" ca="1" si="228"/>
        <v>0</v>
      </c>
      <c r="R811" s="2234">
        <f t="shared" ca="1" si="229"/>
        <v>52.848876288724227</v>
      </c>
      <c r="S811" s="2234">
        <f t="shared" si="230"/>
        <v>175.00000000000003</v>
      </c>
    </row>
    <row r="812" spans="2:19">
      <c r="B812" s="2234">
        <v>9</v>
      </c>
      <c r="C812" s="2675">
        <f t="shared" si="220"/>
        <v>47968</v>
      </c>
      <c r="D812" s="2270">
        <f t="shared" ca="1" si="221"/>
        <v>548.46587851336767</v>
      </c>
      <c r="E812" s="2270">
        <f t="shared" si="222"/>
        <v>0</v>
      </c>
      <c r="F812" s="2270">
        <f t="shared" si="223"/>
        <v>1708.8434999999999</v>
      </c>
      <c r="G812" s="2479">
        <f t="shared" ca="1" si="224"/>
        <v>2393.3352526325634</v>
      </c>
      <c r="H812" s="2270">
        <f t="shared" ca="1" si="231"/>
        <v>0</v>
      </c>
      <c r="I812" s="2479">
        <f t="shared" ca="1" si="225"/>
        <v>2393.3352526325634</v>
      </c>
      <c r="J812" s="2270">
        <f t="shared" ca="1" si="232"/>
        <v>2123.0786050348161</v>
      </c>
      <c r="K812" s="2270">
        <f t="shared" ca="1" si="233"/>
        <v>270.25664759774736</v>
      </c>
      <c r="L812" s="2270">
        <v>0</v>
      </c>
      <c r="M812" s="2270">
        <f t="shared" ca="1" si="226"/>
        <v>0</v>
      </c>
      <c r="N812" s="2479">
        <f t="shared" ca="1" si="227"/>
        <v>2393.3352526325634</v>
      </c>
      <c r="O812" s="2270">
        <f t="shared" ca="1" si="234"/>
        <v>0</v>
      </c>
      <c r="P812" s="2270">
        <f t="shared" ca="1" si="235"/>
        <v>13429.845626654966</v>
      </c>
      <c r="Q812" s="2270">
        <f t="shared" ca="1" si="228"/>
        <v>0</v>
      </c>
      <c r="R812" s="2234">
        <f t="shared" ca="1" si="229"/>
        <v>38.974125880804507</v>
      </c>
      <c r="S812" s="2234">
        <f t="shared" si="230"/>
        <v>175.00000000000003</v>
      </c>
    </row>
    <row r="813" spans="2:19">
      <c r="B813" s="2234">
        <v>10</v>
      </c>
      <c r="C813" s="2675">
        <f t="shared" si="220"/>
        <v>48152</v>
      </c>
      <c r="D813" s="2270">
        <f t="shared" ca="1" si="221"/>
        <v>777.25314144011531</v>
      </c>
      <c r="E813" s="2270">
        <f t="shared" si="222"/>
        <v>0</v>
      </c>
      <c r="F813" s="2270">
        <f t="shared" si="223"/>
        <v>1708.8434999999999</v>
      </c>
      <c r="G813" s="2479">
        <f t="shared" ca="1" si="224"/>
        <v>2621.8457832258955</v>
      </c>
      <c r="H813" s="2270">
        <f t="shared" ca="1" si="231"/>
        <v>0</v>
      </c>
      <c r="I813" s="2479">
        <f t="shared" ca="1" si="225"/>
        <v>2621.8457832258955</v>
      </c>
      <c r="J813" s="2270">
        <f t="shared" ca="1" si="232"/>
        <v>840.00000000000011</v>
      </c>
      <c r="K813" s="2270">
        <f t="shared" ca="1" si="233"/>
        <v>1781.8457832258955</v>
      </c>
      <c r="L813" s="2270">
        <v>0</v>
      </c>
      <c r="M813" s="2270">
        <f t="shared" ca="1" si="226"/>
        <v>0</v>
      </c>
      <c r="N813" s="2479">
        <f t="shared" ca="1" si="227"/>
        <v>2621.8457832258955</v>
      </c>
      <c r="O813" s="2270">
        <f t="shared" ca="1" si="234"/>
        <v>0</v>
      </c>
      <c r="P813" s="2270">
        <f t="shared" ca="1" si="235"/>
        <v>13522.99984342907</v>
      </c>
      <c r="Q813" s="2270">
        <f t="shared" ca="1" si="228"/>
        <v>0</v>
      </c>
      <c r="R813" s="2234">
        <f t="shared" ca="1" si="229"/>
        <v>39.250858214220024</v>
      </c>
      <c r="S813" s="2234">
        <f t="shared" si="230"/>
        <v>175.00000000000003</v>
      </c>
    </row>
    <row r="814" spans="2:19">
      <c r="B814" s="2234">
        <v>11</v>
      </c>
      <c r="C814" s="2675">
        <f t="shared" si="220"/>
        <v>48334</v>
      </c>
      <c r="D814" s="2270">
        <f t="shared" ca="1" si="221"/>
        <v>1077.1028807303874</v>
      </c>
      <c r="E814" s="2270">
        <f t="shared" si="222"/>
        <v>0</v>
      </c>
      <c r="F814" s="2270">
        <f t="shared" si="223"/>
        <v>1708.8434999999999</v>
      </c>
      <c r="G814" s="2479">
        <f t="shared" ca="1" si="224"/>
        <v>2928.5117459248054</v>
      </c>
      <c r="H814" s="2270">
        <f t="shared" ca="1" si="231"/>
        <v>0</v>
      </c>
      <c r="I814" s="2479">
        <f t="shared" ca="1" si="225"/>
        <v>2928.5117459248054</v>
      </c>
      <c r="J814" s="2270">
        <f t="shared" ca="1" si="232"/>
        <v>840.00000000000011</v>
      </c>
      <c r="K814" s="2270">
        <f t="shared" ca="1" si="233"/>
        <v>2088.5117459248054</v>
      </c>
      <c r="L814" s="2270">
        <v>0</v>
      </c>
      <c r="M814" s="2270">
        <f t="shared" ca="1" si="226"/>
        <v>0</v>
      </c>
      <c r="N814" s="2479">
        <f t="shared" ca="1" si="227"/>
        <v>2928.5117459248054</v>
      </c>
      <c r="O814" s="2270">
        <f t="shared" ca="1" si="234"/>
        <v>0</v>
      </c>
      <c r="P814" s="2270">
        <f t="shared" ca="1" si="235"/>
        <v>13309.488097504265</v>
      </c>
      <c r="Q814" s="2270">
        <f t="shared" ca="1" si="228"/>
        <v>0</v>
      </c>
      <c r="R814" s="2234">
        <f t="shared" ca="1" si="229"/>
        <v>32.434634805582043</v>
      </c>
      <c r="S814" s="2234">
        <f t="shared" si="230"/>
        <v>175.00000000000003</v>
      </c>
    </row>
    <row r="815" spans="2:19">
      <c r="B815" s="2234">
        <v>12</v>
      </c>
      <c r="C815" s="2675">
        <f t="shared" si="220"/>
        <v>48518</v>
      </c>
      <c r="D815" s="2270">
        <f t="shared" ca="1" si="221"/>
        <v>1321.1687318941476</v>
      </c>
      <c r="E815" s="2270">
        <f t="shared" si="222"/>
        <v>0</v>
      </c>
      <c r="F815" s="2270">
        <f t="shared" si="223"/>
        <v>1708.8434999999999</v>
      </c>
      <c r="G815" s="2479">
        <f t="shared" ca="1" si="224"/>
        <v>3162.7350397829682</v>
      </c>
      <c r="H815" s="2270">
        <f t="shared" ca="1" si="231"/>
        <v>0</v>
      </c>
      <c r="I815" s="2479">
        <f t="shared" ca="1" si="225"/>
        <v>3162.7350397829682</v>
      </c>
      <c r="J815" s="2270">
        <f t="shared" ca="1" si="232"/>
        <v>840.00000000000011</v>
      </c>
      <c r="K815" s="2270">
        <f t="shared" ca="1" si="233"/>
        <v>2322.7350397829682</v>
      </c>
      <c r="L815" s="2270">
        <v>0</v>
      </c>
      <c r="M815" s="2270">
        <f t="shared" ca="1" si="226"/>
        <v>0</v>
      </c>
      <c r="N815" s="2479">
        <f t="shared" ca="1" si="227"/>
        <v>3162.7350397829682</v>
      </c>
      <c r="O815" s="2270">
        <f t="shared" ca="1" si="234"/>
        <v>0</v>
      </c>
      <c r="P815" s="2270">
        <f t="shared" ca="1" si="235"/>
        <v>12861.753057721296</v>
      </c>
      <c r="Q815" s="2270">
        <f t="shared" ca="1" si="228"/>
        <v>0</v>
      </c>
      <c r="R815" s="2234">
        <f t="shared" ca="1" si="229"/>
        <v>42.277192111179239</v>
      </c>
      <c r="S815" s="2234">
        <f t="shared" si="230"/>
        <v>175.00000000000003</v>
      </c>
    </row>
    <row r="816" spans="2:19">
      <c r="B816" s="2234">
        <v>13</v>
      </c>
      <c r="C816" s="2675">
        <f t="shared" si="220"/>
        <v>48699</v>
      </c>
      <c r="D816" s="2270">
        <f t="shared" ca="1" si="221"/>
        <v>1304.157505355319</v>
      </c>
      <c r="E816" s="2270">
        <f t="shared" si="222"/>
        <v>0</v>
      </c>
      <c r="F816" s="2270">
        <f t="shared" si="223"/>
        <v>1708.8434999999999</v>
      </c>
      <c r="G816" s="2479">
        <f t="shared" ca="1" si="224"/>
        <v>3149.2250160240442</v>
      </c>
      <c r="H816" s="2270">
        <f t="shared" ca="1" si="231"/>
        <v>0</v>
      </c>
      <c r="I816" s="2479">
        <f t="shared" ca="1" si="225"/>
        <v>3149.2250160240442</v>
      </c>
      <c r="J816" s="2270">
        <f t="shared" ca="1" si="232"/>
        <v>840.00000000000011</v>
      </c>
      <c r="K816" s="2270">
        <f t="shared" ca="1" si="233"/>
        <v>2309.2250160240442</v>
      </c>
      <c r="L816" s="2270">
        <v>0</v>
      </c>
      <c r="M816" s="2270">
        <f t="shared" ca="1" si="226"/>
        <v>0</v>
      </c>
      <c r="N816" s="2479">
        <f t="shared" ca="1" si="227"/>
        <v>3149.2250160240442</v>
      </c>
      <c r="O816" s="2270">
        <f t="shared" ca="1" si="234"/>
        <v>0</v>
      </c>
      <c r="P816" s="2270">
        <f t="shared" ca="1" si="235"/>
        <v>12427.528041697253</v>
      </c>
      <c r="Q816" s="2270">
        <f t="shared" ca="1" si="228"/>
        <v>0</v>
      </c>
      <c r="R816" s="2234">
        <f t="shared" ca="1" si="229"/>
        <v>38.775989331274396</v>
      </c>
      <c r="S816" s="2234">
        <f t="shared" si="230"/>
        <v>175.00000000000003</v>
      </c>
    </row>
    <row r="817" spans="2:19">
      <c r="B817" s="2234">
        <v>14</v>
      </c>
      <c r="C817" s="2675">
        <f t="shared" si="220"/>
        <v>48883</v>
      </c>
      <c r="D817" s="2270">
        <f t="shared" ca="1" si="221"/>
        <v>1557.3639371801466</v>
      </c>
      <c r="E817" s="2270">
        <f t="shared" si="222"/>
        <v>0</v>
      </c>
      <c r="F817" s="2270">
        <f t="shared" si="223"/>
        <v>1708.8434999999999</v>
      </c>
      <c r="G817" s="2479">
        <f t="shared" ca="1" si="224"/>
        <v>3389.3038922286664</v>
      </c>
      <c r="H817" s="2270">
        <f t="shared" ca="1" si="231"/>
        <v>0</v>
      </c>
      <c r="I817" s="2479">
        <f t="shared" ca="1" si="225"/>
        <v>3389.3038922286664</v>
      </c>
      <c r="J817" s="2270">
        <f t="shared" ca="1" si="232"/>
        <v>840.00000000000011</v>
      </c>
      <c r="K817" s="2270">
        <f t="shared" ca="1" si="233"/>
        <v>2549.3038922286664</v>
      </c>
      <c r="L817" s="2270">
        <v>0</v>
      </c>
      <c r="M817" s="2270">
        <f t="shared" ca="1" si="226"/>
        <v>0</v>
      </c>
      <c r="N817" s="2479">
        <f t="shared" ca="1" si="227"/>
        <v>3389.3038922286664</v>
      </c>
      <c r="O817" s="2270">
        <f t="shared" ca="1" si="234"/>
        <v>0</v>
      </c>
      <c r="P817" s="2270">
        <f t="shared" ca="1" si="235"/>
        <v>11753.224149468586</v>
      </c>
      <c r="Q817" s="2270">
        <f t="shared" ca="1" si="228"/>
        <v>0</v>
      </c>
      <c r="R817" s="2234">
        <f t="shared" ca="1" si="229"/>
        <v>51.903544951479816</v>
      </c>
      <c r="S817" s="2234">
        <f t="shared" si="230"/>
        <v>175.00000000000003</v>
      </c>
    </row>
    <row r="818" spans="2:19">
      <c r="B818" s="2234">
        <v>15</v>
      </c>
      <c r="C818" s="2675">
        <f t="shared" si="220"/>
        <v>49064</v>
      </c>
      <c r="D818" s="2270">
        <f t="shared" ca="1" si="221"/>
        <v>1546.9189850728962</v>
      </c>
      <c r="E818" s="2270">
        <f t="shared" si="222"/>
        <v>0</v>
      </c>
      <c r="F818" s="2270">
        <f t="shared" si="223"/>
        <v>1708.8434999999999</v>
      </c>
      <c r="G818" s="2479">
        <f t="shared" ca="1" si="224"/>
        <v>3375.1100758641783</v>
      </c>
      <c r="H818" s="2270">
        <f t="shared" ca="1" si="231"/>
        <v>0</v>
      </c>
      <c r="I818" s="2479">
        <f t="shared" ca="1" si="225"/>
        <v>3375.1100758641783</v>
      </c>
      <c r="J818" s="2270">
        <f t="shared" ca="1" si="232"/>
        <v>840.00000000000011</v>
      </c>
      <c r="K818" s="2270">
        <f t="shared" ca="1" si="233"/>
        <v>2535.1100758641783</v>
      </c>
      <c r="L818" s="2270">
        <v>0</v>
      </c>
      <c r="M818" s="2270">
        <f t="shared" ca="1" si="226"/>
        <v>0</v>
      </c>
      <c r="N818" s="2479">
        <f t="shared" ca="1" si="227"/>
        <v>3375.1100758641783</v>
      </c>
      <c r="O818" s="2270">
        <f t="shared" ca="1" si="234"/>
        <v>0</v>
      </c>
      <c r="P818" s="2270">
        <f t="shared" ca="1" si="235"/>
        <v>11093.114073604407</v>
      </c>
      <c r="Q818" s="2270">
        <f t="shared" ca="1" si="228"/>
        <v>0</v>
      </c>
      <c r="R818" s="2234">
        <f t="shared" ca="1" si="229"/>
        <v>55.652409208718034</v>
      </c>
      <c r="S818" s="2234">
        <f t="shared" si="230"/>
        <v>175.00000000000003</v>
      </c>
    </row>
    <row r="819" spans="2:19">
      <c r="B819" s="2234">
        <v>16</v>
      </c>
      <c r="C819" s="2675">
        <f t="shared" si="220"/>
        <v>49248</v>
      </c>
      <c r="D819" s="2270">
        <f t="shared" ca="1" si="221"/>
        <v>900.51840536560303</v>
      </c>
      <c r="E819" s="2270">
        <f t="shared" si="222"/>
        <v>0</v>
      </c>
      <c r="F819" s="2270">
        <f t="shared" si="223"/>
        <v>1708.8434999999999</v>
      </c>
      <c r="G819" s="2479">
        <f t="shared" ca="1" si="224"/>
        <v>2722.7026972966119</v>
      </c>
      <c r="H819" s="2270">
        <f t="shared" ca="1" si="231"/>
        <v>0</v>
      </c>
      <c r="I819" s="2479">
        <f t="shared" ca="1" si="225"/>
        <v>2722.7026972966119</v>
      </c>
      <c r="J819" s="2270">
        <f t="shared" ca="1" si="232"/>
        <v>840.00000000000011</v>
      </c>
      <c r="K819" s="2270">
        <f t="shared" ca="1" si="233"/>
        <v>1882.7026972966119</v>
      </c>
      <c r="L819" s="2270">
        <v>0</v>
      </c>
      <c r="M819" s="2270">
        <f t="shared" ca="1" si="226"/>
        <v>0</v>
      </c>
      <c r="N819" s="2479">
        <f t="shared" ca="1" si="227"/>
        <v>2722.7026972966119</v>
      </c>
      <c r="O819" s="2270">
        <f t="shared" ca="1" si="234"/>
        <v>0</v>
      </c>
      <c r="P819" s="2270">
        <f t="shared" ca="1" si="235"/>
        <v>11085.411376307795</v>
      </c>
      <c r="Q819" s="2270">
        <f t="shared" ca="1" si="228"/>
        <v>0</v>
      </c>
      <c r="R819" s="2234">
        <f t="shared" ca="1" si="229"/>
        <v>61.659208068991326</v>
      </c>
      <c r="S819" s="2234">
        <f t="shared" si="230"/>
        <v>175.00000000000003</v>
      </c>
    </row>
    <row r="820" spans="2:19">
      <c r="B820" s="2234">
        <v>17</v>
      </c>
      <c r="C820" s="2675">
        <f t="shared" si="220"/>
        <v>49429</v>
      </c>
      <c r="D820" s="2270">
        <f t="shared" ca="1" si="221"/>
        <v>1598.5617119484518</v>
      </c>
      <c r="E820" s="2270">
        <f t="shared" si="222"/>
        <v>0</v>
      </c>
      <c r="F820" s="2270">
        <f t="shared" si="223"/>
        <v>1708.8434999999999</v>
      </c>
      <c r="G820" s="2479">
        <f t="shared" ca="1" si="224"/>
        <v>3419.0479855807284</v>
      </c>
      <c r="H820" s="2270">
        <f t="shared" ca="1" si="231"/>
        <v>0</v>
      </c>
      <c r="I820" s="2479">
        <f t="shared" ca="1" si="225"/>
        <v>3419.0479855807284</v>
      </c>
      <c r="J820" s="2270">
        <f t="shared" ca="1" si="232"/>
        <v>840.00000000000011</v>
      </c>
      <c r="K820" s="2270">
        <f t="shared" ca="1" si="233"/>
        <v>2579.0479855807284</v>
      </c>
      <c r="L820" s="2270">
        <v>0</v>
      </c>
      <c r="M820" s="2270">
        <f t="shared" ca="1" si="226"/>
        <v>0</v>
      </c>
      <c r="N820" s="2479">
        <f t="shared" ca="1" si="227"/>
        <v>3419.0479855807284</v>
      </c>
      <c r="O820" s="2270">
        <f t="shared" ca="1" si="234"/>
        <v>0</v>
      </c>
      <c r="P820" s="2270">
        <f t="shared" ca="1" si="235"/>
        <v>10381.363390727067</v>
      </c>
      <c r="Q820" s="2270">
        <f t="shared" ca="1" si="228"/>
        <v>0</v>
      </c>
      <c r="R820" s="2234">
        <f t="shared" ca="1" si="229"/>
        <v>63.357226367723371</v>
      </c>
      <c r="S820" s="2234">
        <f t="shared" si="230"/>
        <v>175.00000000000003</v>
      </c>
    </row>
    <row r="821" spans="2:19">
      <c r="B821" s="2234">
        <v>18</v>
      </c>
      <c r="C821" s="2675">
        <f t="shared" si="220"/>
        <v>49613</v>
      </c>
      <c r="D821" s="2270">
        <f t="shared" ca="1" si="221"/>
        <v>1832.2181520488134</v>
      </c>
      <c r="E821" s="2270">
        <f t="shared" si="222"/>
        <v>0</v>
      </c>
      <c r="F821" s="2270">
        <f t="shared" si="223"/>
        <v>1708.8434999999999</v>
      </c>
      <c r="G821" s="2479">
        <f t="shared" ca="1" si="224"/>
        <v>3634.3763884551086</v>
      </c>
      <c r="H821" s="2270">
        <f t="shared" ca="1" si="231"/>
        <v>0</v>
      </c>
      <c r="I821" s="2479">
        <f t="shared" ca="1" si="225"/>
        <v>3634.3763884551086</v>
      </c>
      <c r="J821" s="2270">
        <f t="shared" ca="1" si="232"/>
        <v>840.00000000000011</v>
      </c>
      <c r="K821" s="2270">
        <f t="shared" ca="1" si="233"/>
        <v>2794.3763884551086</v>
      </c>
      <c r="L821" s="2270">
        <v>0</v>
      </c>
      <c r="M821" s="2270">
        <f t="shared" ca="1" si="226"/>
        <v>0</v>
      </c>
      <c r="N821" s="2479">
        <f t="shared" ca="1" si="227"/>
        <v>3634.3763884551086</v>
      </c>
      <c r="O821" s="2270">
        <f t="shared" ca="1" si="234"/>
        <v>0</v>
      </c>
      <c r="P821" s="2270">
        <f t="shared" ca="1" si="235"/>
        <v>9461.9870022719588</v>
      </c>
      <c r="Q821" s="2270">
        <f t="shared" ca="1" si="228"/>
        <v>0</v>
      </c>
      <c r="R821" s="2234">
        <f t="shared" ca="1" si="229"/>
        <v>81.685263593704832</v>
      </c>
      <c r="S821" s="2234">
        <f t="shared" si="230"/>
        <v>175.00000000000003</v>
      </c>
    </row>
    <row r="822" spans="2:19">
      <c r="B822" s="2234">
        <v>19</v>
      </c>
      <c r="C822" s="2675">
        <f t="shared" si="220"/>
        <v>49795</v>
      </c>
      <c r="D822" s="2270">
        <f t="shared" ca="1" si="221"/>
        <v>1952.8341585005446</v>
      </c>
      <c r="E822" s="2270">
        <f t="shared" si="222"/>
        <v>0</v>
      </c>
      <c r="F822" s="2270">
        <f t="shared" si="223"/>
        <v>1708.8434999999999</v>
      </c>
      <c r="G822" s="2479">
        <f t="shared" ca="1" si="224"/>
        <v>3745.8529526719562</v>
      </c>
      <c r="H822" s="2270">
        <f t="shared" ca="1" si="231"/>
        <v>0</v>
      </c>
      <c r="I822" s="2479">
        <f t="shared" ca="1" si="225"/>
        <v>3745.8529526719562</v>
      </c>
      <c r="J822" s="2270">
        <f t="shared" ca="1" si="232"/>
        <v>840.00000000000011</v>
      </c>
      <c r="K822" s="2270">
        <f t="shared" ca="1" si="233"/>
        <v>2905.8529526719562</v>
      </c>
      <c r="L822" s="2270">
        <v>0</v>
      </c>
      <c r="M822" s="2270">
        <f t="shared" ca="1" si="226"/>
        <v>0</v>
      </c>
      <c r="N822" s="2479">
        <f t="shared" ca="1" si="227"/>
        <v>3745.8529526719562</v>
      </c>
      <c r="O822" s="2270">
        <f t="shared" ca="1" si="234"/>
        <v>0</v>
      </c>
      <c r="P822" s="2270">
        <f t="shared" ca="1" si="235"/>
        <v>8431.134049600003</v>
      </c>
      <c r="Q822" s="2270">
        <f t="shared" ca="1" si="228"/>
        <v>0</v>
      </c>
      <c r="R822" s="2234">
        <f t="shared" ca="1" si="229"/>
        <v>90.824705828588364</v>
      </c>
      <c r="S822" s="2234">
        <f t="shared" si="230"/>
        <v>175.00000000000003</v>
      </c>
    </row>
    <row r="823" spans="2:19">
      <c r="B823" s="2672">
        <v>20</v>
      </c>
      <c r="C823" s="2676">
        <f t="shared" si="220"/>
        <v>49979</v>
      </c>
      <c r="D823" s="2475">
        <f t="shared" ca="1" si="221"/>
        <v>107002.1234962336</v>
      </c>
      <c r="E823" s="2475">
        <f t="shared" si="222"/>
        <v>104898.69804531735</v>
      </c>
      <c r="F823" s="2475">
        <f t="shared" si="223"/>
        <v>1708.8434999999999</v>
      </c>
      <c r="G823" s="2480">
        <f t="shared" ca="1" si="224"/>
        <v>3872.3726921172752</v>
      </c>
      <c r="H823" s="2475">
        <f t="shared" ca="1" si="231"/>
        <v>0</v>
      </c>
      <c r="I823" s="2480">
        <f t="shared" ca="1" si="225"/>
        <v>3872.3726921172752</v>
      </c>
      <c r="J823" s="2475">
        <f t="shared" ca="1" si="232"/>
        <v>840.00000000000011</v>
      </c>
      <c r="K823" s="2475">
        <f t="shared" ca="1" si="233"/>
        <v>3032.3726921172752</v>
      </c>
      <c r="L823" s="2475">
        <v>0</v>
      </c>
      <c r="M823" s="2475">
        <f t="shared" ca="1" si="226"/>
        <v>0</v>
      </c>
      <c r="N823" s="2480">
        <f t="shared" ca="1" si="227"/>
        <v>3872.3726921172752</v>
      </c>
      <c r="O823" s="2475">
        <f t="shared" ca="1" si="234"/>
        <v>0</v>
      </c>
      <c r="P823" s="2475">
        <f t="shared" ca="1" si="235"/>
        <v>7273.7613574827283</v>
      </c>
      <c r="Q823" s="2475">
        <f t="shared" ca="1" si="228"/>
        <v>0</v>
      </c>
      <c r="R823" s="2234">
        <f t="shared" ca="1" si="229"/>
        <v>114.89625879898119</v>
      </c>
      <c r="S823" s="2234">
        <f t="shared" si="230"/>
        <v>175.00000000000003</v>
      </c>
    </row>
    <row r="824" spans="2:19">
      <c r="B824" s="2677" t="s">
        <v>1774</v>
      </c>
      <c r="C824" s="2678"/>
      <c r="D824" s="2679">
        <f ca="1">SUM(D804:D823)</f>
        <v>115985.53477444092</v>
      </c>
      <c r="E824" s="2679">
        <f>SUM(E804:E823)</f>
        <v>104898.69804531735</v>
      </c>
      <c r="F824" s="2679">
        <f>SUM(F804:F823)</f>
        <v>34176.869999999988</v>
      </c>
      <c r="G824" s="2680">
        <f ca="1">SUM(G804:G823)</f>
        <v>47026.238642517281</v>
      </c>
      <c r="H824" s="2679"/>
      <c r="I824" s="2680"/>
      <c r="J824" s="2679">
        <f ca="1">SUM(J804:J823)</f>
        <v>16800.000000000004</v>
      </c>
      <c r="K824" s="2679">
        <f ca="1">SUM(K804:K823)</f>
        <v>30226.238642517274</v>
      </c>
      <c r="L824" s="2679">
        <f>SUM(L804:L823)</f>
        <v>0</v>
      </c>
      <c r="M824" s="2679">
        <f ca="1">SUM(M804:M823)</f>
        <v>0</v>
      </c>
      <c r="N824" s="2680">
        <f ca="1">SUM(N804:N823)</f>
        <v>47026.238642517281</v>
      </c>
      <c r="O824" s="2681"/>
      <c r="P824" s="2681"/>
      <c r="Q824" s="2681"/>
      <c r="R824" s="2234">
        <f ca="1">SUM(R804:R823)</f>
        <v>1737.468086606299</v>
      </c>
      <c r="S824" s="2234">
        <f>SUM(S804:S823)</f>
        <v>3500.0000000000005</v>
      </c>
    </row>
    <row r="825" spans="2:19">
      <c r="G825" s="2270">
        <f ca="1">C708</f>
        <v>45263.706729123565</v>
      </c>
    </row>
    <row r="826" spans="2:19">
      <c r="B826" s="2234" t="s">
        <v>1775</v>
      </c>
      <c r="G826" s="2496" t="b">
        <f ca="1">G824=G825</f>
        <v>0</v>
      </c>
      <c r="J826" s="2420">
        <f ca="1">J824/24000/10</f>
        <v>7.0000000000000021E-2</v>
      </c>
      <c r="K826" s="2420">
        <f ca="1">K824/50000/10</f>
        <v>6.0452477285034542E-2</v>
      </c>
      <c r="L826" s="2420">
        <v>0</v>
      </c>
      <c r="M826" s="2420">
        <f ca="1">M824/14400/10</f>
        <v>0</v>
      </c>
      <c r="N826" s="2420">
        <f ca="1">N824/98400/10</f>
        <v>4.7790892929387478E-2</v>
      </c>
    </row>
    <row r="828" spans="2:19">
      <c r="B828" s="2234" t="s">
        <v>1776</v>
      </c>
      <c r="J828" s="2474">
        <f ca="1">-SUMIFS('CF(M)'!$L$98:$EQ$98,'CF(M)'!$L$4:$EQ$4,"&gt;"&amp;$D$674,'CF(M)'!$L$4:$EQ$4,"&lt;="&amp;$X$674)/1000</f>
        <v>16800.000000000004</v>
      </c>
      <c r="K828" s="2474">
        <f ca="1">-SUMIFS('CF(M)'!$L$103:$EQ$103,'CF(M)'!$L$4:$EQ$4,"&gt;"&amp;$D$674,'CF(M)'!$L$4:$EQ$4,"&lt;="&amp;$X$674)/1000</f>
        <v>37500</v>
      </c>
      <c r="L828" s="2474">
        <f>-SUMIFS('CF(M)'!$L$108:$EQ$108,'CF(M)'!$L$4:$EQ$4,"&gt;"&amp;$D$674,'CF(M)'!$L$4:$EQ$4,"&lt;="&amp;$X$674)/1000</f>
        <v>0</v>
      </c>
      <c r="M828" s="2474">
        <f ca="1">-SUMIFS('CF(M)'!$L$113:$EQ$113,'CF(M)'!$L$4:$EQ$4,"&gt;"&amp;$D$674,'CF(M)'!$L$4:$EQ$4,"&lt;="&amp;$X$674)/1000</f>
        <v>1110</v>
      </c>
      <c r="N828" s="2474">
        <f ca="1">SUM(J828:M828)</f>
        <v>55410</v>
      </c>
    </row>
    <row r="829" spans="2:19">
      <c r="B829" s="2671" t="s">
        <v>1777</v>
      </c>
      <c r="C829" s="2671"/>
      <c r="D829" s="2671"/>
      <c r="E829" s="2671"/>
      <c r="F829" s="2671"/>
      <c r="G829" s="2671"/>
      <c r="H829" s="2671"/>
      <c r="I829" s="2671"/>
      <c r="J829" s="2474">
        <f ca="1">J828-J824</f>
        <v>0</v>
      </c>
      <c r="K829" s="2474">
        <f ca="1">K828-K824</f>
        <v>7273.7613574827265</v>
      </c>
      <c r="L829" s="2474">
        <v>0</v>
      </c>
      <c r="M829" s="2474">
        <f ca="1">M828-M824</f>
        <v>1110</v>
      </c>
      <c r="N829" s="2474">
        <f ca="1">N828-N824</f>
        <v>8383.7613574827192</v>
      </c>
    </row>
    <row r="830" spans="2:19">
      <c r="B830" s="2234" t="s">
        <v>1778</v>
      </c>
    </row>
    <row r="831" spans="2:19">
      <c r="B831" s="2234" t="s">
        <v>1779</v>
      </c>
      <c r="C831" s="2270">
        <f>24000*7%/2</f>
        <v>840.00000000000011</v>
      </c>
    </row>
    <row r="832" spans="2:19">
      <c r="B832" s="2234" t="s">
        <v>1780</v>
      </c>
      <c r="C832" s="2270">
        <f>50000*7.5%/2</f>
        <v>1875</v>
      </c>
    </row>
    <row r="833" spans="2:13">
      <c r="B833" s="2234" t="s">
        <v>1784</v>
      </c>
      <c r="C833" s="2234">
        <f>'A&amp;R'!T12/1000</f>
        <v>10000</v>
      </c>
    </row>
    <row r="834" spans="2:13">
      <c r="B834" s="2234" t="s">
        <v>1785</v>
      </c>
      <c r="C834" s="2420">
        <f>'IS(M)'!J44</f>
        <v>3.5000000000000003E-2</v>
      </c>
    </row>
    <row r="835" spans="2:13">
      <c r="B835" s="2234" t="s">
        <v>1836</v>
      </c>
      <c r="C835" s="2234">
        <v>1</v>
      </c>
    </row>
    <row r="836" spans="2:13">
      <c r="B836" s="2671" t="s">
        <v>1786</v>
      </c>
    </row>
    <row r="837" spans="2:13">
      <c r="B837" s="2696" t="s">
        <v>1787</v>
      </c>
      <c r="C837" s="2696" t="s">
        <v>1788</v>
      </c>
      <c r="D837" s="2696" t="s">
        <v>1789</v>
      </c>
      <c r="E837" s="2696"/>
      <c r="F837" s="2696" t="s">
        <v>1790</v>
      </c>
      <c r="G837" s="2696"/>
      <c r="H837" s="2696" t="s">
        <v>1791</v>
      </c>
      <c r="I837" s="2696"/>
      <c r="J837" s="2696" t="s">
        <v>225</v>
      </c>
      <c r="K837" s="2696"/>
      <c r="L837" s="2696" t="s">
        <v>1792</v>
      </c>
      <c r="M837" s="2696"/>
    </row>
    <row r="838" spans="2:13">
      <c r="B838" s="2697"/>
      <c r="C838" s="2697"/>
      <c r="D838" s="2697" t="s">
        <v>1793</v>
      </c>
      <c r="E838" s="2697" t="s">
        <v>1794</v>
      </c>
      <c r="F838" s="2697" t="s">
        <v>1793</v>
      </c>
      <c r="G838" s="2697" t="s">
        <v>1794</v>
      </c>
      <c r="H838" s="2697" t="s">
        <v>1793</v>
      </c>
      <c r="I838" s="2697" t="s">
        <v>1794</v>
      </c>
      <c r="J838" s="2697" t="s">
        <v>1793</v>
      </c>
      <c r="K838" s="2697" t="s">
        <v>1794</v>
      </c>
      <c r="L838" s="2697" t="s">
        <v>1793</v>
      </c>
      <c r="M838" s="2697" t="s">
        <v>1794</v>
      </c>
    </row>
    <row r="839" spans="2:13">
      <c r="B839" s="2234" t="s">
        <v>1795</v>
      </c>
      <c r="C839" s="2682">
        <f t="shared" ref="C839:C858" si="236">C804</f>
        <v>46507</v>
      </c>
      <c r="D839" s="2683">
        <f t="shared" ref="D839:D858" ca="1" si="237">J804</f>
        <v>840.00000000000011</v>
      </c>
      <c r="E839" s="2420">
        <f t="shared" ref="E839:E858" ca="1" si="238">D839/24000*2</f>
        <v>7.0000000000000007E-2</v>
      </c>
      <c r="F839" s="2683">
        <f t="shared" ref="F839:F858" ca="1" si="239">K804</f>
        <v>173.08955217138612</v>
      </c>
      <c r="G839" s="2420">
        <f t="shared" ref="G839:G858" ca="1" si="240">F839/50000*2</f>
        <v>6.9235820868554449E-3</v>
      </c>
      <c r="H839" s="2683">
        <f t="shared" ref="H839:H858" si="241">L804</f>
        <v>0</v>
      </c>
      <c r="I839" s="2420">
        <f t="shared" ref="I839:I858" si="242">H839/10000*2</f>
        <v>0</v>
      </c>
      <c r="J839" s="2683">
        <f t="shared" ref="J839:J858" ca="1" si="243">M804</f>
        <v>0</v>
      </c>
      <c r="K839" s="2420">
        <f t="shared" ref="K839:K858" ca="1" si="244">J839/14400*2</f>
        <v>0</v>
      </c>
      <c r="L839" s="2683">
        <f t="shared" ref="L839:L858" ca="1" si="245">D839+F839+H839+J839</f>
        <v>1013.0895521713862</v>
      </c>
      <c r="M839" s="2420">
        <f t="shared" ref="M839:M858" ca="1" si="246">L839/98400*2</f>
        <v>2.0591251060394028E-2</v>
      </c>
    </row>
    <row r="840" spans="2:13">
      <c r="B840" s="2234" t="s">
        <v>1796</v>
      </c>
      <c r="C840" s="2682">
        <f t="shared" si="236"/>
        <v>46691</v>
      </c>
      <c r="D840" s="2683">
        <f t="shared" ca="1" si="237"/>
        <v>840.00000000000011</v>
      </c>
      <c r="E840" s="2420">
        <f t="shared" ca="1" si="238"/>
        <v>7.0000000000000007E-2</v>
      </c>
      <c r="F840" s="2683">
        <f t="shared" ca="1" si="239"/>
        <v>737.05605536065298</v>
      </c>
      <c r="G840" s="2420">
        <f t="shared" ca="1" si="240"/>
        <v>2.9482242214426118E-2</v>
      </c>
      <c r="H840" s="2683">
        <f t="shared" si="241"/>
        <v>0</v>
      </c>
      <c r="I840" s="2420">
        <f t="shared" si="242"/>
        <v>0</v>
      </c>
      <c r="J840" s="2683">
        <f t="shared" ca="1" si="243"/>
        <v>0</v>
      </c>
      <c r="K840" s="2420">
        <f t="shared" ca="1" si="244"/>
        <v>0</v>
      </c>
      <c r="L840" s="2683">
        <f t="shared" ca="1" si="245"/>
        <v>1577.0560553606531</v>
      </c>
      <c r="M840" s="2420">
        <f t="shared" ca="1" si="246"/>
        <v>3.2053984865053925E-2</v>
      </c>
    </row>
    <row r="841" spans="2:13">
      <c r="B841" s="2234" t="s">
        <v>1797</v>
      </c>
      <c r="C841" s="2682">
        <f t="shared" si="236"/>
        <v>46873</v>
      </c>
      <c r="D841" s="2683">
        <f t="shared" ca="1" si="237"/>
        <v>840.00000000000011</v>
      </c>
      <c r="E841" s="2420">
        <f t="shared" ca="1" si="238"/>
        <v>7.0000000000000007E-2</v>
      </c>
      <c r="F841" s="2683">
        <f t="shared" ca="1" si="239"/>
        <v>495.30877757587643</v>
      </c>
      <c r="G841" s="2420">
        <f t="shared" ca="1" si="240"/>
        <v>1.9812351103035059E-2</v>
      </c>
      <c r="H841" s="2683">
        <f t="shared" si="241"/>
        <v>0</v>
      </c>
      <c r="I841" s="2420">
        <f t="shared" si="242"/>
        <v>0</v>
      </c>
      <c r="J841" s="2683">
        <f t="shared" ca="1" si="243"/>
        <v>0</v>
      </c>
      <c r="K841" s="2420">
        <f t="shared" ca="1" si="244"/>
        <v>0</v>
      </c>
      <c r="L841" s="2683">
        <f t="shared" ca="1" si="245"/>
        <v>1335.3087775758765</v>
      </c>
      <c r="M841" s="2420">
        <f t="shared" ca="1" si="246"/>
        <v>2.7140422308452775E-2</v>
      </c>
    </row>
    <row r="842" spans="2:13">
      <c r="B842" s="2234" t="s">
        <v>1798</v>
      </c>
      <c r="C842" s="2682">
        <f t="shared" si="236"/>
        <v>47057</v>
      </c>
      <c r="D842" s="2683">
        <f t="shared" ca="1" si="237"/>
        <v>840.00000000000011</v>
      </c>
      <c r="E842" s="2420">
        <f t="shared" ca="1" si="238"/>
        <v>7.0000000000000007E-2</v>
      </c>
      <c r="F842" s="2683">
        <f t="shared" ca="1" si="239"/>
        <v>913.97576741780097</v>
      </c>
      <c r="G842" s="2420">
        <f t="shared" ca="1" si="240"/>
        <v>3.6559030696712042E-2</v>
      </c>
      <c r="H842" s="2683">
        <f t="shared" si="241"/>
        <v>0</v>
      </c>
      <c r="I842" s="2420">
        <f t="shared" si="242"/>
        <v>0</v>
      </c>
      <c r="J842" s="2683">
        <f t="shared" ca="1" si="243"/>
        <v>0</v>
      </c>
      <c r="K842" s="2420">
        <f t="shared" ca="1" si="244"/>
        <v>0</v>
      </c>
      <c r="L842" s="2683">
        <f t="shared" ca="1" si="245"/>
        <v>1753.9757674178011</v>
      </c>
      <c r="M842" s="2420">
        <f t="shared" ca="1" si="246"/>
        <v>3.5649913971906526E-2</v>
      </c>
    </row>
    <row r="843" spans="2:13">
      <c r="B843" s="2234" t="s">
        <v>1799</v>
      </c>
      <c r="C843" s="2682">
        <f t="shared" si="236"/>
        <v>47238</v>
      </c>
      <c r="D843" s="2683">
        <f t="shared" ca="1" si="237"/>
        <v>840.00000000000011</v>
      </c>
      <c r="E843" s="2420">
        <f t="shared" ca="1" si="238"/>
        <v>7.0000000000000007E-2</v>
      </c>
      <c r="F843" s="2683">
        <f t="shared" ca="1" si="239"/>
        <v>855.46757322157157</v>
      </c>
      <c r="G843" s="2420">
        <f t="shared" ca="1" si="240"/>
        <v>3.4218702928862865E-2</v>
      </c>
      <c r="H843" s="2683">
        <f t="shared" si="241"/>
        <v>0</v>
      </c>
      <c r="I843" s="2420">
        <f t="shared" si="242"/>
        <v>0</v>
      </c>
      <c r="J843" s="2683">
        <f t="shared" ca="1" si="243"/>
        <v>0</v>
      </c>
      <c r="K843" s="2420">
        <f t="shared" ca="1" si="244"/>
        <v>0</v>
      </c>
      <c r="L843" s="2683">
        <f t="shared" ca="1" si="245"/>
        <v>1695.4675732215717</v>
      </c>
      <c r="M843" s="2420">
        <f t="shared" ca="1" si="246"/>
        <v>3.4460723032958773E-2</v>
      </c>
    </row>
    <row r="844" spans="2:13">
      <c r="B844" s="2234" t="s">
        <v>1800</v>
      </c>
      <c r="C844" s="2682">
        <f t="shared" si="236"/>
        <v>47422</v>
      </c>
      <c r="D844" s="2683">
        <f t="shared" ca="1" si="237"/>
        <v>0</v>
      </c>
      <c r="E844" s="2420">
        <f t="shared" ca="1" si="238"/>
        <v>0</v>
      </c>
      <c r="F844" s="2683">
        <f t="shared" ca="1" si="239"/>
        <v>0</v>
      </c>
      <c r="G844" s="2420">
        <f t="shared" ca="1" si="240"/>
        <v>0</v>
      </c>
      <c r="H844" s="2683">
        <f t="shared" si="241"/>
        <v>0</v>
      </c>
      <c r="I844" s="2420">
        <f t="shared" si="242"/>
        <v>0</v>
      </c>
      <c r="J844" s="2683">
        <f t="shared" ca="1" si="243"/>
        <v>0</v>
      </c>
      <c r="K844" s="2420">
        <f t="shared" ca="1" si="244"/>
        <v>0</v>
      </c>
      <c r="L844" s="2683">
        <f t="shared" ca="1" si="245"/>
        <v>0</v>
      </c>
      <c r="M844" s="2420">
        <f t="shared" ca="1" si="246"/>
        <v>0</v>
      </c>
    </row>
    <row r="845" spans="2:13">
      <c r="B845" s="2234" t="s">
        <v>1801</v>
      </c>
      <c r="C845" s="2682">
        <f t="shared" si="236"/>
        <v>47603</v>
      </c>
      <c r="D845" s="2683">
        <f t="shared" ca="1" si="237"/>
        <v>0</v>
      </c>
      <c r="E845" s="2420">
        <f t="shared" ca="1" si="238"/>
        <v>0</v>
      </c>
      <c r="F845" s="2683">
        <f t="shared" ca="1" si="239"/>
        <v>0</v>
      </c>
      <c r="G845" s="2420">
        <f t="shared" ca="1" si="240"/>
        <v>0</v>
      </c>
      <c r="H845" s="2683">
        <f t="shared" si="241"/>
        <v>0</v>
      </c>
      <c r="I845" s="2420">
        <f t="shared" si="242"/>
        <v>0</v>
      </c>
      <c r="J845" s="2683">
        <f t="shared" ca="1" si="243"/>
        <v>0</v>
      </c>
      <c r="K845" s="2420">
        <f t="shared" ca="1" si="244"/>
        <v>0</v>
      </c>
      <c r="L845" s="2683">
        <f t="shared" ca="1" si="245"/>
        <v>0</v>
      </c>
      <c r="M845" s="2420">
        <f t="shared" ca="1" si="246"/>
        <v>0</v>
      </c>
    </row>
    <row r="846" spans="2:13">
      <c r="B846" s="2234" t="s">
        <v>1802</v>
      </c>
      <c r="C846" s="2682">
        <f t="shared" si="236"/>
        <v>47787</v>
      </c>
      <c r="D846" s="2683">
        <f t="shared" ca="1" si="237"/>
        <v>1236.9213949651844</v>
      </c>
      <c r="E846" s="2420">
        <f t="shared" ca="1" si="238"/>
        <v>0.10307678291376536</v>
      </c>
      <c r="F846" s="2683">
        <f t="shared" ca="1" si="239"/>
        <v>0</v>
      </c>
      <c r="G846" s="2420">
        <f t="shared" ca="1" si="240"/>
        <v>0</v>
      </c>
      <c r="H846" s="2683">
        <f t="shared" si="241"/>
        <v>0</v>
      </c>
      <c r="I846" s="2420">
        <f t="shared" si="242"/>
        <v>0</v>
      </c>
      <c r="J846" s="2683">
        <f t="shared" ca="1" si="243"/>
        <v>0</v>
      </c>
      <c r="K846" s="2420">
        <f t="shared" ca="1" si="244"/>
        <v>0</v>
      </c>
      <c r="L846" s="2683">
        <f t="shared" ca="1" si="245"/>
        <v>1236.9213949651844</v>
      </c>
      <c r="M846" s="2420">
        <f t="shared" ca="1" si="246"/>
        <v>2.5140678759454967E-2</v>
      </c>
    </row>
    <row r="847" spans="2:13">
      <c r="B847" s="2234" t="s">
        <v>1803</v>
      </c>
      <c r="C847" s="2682">
        <f t="shared" si="236"/>
        <v>47968</v>
      </c>
      <c r="D847" s="2683">
        <f t="shared" ca="1" si="237"/>
        <v>2123.0786050348161</v>
      </c>
      <c r="E847" s="2420">
        <f t="shared" ca="1" si="238"/>
        <v>0.17692321708623468</v>
      </c>
      <c r="F847" s="2683">
        <f t="shared" ca="1" si="239"/>
        <v>270.25664759774736</v>
      </c>
      <c r="G847" s="2420">
        <f t="shared" ca="1" si="240"/>
        <v>1.0810265903909894E-2</v>
      </c>
      <c r="H847" s="2683">
        <f t="shared" si="241"/>
        <v>0</v>
      </c>
      <c r="I847" s="2420">
        <f t="shared" si="242"/>
        <v>0</v>
      </c>
      <c r="J847" s="2683">
        <f t="shared" ca="1" si="243"/>
        <v>0</v>
      </c>
      <c r="K847" s="2420">
        <f t="shared" ca="1" si="244"/>
        <v>0</v>
      </c>
      <c r="L847" s="2683">
        <f t="shared" ca="1" si="245"/>
        <v>2393.3352526325634</v>
      </c>
      <c r="M847" s="2420">
        <f t="shared" ca="1" si="246"/>
        <v>4.8645025460011454E-2</v>
      </c>
    </row>
    <row r="848" spans="2:13">
      <c r="B848" s="2234" t="s">
        <v>1804</v>
      </c>
      <c r="C848" s="2682">
        <f t="shared" si="236"/>
        <v>48152</v>
      </c>
      <c r="D848" s="2683">
        <f t="shared" ca="1" si="237"/>
        <v>840.00000000000011</v>
      </c>
      <c r="E848" s="2420">
        <f t="shared" ca="1" si="238"/>
        <v>7.0000000000000007E-2</v>
      </c>
      <c r="F848" s="2683">
        <f t="shared" ca="1" si="239"/>
        <v>1781.8457832258955</v>
      </c>
      <c r="G848" s="2420">
        <f t="shared" ca="1" si="240"/>
        <v>7.1273831329035822E-2</v>
      </c>
      <c r="H848" s="2683">
        <f t="shared" si="241"/>
        <v>0</v>
      </c>
      <c r="I848" s="2420">
        <f t="shared" si="242"/>
        <v>0</v>
      </c>
      <c r="J848" s="2683">
        <f t="shared" ca="1" si="243"/>
        <v>0</v>
      </c>
      <c r="K848" s="2420">
        <f t="shared" ca="1" si="244"/>
        <v>0</v>
      </c>
      <c r="L848" s="2683">
        <f t="shared" ca="1" si="245"/>
        <v>2621.8457832258955</v>
      </c>
      <c r="M848" s="2420">
        <f t="shared" ca="1" si="246"/>
        <v>5.3289548439550721E-2</v>
      </c>
    </row>
    <row r="849" spans="2:13">
      <c r="B849" s="2234" t="s">
        <v>1805</v>
      </c>
      <c r="C849" s="2682">
        <f t="shared" si="236"/>
        <v>48334</v>
      </c>
      <c r="D849" s="2683">
        <f t="shared" ca="1" si="237"/>
        <v>840.00000000000011</v>
      </c>
      <c r="E849" s="2420">
        <f t="shared" ca="1" si="238"/>
        <v>7.0000000000000007E-2</v>
      </c>
      <c r="F849" s="2683">
        <f t="shared" ca="1" si="239"/>
        <v>2088.5117459248054</v>
      </c>
      <c r="G849" s="2420">
        <f t="shared" ca="1" si="240"/>
        <v>8.3540469836992218E-2</v>
      </c>
      <c r="H849" s="2683">
        <f t="shared" si="241"/>
        <v>0</v>
      </c>
      <c r="I849" s="2420">
        <f t="shared" si="242"/>
        <v>0</v>
      </c>
      <c r="J849" s="2683">
        <f t="shared" ca="1" si="243"/>
        <v>0</v>
      </c>
      <c r="K849" s="2420">
        <f t="shared" ca="1" si="244"/>
        <v>0</v>
      </c>
      <c r="L849" s="2683">
        <f t="shared" ca="1" si="245"/>
        <v>2928.5117459248054</v>
      </c>
      <c r="M849" s="2420">
        <f t="shared" ca="1" si="246"/>
        <v>5.952259646188629E-2</v>
      </c>
    </row>
    <row r="850" spans="2:13">
      <c r="B850" s="2234" t="s">
        <v>1806</v>
      </c>
      <c r="C850" s="2682">
        <f t="shared" si="236"/>
        <v>48518</v>
      </c>
      <c r="D850" s="2683">
        <f t="shared" ca="1" si="237"/>
        <v>840.00000000000011</v>
      </c>
      <c r="E850" s="2420">
        <f t="shared" ca="1" si="238"/>
        <v>7.0000000000000007E-2</v>
      </c>
      <c r="F850" s="2683">
        <f t="shared" ca="1" si="239"/>
        <v>2322.7350397829682</v>
      </c>
      <c r="G850" s="2420">
        <f t="shared" ca="1" si="240"/>
        <v>9.2909401591318733E-2</v>
      </c>
      <c r="H850" s="2683">
        <f t="shared" si="241"/>
        <v>0</v>
      </c>
      <c r="I850" s="2420">
        <f t="shared" si="242"/>
        <v>0</v>
      </c>
      <c r="J850" s="2683">
        <f t="shared" ca="1" si="243"/>
        <v>0</v>
      </c>
      <c r="K850" s="2420">
        <f t="shared" ca="1" si="244"/>
        <v>0</v>
      </c>
      <c r="L850" s="2683">
        <f t="shared" ca="1" si="245"/>
        <v>3162.7350397829682</v>
      </c>
      <c r="M850" s="2420">
        <f t="shared" ca="1" si="246"/>
        <v>6.4283232515913988E-2</v>
      </c>
    </row>
    <row r="851" spans="2:13">
      <c r="B851" s="2234" t="s">
        <v>1807</v>
      </c>
      <c r="C851" s="2682">
        <f t="shared" si="236"/>
        <v>48699</v>
      </c>
      <c r="D851" s="2683">
        <f t="shared" ca="1" si="237"/>
        <v>840.00000000000011</v>
      </c>
      <c r="E851" s="2420">
        <f t="shared" ca="1" si="238"/>
        <v>7.0000000000000007E-2</v>
      </c>
      <c r="F851" s="2683">
        <f t="shared" ca="1" si="239"/>
        <v>2309.2250160240442</v>
      </c>
      <c r="G851" s="2420">
        <f t="shared" ca="1" si="240"/>
        <v>9.2369000640961763E-2</v>
      </c>
      <c r="H851" s="2683">
        <f t="shared" si="241"/>
        <v>0</v>
      </c>
      <c r="I851" s="2420">
        <f t="shared" si="242"/>
        <v>0</v>
      </c>
      <c r="J851" s="2683">
        <f t="shared" ca="1" si="243"/>
        <v>0</v>
      </c>
      <c r="K851" s="2420">
        <f t="shared" ca="1" si="244"/>
        <v>0</v>
      </c>
      <c r="L851" s="2683">
        <f t="shared" ca="1" si="245"/>
        <v>3149.2250160240442</v>
      </c>
      <c r="M851" s="2420">
        <f t="shared" ca="1" si="246"/>
        <v>6.4008638537074072E-2</v>
      </c>
    </row>
    <row r="852" spans="2:13">
      <c r="B852" s="2234" t="s">
        <v>1808</v>
      </c>
      <c r="C852" s="2682">
        <f t="shared" si="236"/>
        <v>48883</v>
      </c>
      <c r="D852" s="2683">
        <f t="shared" ca="1" si="237"/>
        <v>840.00000000000011</v>
      </c>
      <c r="E852" s="2420">
        <f t="shared" ca="1" si="238"/>
        <v>7.0000000000000007E-2</v>
      </c>
      <c r="F852" s="2683">
        <f t="shared" ca="1" si="239"/>
        <v>2549.3038922286664</v>
      </c>
      <c r="G852" s="2420">
        <f t="shared" ca="1" si="240"/>
        <v>0.10197215568914665</v>
      </c>
      <c r="H852" s="2683">
        <f t="shared" si="241"/>
        <v>0</v>
      </c>
      <c r="I852" s="2420">
        <f t="shared" si="242"/>
        <v>0</v>
      </c>
      <c r="J852" s="2683">
        <f t="shared" ca="1" si="243"/>
        <v>0</v>
      </c>
      <c r="K852" s="2420">
        <f t="shared" ca="1" si="244"/>
        <v>0</v>
      </c>
      <c r="L852" s="2683">
        <f t="shared" ca="1" si="245"/>
        <v>3389.3038922286664</v>
      </c>
      <c r="M852" s="2420">
        <f t="shared" ca="1" si="246"/>
        <v>6.888829049245257E-2</v>
      </c>
    </row>
    <row r="853" spans="2:13">
      <c r="B853" s="2234" t="s">
        <v>1809</v>
      </c>
      <c r="C853" s="2682">
        <f t="shared" si="236"/>
        <v>49064</v>
      </c>
      <c r="D853" s="2683">
        <f t="shared" ca="1" si="237"/>
        <v>840.00000000000011</v>
      </c>
      <c r="E853" s="2420">
        <f t="shared" ca="1" si="238"/>
        <v>7.0000000000000007E-2</v>
      </c>
      <c r="F853" s="2683">
        <f t="shared" ca="1" si="239"/>
        <v>2535.1100758641783</v>
      </c>
      <c r="G853" s="2420">
        <f t="shared" ca="1" si="240"/>
        <v>0.10140440303456713</v>
      </c>
      <c r="H853" s="2683">
        <f t="shared" si="241"/>
        <v>0</v>
      </c>
      <c r="I853" s="2420">
        <f t="shared" si="242"/>
        <v>0</v>
      </c>
      <c r="J853" s="2683">
        <f t="shared" ca="1" si="243"/>
        <v>0</v>
      </c>
      <c r="K853" s="2420">
        <f t="shared" ca="1" si="244"/>
        <v>0</v>
      </c>
      <c r="L853" s="2683">
        <f t="shared" ca="1" si="245"/>
        <v>3375.1100758641783</v>
      </c>
      <c r="M853" s="2420">
        <f t="shared" ca="1" si="246"/>
        <v>6.8599798289922326E-2</v>
      </c>
    </row>
    <row r="854" spans="2:13">
      <c r="B854" s="2234" t="s">
        <v>1810</v>
      </c>
      <c r="C854" s="2682">
        <f t="shared" si="236"/>
        <v>49248</v>
      </c>
      <c r="D854" s="2683">
        <f t="shared" ca="1" si="237"/>
        <v>840.00000000000011</v>
      </c>
      <c r="E854" s="2420">
        <f t="shared" ca="1" si="238"/>
        <v>7.0000000000000007E-2</v>
      </c>
      <c r="F854" s="2683">
        <f t="shared" ca="1" si="239"/>
        <v>1882.7026972966119</v>
      </c>
      <c r="G854" s="2420">
        <f t="shared" ca="1" si="240"/>
        <v>7.530810789186447E-2</v>
      </c>
      <c r="H854" s="2683">
        <f t="shared" si="241"/>
        <v>0</v>
      </c>
      <c r="I854" s="2420">
        <f t="shared" si="242"/>
        <v>0</v>
      </c>
      <c r="J854" s="2683">
        <f t="shared" ca="1" si="243"/>
        <v>0</v>
      </c>
      <c r="K854" s="2420">
        <f t="shared" ca="1" si="244"/>
        <v>0</v>
      </c>
      <c r="L854" s="2683">
        <f t="shared" ca="1" si="245"/>
        <v>2722.7026972966119</v>
      </c>
      <c r="M854" s="2420">
        <f t="shared" ca="1" si="246"/>
        <v>5.5339485717410812E-2</v>
      </c>
    </row>
    <row r="855" spans="2:13">
      <c r="B855" s="2234" t="s">
        <v>1811</v>
      </c>
      <c r="C855" s="2682">
        <f t="shared" si="236"/>
        <v>49429</v>
      </c>
      <c r="D855" s="2683">
        <f t="shared" ca="1" si="237"/>
        <v>840.00000000000011</v>
      </c>
      <c r="E855" s="2420">
        <f t="shared" ca="1" si="238"/>
        <v>7.0000000000000007E-2</v>
      </c>
      <c r="F855" s="2683">
        <f t="shared" ca="1" si="239"/>
        <v>2579.0479855807284</v>
      </c>
      <c r="G855" s="2420">
        <f t="shared" ca="1" si="240"/>
        <v>0.10316191942322914</v>
      </c>
      <c r="H855" s="2683">
        <f t="shared" si="241"/>
        <v>0</v>
      </c>
      <c r="I855" s="2420">
        <f t="shared" si="242"/>
        <v>0</v>
      </c>
      <c r="J855" s="2683">
        <f t="shared" ca="1" si="243"/>
        <v>0</v>
      </c>
      <c r="K855" s="2420">
        <f t="shared" ca="1" si="244"/>
        <v>0</v>
      </c>
      <c r="L855" s="2683">
        <f t="shared" ca="1" si="245"/>
        <v>3419.0479855807284</v>
      </c>
      <c r="M855" s="2420">
        <f t="shared" ca="1" si="246"/>
        <v>6.9492845235380657E-2</v>
      </c>
    </row>
    <row r="856" spans="2:13">
      <c r="B856" s="2234" t="s">
        <v>1812</v>
      </c>
      <c r="C856" s="2682">
        <f t="shared" si="236"/>
        <v>49613</v>
      </c>
      <c r="D856" s="2683">
        <f t="shared" ca="1" si="237"/>
        <v>840.00000000000011</v>
      </c>
      <c r="E856" s="2420">
        <f t="shared" ca="1" si="238"/>
        <v>7.0000000000000007E-2</v>
      </c>
      <c r="F856" s="2683">
        <f t="shared" ca="1" si="239"/>
        <v>2794.3763884551086</v>
      </c>
      <c r="G856" s="2420">
        <f t="shared" ca="1" si="240"/>
        <v>0.11177505553820434</v>
      </c>
      <c r="H856" s="2683">
        <f t="shared" si="241"/>
        <v>0</v>
      </c>
      <c r="I856" s="2420">
        <f t="shared" si="242"/>
        <v>0</v>
      </c>
      <c r="J856" s="2683">
        <f t="shared" ca="1" si="243"/>
        <v>0</v>
      </c>
      <c r="K856" s="2420">
        <f t="shared" ca="1" si="244"/>
        <v>0</v>
      </c>
      <c r="L856" s="2683">
        <f t="shared" ca="1" si="245"/>
        <v>3634.3763884551086</v>
      </c>
      <c r="M856" s="2420">
        <f t="shared" ca="1" si="246"/>
        <v>7.3869438789737979E-2</v>
      </c>
    </row>
    <row r="857" spans="2:13">
      <c r="B857" s="2234" t="s">
        <v>1813</v>
      </c>
      <c r="C857" s="2682">
        <f t="shared" si="236"/>
        <v>49795</v>
      </c>
      <c r="D857" s="2683">
        <f t="shared" ca="1" si="237"/>
        <v>840.00000000000011</v>
      </c>
      <c r="E857" s="2420">
        <f t="shared" ca="1" si="238"/>
        <v>7.0000000000000007E-2</v>
      </c>
      <c r="F857" s="2683">
        <f t="shared" ca="1" si="239"/>
        <v>2905.8529526719562</v>
      </c>
      <c r="G857" s="2420">
        <f t="shared" ca="1" si="240"/>
        <v>0.11623411810687825</v>
      </c>
      <c r="H857" s="2683">
        <f t="shared" si="241"/>
        <v>0</v>
      </c>
      <c r="I857" s="2420">
        <f t="shared" si="242"/>
        <v>0</v>
      </c>
      <c r="J857" s="2683">
        <f t="shared" ca="1" si="243"/>
        <v>0</v>
      </c>
      <c r="K857" s="2420">
        <f t="shared" ca="1" si="244"/>
        <v>0</v>
      </c>
      <c r="L857" s="2683">
        <f t="shared" ca="1" si="245"/>
        <v>3745.8529526719562</v>
      </c>
      <c r="M857" s="2420">
        <f t="shared" ca="1" si="246"/>
        <v>7.613522261528366E-2</v>
      </c>
    </row>
    <row r="858" spans="2:13">
      <c r="B858" s="2234" t="s">
        <v>1814</v>
      </c>
      <c r="C858" s="2682">
        <f t="shared" si="236"/>
        <v>49979</v>
      </c>
      <c r="D858" s="2683">
        <f t="shared" ca="1" si="237"/>
        <v>840.00000000000011</v>
      </c>
      <c r="E858" s="2420">
        <f t="shared" ca="1" si="238"/>
        <v>7.0000000000000007E-2</v>
      </c>
      <c r="F858" s="2683">
        <f t="shared" ca="1" si="239"/>
        <v>3032.3726921172752</v>
      </c>
      <c r="G858" s="2420">
        <f t="shared" ca="1" si="240"/>
        <v>0.12129490768469101</v>
      </c>
      <c r="H858" s="2683">
        <f t="shared" si="241"/>
        <v>0</v>
      </c>
      <c r="I858" s="2420">
        <f t="shared" si="242"/>
        <v>0</v>
      </c>
      <c r="J858" s="2683">
        <f t="shared" ca="1" si="243"/>
        <v>0</v>
      </c>
      <c r="K858" s="2420">
        <f t="shared" ca="1" si="244"/>
        <v>0</v>
      </c>
      <c r="L858" s="2683">
        <f t="shared" ca="1" si="245"/>
        <v>3872.3726921172752</v>
      </c>
      <c r="M858" s="2420">
        <f t="shared" ca="1" si="246"/>
        <v>7.8706762034903968E-2</v>
      </c>
    </row>
    <row r="859" spans="2:13">
      <c r="B859" s="2698" t="s">
        <v>1832</v>
      </c>
      <c r="C859" s="2698" t="s">
        <v>1833</v>
      </c>
      <c r="D859" s="2699">
        <f ca="1">SUM(D839:D858)</f>
        <v>16800.000000000004</v>
      </c>
      <c r="E859" s="2700"/>
      <c r="F859" s="2699">
        <f ca="1">SUM(F839:F858)</f>
        <v>30226.238642517274</v>
      </c>
      <c r="G859" s="2700"/>
      <c r="H859" s="2699">
        <f>SUM(H839:H858)</f>
        <v>0</v>
      </c>
      <c r="I859" s="2700"/>
      <c r="J859" s="2699">
        <f ca="1">SUM(J839:J858)</f>
        <v>0</v>
      </c>
      <c r="K859" s="2700"/>
      <c r="L859" s="2699">
        <f ca="1">SUM(L839:L858)</f>
        <v>47026.238642517281</v>
      </c>
      <c r="M859" s="2700"/>
    </row>
    <row r="860" spans="2:13">
      <c r="B860" s="2671" t="s">
        <v>1834</v>
      </c>
      <c r="C860" s="2671"/>
      <c r="D860" s="2701"/>
      <c r="E860" s="2685">
        <f ca="1">D859/24000/10</f>
        <v>7.0000000000000021E-2</v>
      </c>
      <c r="F860" s="2701"/>
      <c r="G860" s="2685">
        <f ca="1">F859/50000/10</f>
        <v>6.0452477285034542E-2</v>
      </c>
      <c r="H860" s="2701"/>
      <c r="I860" s="2685">
        <f>H859/10000/10</f>
        <v>0</v>
      </c>
      <c r="J860" s="2701"/>
      <c r="K860" s="2685">
        <f ca="1">J859/14400/10</f>
        <v>0</v>
      </c>
      <c r="L860" s="2701"/>
      <c r="M860" s="2685">
        <f ca="1">L859/98400/10</f>
        <v>4.7790892929387478E-2</v>
      </c>
    </row>
    <row r="861" spans="2:13">
      <c r="B861" s="2702" t="s">
        <v>1835</v>
      </c>
      <c r="C861" s="2702"/>
      <c r="D861" s="2703"/>
      <c r="E861" s="2704">
        <f ca="1">C878</f>
        <v>7.0571103692054743E-2</v>
      </c>
      <c r="F861" s="2704"/>
      <c r="G861" s="2704">
        <f ca="1">C879</f>
        <v>5.5379799008369437E-2</v>
      </c>
      <c r="H861" s="2704"/>
      <c r="I861" s="2704">
        <f>C880</f>
        <v>2.9802322387695314E-9</v>
      </c>
      <c r="J861" s="2704"/>
      <c r="K861" s="2704">
        <f ca="1">C881</f>
        <v>2.9802322387695314E-9</v>
      </c>
      <c r="L861" s="2704"/>
      <c r="M861" s="2704">
        <f ca="1">C882</f>
        <v>4.5733383297920233E-2</v>
      </c>
    </row>
    <row r="862" spans="2:13">
      <c r="B862" s="2671"/>
      <c r="C862" s="2671"/>
      <c r="D862" s="2671"/>
      <c r="E862" s="2685"/>
      <c r="F862" s="2671"/>
      <c r="G862" s="2685"/>
      <c r="H862" s="2671"/>
      <c r="I862" s="2685"/>
      <c r="J862" s="2671"/>
      <c r="K862" s="2685"/>
      <c r="L862" s="2671"/>
      <c r="M862" s="2685"/>
    </row>
    <row r="863" spans="2:13">
      <c r="B863" s="2671"/>
      <c r="C863" s="2671"/>
      <c r="D863" s="2671"/>
      <c r="E863" s="2685"/>
      <c r="F863" s="2671"/>
      <c r="G863" s="2685"/>
      <c r="H863" s="2671"/>
      <c r="I863" s="2685"/>
      <c r="J863" s="2671"/>
      <c r="K863" s="2685"/>
      <c r="L863" s="2671"/>
      <c r="M863" s="2685"/>
    </row>
    <row r="864" spans="2:13">
      <c r="B864" s="2671"/>
      <c r="C864" s="2671"/>
      <c r="D864" s="2671"/>
      <c r="E864" s="2685"/>
      <c r="F864" s="2671"/>
      <c r="G864" s="2685"/>
      <c r="H864" s="2671"/>
      <c r="I864" s="2685"/>
      <c r="J864" s="2671"/>
      <c r="K864" s="2685"/>
      <c r="L864" s="2671"/>
      <c r="M864" s="2685"/>
    </row>
    <row r="865" spans="2:24">
      <c r="B865" s="2671"/>
      <c r="C865" s="2671"/>
      <c r="D865" s="2671"/>
      <c r="E865" s="2685"/>
      <c r="F865" s="2671"/>
      <c r="G865" s="2685"/>
      <c r="H865" s="2671"/>
      <c r="I865" s="2685"/>
      <c r="J865" s="2671"/>
      <c r="K865" s="2685"/>
      <c r="L865" s="2671"/>
      <c r="M865" s="2685"/>
    </row>
    <row r="869" spans="2:24">
      <c r="C869" s="2270"/>
    </row>
    <row r="870" spans="2:24">
      <c r="C870" s="2270"/>
    </row>
    <row r="872" spans="2:24">
      <c r="C872" s="2270"/>
    </row>
    <row r="876" spans="2:24">
      <c r="B876" s="2234" t="s">
        <v>1815</v>
      </c>
    </row>
    <row r="877" spans="2:24">
      <c r="B877" s="2689" t="s">
        <v>1816</v>
      </c>
      <c r="C877" s="2689"/>
      <c r="D877" s="2692">
        <f>$D$674</f>
        <v>46326</v>
      </c>
      <c r="E877" s="2693">
        <f t="shared" ref="E877:X877" si="247">E$674</f>
        <v>46507</v>
      </c>
      <c r="F877" s="2693">
        <f t="shared" si="247"/>
        <v>46691</v>
      </c>
      <c r="G877" s="2693">
        <f t="shared" si="247"/>
        <v>46873</v>
      </c>
      <c r="H877" s="2693">
        <f t="shared" si="247"/>
        <v>47057</v>
      </c>
      <c r="I877" s="2693">
        <f t="shared" si="247"/>
        <v>47238</v>
      </c>
      <c r="J877" s="2693">
        <f t="shared" si="247"/>
        <v>47422</v>
      </c>
      <c r="K877" s="2693">
        <f t="shared" si="247"/>
        <v>47603</v>
      </c>
      <c r="L877" s="2693">
        <f t="shared" si="247"/>
        <v>47787</v>
      </c>
      <c r="M877" s="2693">
        <f t="shared" si="247"/>
        <v>47968</v>
      </c>
      <c r="N877" s="2693">
        <f t="shared" si="247"/>
        <v>48152</v>
      </c>
      <c r="O877" s="2693">
        <f t="shared" si="247"/>
        <v>48334</v>
      </c>
      <c r="P877" s="2693">
        <f t="shared" si="247"/>
        <v>48518</v>
      </c>
      <c r="Q877" s="2693">
        <f t="shared" si="247"/>
        <v>48699</v>
      </c>
      <c r="R877" s="2693">
        <f t="shared" si="247"/>
        <v>48883</v>
      </c>
      <c r="S877" s="2693">
        <f t="shared" si="247"/>
        <v>49064</v>
      </c>
      <c r="T877" s="2693">
        <f t="shared" si="247"/>
        <v>49248</v>
      </c>
      <c r="U877" s="2693">
        <f t="shared" si="247"/>
        <v>49429</v>
      </c>
      <c r="V877" s="2693">
        <f t="shared" si="247"/>
        <v>49613</v>
      </c>
      <c r="W877" s="2693">
        <f t="shared" si="247"/>
        <v>49795</v>
      </c>
      <c r="X877" s="2693">
        <f t="shared" si="247"/>
        <v>49979</v>
      </c>
    </row>
    <row r="878" spans="2:24">
      <c r="B878" s="2689" t="s">
        <v>1817</v>
      </c>
      <c r="C878" s="2694">
        <f t="shared" ref="C878:C882" ca="1" si="248">IFERROR(XIRR(D878:X878,$D$877:$X$877),"")</f>
        <v>7.0571103692054743E-2</v>
      </c>
      <c r="D878" s="2695">
        <v>-24000</v>
      </c>
      <c r="E878" s="2695">
        <f ca="1">D839</f>
        <v>840.00000000000011</v>
      </c>
      <c r="F878" s="2695">
        <f ca="1">D840</f>
        <v>840.00000000000011</v>
      </c>
      <c r="G878" s="2695">
        <f ca="1">D841</f>
        <v>840.00000000000011</v>
      </c>
      <c r="H878" s="2695">
        <f ca="1">D842</f>
        <v>840.00000000000011</v>
      </c>
      <c r="I878" s="2695">
        <f ca="1">D843</f>
        <v>840.00000000000011</v>
      </c>
      <c r="J878" s="2695">
        <f ca="1">D844</f>
        <v>0</v>
      </c>
      <c r="K878" s="2695">
        <f ca="1">D845</f>
        <v>0</v>
      </c>
      <c r="L878" s="2695">
        <f ca="1">D846</f>
        <v>1236.9213949651844</v>
      </c>
      <c r="M878" s="2695">
        <f ca="1">D847</f>
        <v>2123.0786050348161</v>
      </c>
      <c r="N878" s="2695">
        <f ca="1">D848</f>
        <v>840.00000000000011</v>
      </c>
      <c r="O878" s="2695">
        <f ca="1">D849</f>
        <v>840.00000000000011</v>
      </c>
      <c r="P878" s="2695">
        <f ca="1">D850</f>
        <v>840.00000000000011</v>
      </c>
      <c r="Q878" s="2695">
        <f ca="1">D851</f>
        <v>840.00000000000011</v>
      </c>
      <c r="R878" s="2695">
        <f ca="1">D852</f>
        <v>840.00000000000011</v>
      </c>
      <c r="S878" s="2695">
        <f ca="1">D853</f>
        <v>840.00000000000011</v>
      </c>
      <c r="T878" s="2695">
        <f ca="1">D854</f>
        <v>840.00000000000011</v>
      </c>
      <c r="U878" s="2695">
        <f ca="1">D855</f>
        <v>840.00000000000011</v>
      </c>
      <c r="V878" s="2695">
        <f ca="1">D856</f>
        <v>840.00000000000011</v>
      </c>
      <c r="W878" s="2695">
        <f ca="1">D857</f>
        <v>840.00000000000011</v>
      </c>
      <c r="X878" s="2695">
        <f ca="1">D858+24000</f>
        <v>24840</v>
      </c>
    </row>
    <row r="879" spans="2:24">
      <c r="B879" s="2689" t="s">
        <v>1818</v>
      </c>
      <c r="C879" s="2694">
        <f t="shared" ca="1" si="248"/>
        <v>5.5379799008369437E-2</v>
      </c>
      <c r="D879" s="2695">
        <v>-50000</v>
      </c>
      <c r="E879" s="2695">
        <f ca="1">F839</f>
        <v>173.08955217138612</v>
      </c>
      <c r="F879" s="2695">
        <f ca="1">F840</f>
        <v>737.05605536065298</v>
      </c>
      <c r="G879" s="2695">
        <f ca="1">F841</f>
        <v>495.30877757587643</v>
      </c>
      <c r="H879" s="2695">
        <f ca="1">F842</f>
        <v>913.97576741780097</v>
      </c>
      <c r="I879" s="2695">
        <f ca="1">F843</f>
        <v>855.46757322157157</v>
      </c>
      <c r="J879" s="2695">
        <f ca="1">F844</f>
        <v>0</v>
      </c>
      <c r="K879" s="2695">
        <f ca="1">F845</f>
        <v>0</v>
      </c>
      <c r="L879" s="2695">
        <f ca="1">F846</f>
        <v>0</v>
      </c>
      <c r="M879" s="2695">
        <f ca="1">F847</f>
        <v>270.25664759774736</v>
      </c>
      <c r="N879" s="2695">
        <f ca="1">F848</f>
        <v>1781.8457832258955</v>
      </c>
      <c r="O879" s="2695">
        <f ca="1">F849</f>
        <v>2088.5117459248054</v>
      </c>
      <c r="P879" s="2695">
        <f ca="1">F850</f>
        <v>2322.7350397829682</v>
      </c>
      <c r="Q879" s="2695">
        <f ca="1">F851</f>
        <v>2309.2250160240442</v>
      </c>
      <c r="R879" s="2695">
        <f ca="1">F852</f>
        <v>2549.3038922286664</v>
      </c>
      <c r="S879" s="2695">
        <f ca="1">F853</f>
        <v>2535.1100758641783</v>
      </c>
      <c r="T879" s="2695">
        <f ca="1">F854</f>
        <v>1882.7026972966119</v>
      </c>
      <c r="U879" s="2695">
        <f ca="1">F855</f>
        <v>2579.0479855807284</v>
      </c>
      <c r="V879" s="2695">
        <f ca="1">F856</f>
        <v>2794.3763884551086</v>
      </c>
      <c r="W879" s="2695">
        <f ca="1">F857</f>
        <v>2905.8529526719562</v>
      </c>
      <c r="X879" s="2695">
        <f ca="1">F858+50000</f>
        <v>53032.372692117278</v>
      </c>
    </row>
    <row r="880" spans="2:24">
      <c r="B880" s="2689" t="s">
        <v>1819</v>
      </c>
      <c r="C880" s="2694">
        <f t="shared" si="248"/>
        <v>2.9802322387695314E-9</v>
      </c>
      <c r="D880" s="2695">
        <v>-10000</v>
      </c>
      <c r="E880" s="2695">
        <f>H839</f>
        <v>0</v>
      </c>
      <c r="F880" s="2695">
        <f>H840</f>
        <v>0</v>
      </c>
      <c r="G880" s="2695">
        <f>H841</f>
        <v>0</v>
      </c>
      <c r="H880" s="2695">
        <f>H842</f>
        <v>0</v>
      </c>
      <c r="I880" s="2695">
        <f>H843</f>
        <v>0</v>
      </c>
      <c r="J880" s="2695">
        <f>H844</f>
        <v>0</v>
      </c>
      <c r="K880" s="2695">
        <f>H845</f>
        <v>0</v>
      </c>
      <c r="L880" s="2695">
        <f>H846</f>
        <v>0</v>
      </c>
      <c r="M880" s="2695">
        <f>H847</f>
        <v>0</v>
      </c>
      <c r="N880" s="2695">
        <f>H848</f>
        <v>0</v>
      </c>
      <c r="O880" s="2695">
        <f>H849</f>
        <v>0</v>
      </c>
      <c r="P880" s="2695">
        <f>H850</f>
        <v>0</v>
      </c>
      <c r="Q880" s="2695">
        <f>H851</f>
        <v>0</v>
      </c>
      <c r="R880" s="2695">
        <f>H852</f>
        <v>0</v>
      </c>
      <c r="S880" s="2695">
        <f>H853</f>
        <v>0</v>
      </c>
      <c r="T880" s="2695">
        <f>H854</f>
        <v>0</v>
      </c>
      <c r="U880" s="2695">
        <f>H855</f>
        <v>0</v>
      </c>
      <c r="V880" s="2695">
        <f>H856</f>
        <v>0</v>
      </c>
      <c r="W880" s="2695">
        <f>H857</f>
        <v>0</v>
      </c>
      <c r="X880" s="2695">
        <f>H858+10000</f>
        <v>10000</v>
      </c>
    </row>
    <row r="881" spans="2:24">
      <c r="B881" s="2689" t="s">
        <v>1820</v>
      </c>
      <c r="C881" s="2694">
        <f t="shared" ca="1" si="248"/>
        <v>2.9802322387695314E-9</v>
      </c>
      <c r="D881" s="2695">
        <v>-14400</v>
      </c>
      <c r="E881" s="2695">
        <f ca="1">J839</f>
        <v>0</v>
      </c>
      <c r="F881" s="2695">
        <f ca="1">J840</f>
        <v>0</v>
      </c>
      <c r="G881" s="2695">
        <f ca="1">J841</f>
        <v>0</v>
      </c>
      <c r="H881" s="2695">
        <f ca="1">J842</f>
        <v>0</v>
      </c>
      <c r="I881" s="2695">
        <f ca="1">J843</f>
        <v>0</v>
      </c>
      <c r="J881" s="2695">
        <f ca="1">J844</f>
        <v>0</v>
      </c>
      <c r="K881" s="2695">
        <f ca="1">J845</f>
        <v>0</v>
      </c>
      <c r="L881" s="2695">
        <f ca="1">J846</f>
        <v>0</v>
      </c>
      <c r="M881" s="2695">
        <f ca="1">J847</f>
        <v>0</v>
      </c>
      <c r="N881" s="2695">
        <f ca="1">J848</f>
        <v>0</v>
      </c>
      <c r="O881" s="2695">
        <f ca="1">J849</f>
        <v>0</v>
      </c>
      <c r="P881" s="2695">
        <f ca="1">J850</f>
        <v>0</v>
      </c>
      <c r="Q881" s="2695">
        <f ca="1">J851</f>
        <v>0</v>
      </c>
      <c r="R881" s="2695">
        <f ca="1">J852</f>
        <v>0</v>
      </c>
      <c r="S881" s="2695">
        <f ca="1">J853</f>
        <v>0</v>
      </c>
      <c r="T881" s="2695">
        <f ca="1">J854</f>
        <v>0</v>
      </c>
      <c r="U881" s="2695">
        <f ca="1">J855</f>
        <v>0</v>
      </c>
      <c r="V881" s="2695">
        <f ca="1">J856</f>
        <v>0</v>
      </c>
      <c r="W881" s="2695">
        <f ca="1">J857</f>
        <v>0</v>
      </c>
      <c r="X881" s="2695">
        <f ca="1">J858+14400</f>
        <v>14400</v>
      </c>
    </row>
    <row r="882" spans="2:24">
      <c r="B882" s="2689" t="s">
        <v>1821</v>
      </c>
      <c r="C882" s="2694">
        <f t="shared" ca="1" si="248"/>
        <v>4.5733383297920233E-2</v>
      </c>
      <c r="D882" s="2695">
        <v>-98400</v>
      </c>
      <c r="E882" s="2695">
        <f ca="1">L839</f>
        <v>1013.0895521713862</v>
      </c>
      <c r="F882" s="2695">
        <f ca="1">L840</f>
        <v>1577.0560553606531</v>
      </c>
      <c r="G882" s="2695">
        <f ca="1">L841</f>
        <v>1335.3087775758765</v>
      </c>
      <c r="H882" s="2695">
        <f ca="1">L842</f>
        <v>1753.9757674178011</v>
      </c>
      <c r="I882" s="2695">
        <f ca="1">L843</f>
        <v>1695.4675732215717</v>
      </c>
      <c r="J882" s="2695">
        <f ca="1">L844</f>
        <v>0</v>
      </c>
      <c r="K882" s="2695">
        <f ca="1">L845</f>
        <v>0</v>
      </c>
      <c r="L882" s="2695">
        <f ca="1">L846</f>
        <v>1236.9213949651844</v>
      </c>
      <c r="M882" s="2695">
        <f ca="1">L847</f>
        <v>2393.3352526325634</v>
      </c>
      <c r="N882" s="2695">
        <f ca="1">L848</f>
        <v>2621.8457832258955</v>
      </c>
      <c r="O882" s="2695">
        <f ca="1">L849</f>
        <v>2928.5117459248054</v>
      </c>
      <c r="P882" s="2695">
        <f ca="1">L850</f>
        <v>3162.7350397829682</v>
      </c>
      <c r="Q882" s="2695">
        <f ca="1">L851</f>
        <v>3149.2250160240442</v>
      </c>
      <c r="R882" s="2695">
        <f ca="1">L852</f>
        <v>3389.3038922286664</v>
      </c>
      <c r="S882" s="2695">
        <f ca="1">L853</f>
        <v>3375.1100758641783</v>
      </c>
      <c r="T882" s="2695">
        <f ca="1">L854</f>
        <v>2722.7026972966119</v>
      </c>
      <c r="U882" s="2695">
        <f ca="1">L855</f>
        <v>3419.0479855807284</v>
      </c>
      <c r="V882" s="2695">
        <f ca="1">L856</f>
        <v>3634.3763884551086</v>
      </c>
      <c r="W882" s="2695">
        <f ca="1">L857</f>
        <v>3745.8529526719562</v>
      </c>
      <c r="X882" s="2695">
        <f ca="1">L858+98400</f>
        <v>102272.37269211728</v>
      </c>
    </row>
    <row r="883" spans="2:24">
      <c r="C883" s="2420"/>
      <c r="D883" s="2683"/>
      <c r="E883" s="2683"/>
      <c r="F883" s="2683"/>
      <c r="G883" s="2683"/>
      <c r="H883" s="2683"/>
      <c r="I883" s="2683"/>
      <c r="J883" s="2683"/>
      <c r="K883" s="2683"/>
      <c r="L883" s="2683"/>
      <c r="M883" s="2683"/>
      <c r="N883" s="2683"/>
      <c r="O883" s="2683"/>
      <c r="P883" s="2683"/>
      <c r="Q883" s="2683"/>
      <c r="R883" s="2683"/>
      <c r="S883" s="2683"/>
      <c r="T883" s="2683"/>
      <c r="U883" s="2683"/>
      <c r="V883" s="2683"/>
      <c r="W883" s="2683"/>
      <c r="X883" s="2683"/>
    </row>
    <row r="886" spans="2:24">
      <c r="B886" s="2671" t="s">
        <v>1822</v>
      </c>
      <c r="C886" s="2671"/>
      <c r="D886" s="2671"/>
    </row>
    <row r="887" spans="2:24">
      <c r="B887" s="2688" t="s">
        <v>620</v>
      </c>
      <c r="C887" s="2688" t="s">
        <v>1823</v>
      </c>
      <c r="D887" s="2688" t="s">
        <v>1824</v>
      </c>
    </row>
    <row r="888" spans="2:24">
      <c r="B888" s="2689" t="s">
        <v>1825</v>
      </c>
      <c r="C888" s="2690">
        <f ca="1">C889+C890-C891</f>
        <v>45263.706729123631</v>
      </c>
      <c r="D888" s="2690">
        <f>D889+D890-D891</f>
        <v>47026.238642517332</v>
      </c>
    </row>
    <row r="889" spans="2:24">
      <c r="B889" s="2689" t="s">
        <v>1826</v>
      </c>
      <c r="C889" s="2690">
        <f>C677</f>
        <v>173411.61493373639</v>
      </c>
      <c r="D889" s="2690">
        <f>C677</f>
        <v>173411.61493373639</v>
      </c>
    </row>
    <row r="890" spans="2:24">
      <c r="B890" s="2689" t="s">
        <v>1827</v>
      </c>
      <c r="C890" s="2690">
        <f ca="1">R824</f>
        <v>1737.468086606299</v>
      </c>
      <c r="D890" s="2690">
        <f>S824</f>
        <v>3500.0000000000005</v>
      </c>
    </row>
    <row r="891" spans="2:24">
      <c r="B891" s="2689" t="s">
        <v>1828</v>
      </c>
      <c r="C891" s="2690">
        <f>C681+C699-(C694+C695+C696)</f>
        <v>129885.37629121906</v>
      </c>
      <c r="D891" s="2690">
        <f>C681+C699-(C694+C695+C696)</f>
        <v>129885.37629121906</v>
      </c>
    </row>
    <row r="892" spans="2:24">
      <c r="B892" s="2689" t="s">
        <v>1829</v>
      </c>
      <c r="C892" s="2690">
        <f ca="1">N828-C888</f>
        <v>10146.293270876369</v>
      </c>
      <c r="D892" s="2690">
        <v>0</v>
      </c>
    </row>
    <row r="893" spans="2:24">
      <c r="B893" s="2689" t="s">
        <v>104</v>
      </c>
      <c r="C893" s="2690">
        <f ca="1">C888+C892</f>
        <v>55410</v>
      </c>
      <c r="D893" s="2690">
        <f>D888+D892</f>
        <v>47026.238642517332</v>
      </c>
    </row>
    <row r="894" spans="2:24">
      <c r="B894" s="2689" t="s">
        <v>1830</v>
      </c>
      <c r="C894" s="2691">
        <f ca="1">C892/C888</f>
        <v>0.22415957516683072</v>
      </c>
      <c r="D894" s="2691">
        <f>D892/D888</f>
        <v>0</v>
      </c>
    </row>
    <row r="896" spans="2:24">
      <c r="B896" s="2234" t="s">
        <v>1831</v>
      </c>
    </row>
    <row r="901" spans="2:13">
      <c r="B901" s="2671" t="s">
        <v>1837</v>
      </c>
    </row>
    <row r="902" spans="2:13">
      <c r="B902" s="2684" t="s">
        <v>620</v>
      </c>
      <c r="C902" s="2684" t="s">
        <v>1043</v>
      </c>
      <c r="D902" s="2684" t="s">
        <v>1044</v>
      </c>
      <c r="E902" s="2684" t="s">
        <v>1045</v>
      </c>
      <c r="F902" s="2684" t="s">
        <v>1046</v>
      </c>
      <c r="G902" s="2684" t="s">
        <v>1047</v>
      </c>
      <c r="H902" s="2684" t="s">
        <v>1048</v>
      </c>
      <c r="I902" s="2684" t="s">
        <v>1049</v>
      </c>
      <c r="J902" s="2684" t="s">
        <v>1050</v>
      </c>
      <c r="K902" s="2684" t="s">
        <v>1051</v>
      </c>
      <c r="L902" s="2684" t="s">
        <v>1052</v>
      </c>
      <c r="M902" s="2684" t="s">
        <v>104</v>
      </c>
    </row>
    <row r="903" spans="2:13">
      <c r="B903" s="2234" t="s">
        <v>1838</v>
      </c>
      <c r="C903" s="2270">
        <f>SUM(E678:F678)</f>
        <v>14414.802116581252</v>
      </c>
      <c r="D903" s="2270">
        <f>SUM(G678:H678)</f>
        <v>14743.044437495781</v>
      </c>
      <c r="E903" s="2270">
        <f>SUM(I678:J678)</f>
        <v>10408.902350741999</v>
      </c>
      <c r="F903" s="2270">
        <f>SUM(K678:L678)</f>
        <v>16506.597858833346</v>
      </c>
      <c r="G903" s="2270">
        <f>SUM(M678:N678)</f>
        <v>16929.15284616538</v>
      </c>
      <c r="H903" s="2270">
        <f>SUM(O678:P678)</f>
        <v>17352.381667319514</v>
      </c>
      <c r="I903" s="2270">
        <f>SUM(Q678:R678)</f>
        <v>17786.1912090025</v>
      </c>
      <c r="J903" s="2270">
        <f>SUM(S678:T678)</f>
        <v>18009.90714862019</v>
      </c>
      <c r="K903" s="2270">
        <f>SUM(U678:V678)</f>
        <v>18366.946594082256</v>
      </c>
      <c r="L903" s="2270">
        <f>SUM(W678:X678)</f>
        <v>18827.592251614664</v>
      </c>
      <c r="M903" s="2270">
        <f t="shared" ref="M903:M914" si="249">SUM(C903:L903)</f>
        <v>163345.51848045687</v>
      </c>
    </row>
    <row r="904" spans="2:13">
      <c r="B904" s="2234" t="s">
        <v>1839</v>
      </c>
      <c r="C904" s="2270">
        <f>SUM(E679:F679)</f>
        <v>779.3548877910938</v>
      </c>
      <c r="D904" s="2270">
        <f>SUM(G679:H679)</f>
        <v>796.871755985871</v>
      </c>
      <c r="E904" s="2270">
        <f>SUM(I679:J679)</f>
        <v>814.82654588551782</v>
      </c>
      <c r="F904" s="2270">
        <f>SUM(K679:L679)</f>
        <v>833.23020553265565</v>
      </c>
      <c r="G904" s="2270">
        <f>SUM(M679:N679)</f>
        <v>852.09395667097215</v>
      </c>
      <c r="H904" s="2270">
        <f>SUM(O679:P679)</f>
        <v>871.42930158774629</v>
      </c>
      <c r="I904" s="2270">
        <f>SUM(Q679:R679)</f>
        <v>891.24803012743985</v>
      </c>
      <c r="J904" s="2270">
        <f>SUM(S679:T679)</f>
        <v>911.55111424284314</v>
      </c>
      <c r="K904" s="2270">
        <f>SUM(U679:V679)</f>
        <v>932.35827674830819</v>
      </c>
      <c r="L904" s="2270">
        <f>SUM(W679:X679)</f>
        <v>953.70022966701595</v>
      </c>
      <c r="M904" s="2270">
        <f t="shared" si="249"/>
        <v>8636.6643042394644</v>
      </c>
    </row>
    <row r="905" spans="2:13">
      <c r="B905" s="2234" t="s">
        <v>1840</v>
      </c>
      <c r="C905" s="2270">
        <f>SUM(E680:F680)</f>
        <v>142.943214904</v>
      </c>
      <c r="D905" s="2270">
        <f>SUM(G680:H680)</f>
        <v>142.943214904</v>
      </c>
      <c r="E905" s="2270">
        <f>SUM(I680:J680)</f>
        <v>142.943214904</v>
      </c>
      <c r="F905" s="2270">
        <f>SUM(K680:L680)</f>
        <v>142.943214904</v>
      </c>
      <c r="G905" s="2270">
        <f>SUM(M680:N680)</f>
        <v>142.943214904</v>
      </c>
      <c r="H905" s="2270">
        <f>SUM(O680:P680)</f>
        <v>142.943214904</v>
      </c>
      <c r="I905" s="2270">
        <f>SUM(Q680:R680)</f>
        <v>142.943214904</v>
      </c>
      <c r="J905" s="2270">
        <f>SUM(S680:T680)</f>
        <v>142.943214904</v>
      </c>
      <c r="K905" s="2270">
        <f>SUM(U680:V680)</f>
        <v>142.943214904</v>
      </c>
      <c r="L905" s="2270">
        <f>SUM(W680:X680)</f>
        <v>142.943214904</v>
      </c>
      <c r="M905" s="2270">
        <f t="shared" si="249"/>
        <v>1429.4321490399998</v>
      </c>
    </row>
    <row r="906" spans="2:13">
      <c r="B906" s="2234" t="s">
        <v>1022</v>
      </c>
      <c r="C906" s="2270">
        <f ca="1">SUM(E693:F693)</f>
        <v>359.90236084050321</v>
      </c>
      <c r="D906" s="2270">
        <f ca="1">SUM(G693:H693)</f>
        <v>242.13880670389608</v>
      </c>
      <c r="E906" s="2270">
        <f ca="1">SUM(I693:J693)</f>
        <v>314.20754386678146</v>
      </c>
      <c r="F906" s="2270">
        <f ca="1">SUM(K693:L693)</f>
        <v>109.5279580338718</v>
      </c>
      <c r="G906" s="2270">
        <f ca="1">SUM(M693:N693)</f>
        <v>78.224984095024524</v>
      </c>
      <c r="H906" s="2270">
        <f ca="1">SUM(O693:P693)</f>
        <v>74.711826916761282</v>
      </c>
      <c r="I906" s="2270">
        <f ca="1">SUM(Q693:R693)</f>
        <v>90.679534282754219</v>
      </c>
      <c r="J906" s="2270">
        <f ca="1">SUM(S693:T693)</f>
        <v>117.31161727770936</v>
      </c>
      <c r="K906" s="2270">
        <f ca="1">SUM(U693:V693)</f>
        <v>145.0424899614282</v>
      </c>
      <c r="L906" s="2270">
        <f ca="1">SUM(W693:X693)</f>
        <v>205.72096462756957</v>
      </c>
      <c r="M906" s="2270">
        <f t="shared" ca="1" si="249"/>
        <v>1737.4680866062995</v>
      </c>
    </row>
    <row r="907" spans="2:13">
      <c r="B907" s="2705" t="s">
        <v>1841</v>
      </c>
      <c r="C907" s="2681">
        <f t="shared" ref="C907:L907" ca="1" si="250">SUM(C903:C906)</f>
        <v>15697.002580116849</v>
      </c>
      <c r="D907" s="2681">
        <f t="shared" ca="1" si="250"/>
        <v>15924.998215089548</v>
      </c>
      <c r="E907" s="2681">
        <f t="shared" ca="1" si="250"/>
        <v>11680.879655398299</v>
      </c>
      <c r="F907" s="2681">
        <f t="shared" ca="1" si="250"/>
        <v>17592.299237303872</v>
      </c>
      <c r="G907" s="2681">
        <f t="shared" ca="1" si="250"/>
        <v>18002.415001835376</v>
      </c>
      <c r="H907" s="2681">
        <f t="shared" ca="1" si="250"/>
        <v>18441.466010728022</v>
      </c>
      <c r="I907" s="2681">
        <f t="shared" ca="1" si="250"/>
        <v>18911.061988316695</v>
      </c>
      <c r="J907" s="2681">
        <f t="shared" ca="1" si="250"/>
        <v>19181.713095044743</v>
      </c>
      <c r="K907" s="2681">
        <f t="shared" ca="1" si="250"/>
        <v>19587.290575695995</v>
      </c>
      <c r="L907" s="2681">
        <f t="shared" ca="1" si="250"/>
        <v>20129.956660813248</v>
      </c>
      <c r="M907" s="2681">
        <f t="shared" ca="1" si="249"/>
        <v>175149.08302034263</v>
      </c>
    </row>
    <row r="908" spans="2:13">
      <c r="B908" s="2234" t="s">
        <v>1842</v>
      </c>
      <c r="C908" s="2270">
        <f>SUM(E699:F699)</f>
        <v>800.581840871022</v>
      </c>
      <c r="D908" s="2270">
        <f>SUM(G699:H699)</f>
        <v>802.50184087102207</v>
      </c>
      <c r="E908" s="2270">
        <f>SUM(I699:J699)</f>
        <v>804.46024087102205</v>
      </c>
      <c r="F908" s="2270">
        <f>SUM(K699:L699)</f>
        <v>806.45780887102194</v>
      </c>
      <c r="G908" s="2270">
        <f>SUM(M699:N699)</f>
        <v>808.49532823102197</v>
      </c>
      <c r="H908" s="2270">
        <f>SUM(O699:P699)</f>
        <v>810.57359797822198</v>
      </c>
      <c r="I908" s="2270">
        <f>SUM(Q699:R699)</f>
        <v>812.69343312036597</v>
      </c>
      <c r="J908" s="2270">
        <f>SUM(S699:T699)</f>
        <v>814.85566496535284</v>
      </c>
      <c r="K908" s="2270">
        <f>SUM(U699:V699)</f>
        <v>817.06114144723949</v>
      </c>
      <c r="L908" s="2270">
        <f>SUM(W699:X699)</f>
        <v>819.31072745876384</v>
      </c>
      <c r="M908" s="2270">
        <f t="shared" si="249"/>
        <v>8096.9916246850535</v>
      </c>
    </row>
    <row r="909" spans="2:13">
      <c r="B909" s="2234" t="s">
        <v>1843</v>
      </c>
      <c r="C909" s="2270">
        <f>SUM(E681:F681)</f>
        <v>2231.7352375297996</v>
      </c>
      <c r="D909" s="2270">
        <f>SUM(G681:H681)</f>
        <v>2221.0730225209518</v>
      </c>
      <c r="E909" s="2270">
        <f>SUM(I681:J681)</f>
        <v>2290.4830728595962</v>
      </c>
      <c r="F909" s="2270">
        <f>SUM(K681:L681)</f>
        <v>2267.653300013123</v>
      </c>
      <c r="G909" s="2270">
        <f>SUM(M681:N681)</f>
        <v>2226.5136536508744</v>
      </c>
      <c r="H909" s="2270">
        <f>SUM(O681:P681)</f>
        <v>2229.9338001252654</v>
      </c>
      <c r="I909" s="2270">
        <f>SUM(Q681:R681)</f>
        <v>2234.1601126608634</v>
      </c>
      <c r="J909" s="2270">
        <f>SUM(S681:T681)</f>
        <v>2916.7330396408911</v>
      </c>
      <c r="K909" s="2270">
        <f>SUM(U681:V681)</f>
        <v>2336.7625702514897</v>
      </c>
      <c r="L909" s="2270">
        <f>SUM(W681:X681)</f>
        <v>2251.6993239376752</v>
      </c>
      <c r="M909" s="2270">
        <f t="shared" si="249"/>
        <v>23206.747133190529</v>
      </c>
    </row>
    <row r="910" spans="2:13">
      <c r="B910" s="2234" t="s">
        <v>1214</v>
      </c>
      <c r="C910" s="2270">
        <f>-SUM(E697:F697)</f>
        <v>3417.6869999999999</v>
      </c>
      <c r="D910" s="2270">
        <f>-SUM(G697:H697)</f>
        <v>3417.6869999999999</v>
      </c>
      <c r="E910" s="2270">
        <f>-SUM(I697:J697)</f>
        <v>3417.6869999999999</v>
      </c>
      <c r="F910" s="2270">
        <f>-SUM(K697:L697)</f>
        <v>3417.6869999999999</v>
      </c>
      <c r="G910" s="2270">
        <f>-SUM(M697:N697)</f>
        <v>3417.6869999999999</v>
      </c>
      <c r="H910" s="2270">
        <f>-SUM(O697:P697)</f>
        <v>3417.6869999999999</v>
      </c>
      <c r="I910" s="2270">
        <f>-SUM(Q697:R697)</f>
        <v>3417.6869999999999</v>
      </c>
      <c r="J910" s="2270">
        <f>-SUM(S697:T697)</f>
        <v>3417.6869999999999</v>
      </c>
      <c r="K910" s="2270">
        <f>-SUM(U697:V697)</f>
        <v>3417.6869999999999</v>
      </c>
      <c r="L910" s="2270">
        <f>-SUM(W697:X697)</f>
        <v>3417.6869999999999</v>
      </c>
      <c r="M910" s="2270">
        <f t="shared" si="249"/>
        <v>34176.869999999988</v>
      </c>
    </row>
    <row r="911" spans="2:13">
      <c r="B911" s="2234" t="s">
        <v>1844</v>
      </c>
      <c r="C911" s="2270">
        <f>-(SUM(E694:F694)+SUM(E695:F695)+SUM(E696:F696))</f>
        <v>10064.637533343484</v>
      </c>
      <c r="D911" s="2270">
        <f>-(SUM(G694:H694)+SUM(G695:H695)+SUM(G696:H696))</f>
        <v>9920</v>
      </c>
      <c r="E911" s="2270">
        <f>-(SUM(I694:J694)+SUM(I695:J695)+SUM(I696:J696))</f>
        <v>10224</v>
      </c>
      <c r="F911" s="2270">
        <f>-(SUM(K694:L694)+SUM(K695:L695)+SUM(K696:L696))</f>
        <v>10224</v>
      </c>
      <c r="G911" s="2270">
        <f>-(SUM(M694:N694)+SUM(M695:N695)+SUM(M696:N696))</f>
        <v>10224</v>
      </c>
      <c r="H911" s="2270">
        <f>-(SUM(O694:P694)+SUM(O695:P695)+SUM(O696:P696))</f>
        <v>9585</v>
      </c>
      <c r="I911" s="2270">
        <f>-(SUM(Q694:R694)+SUM(Q695:R695)+SUM(Q696:R696))</f>
        <v>9585</v>
      </c>
      <c r="J911" s="2270">
        <f>-(SUM(S694:T694)+SUM(S695:T695)+SUM(S696:T696))</f>
        <v>9585</v>
      </c>
      <c r="K911" s="2270">
        <f>-(SUM(U694:V694)+SUM(U695:V695)+SUM(U696:V696))</f>
        <v>9585</v>
      </c>
      <c r="L911" s="2270">
        <f>-(SUM(W694:X694)+SUM(W695:X695)+SUM(W696:X696))</f>
        <v>9585</v>
      </c>
      <c r="M911" s="2270">
        <f t="shared" si="249"/>
        <v>98581.637533343484</v>
      </c>
    </row>
    <row r="912" spans="2:13">
      <c r="B912" s="2705" t="s">
        <v>1845</v>
      </c>
      <c r="C912" s="2681">
        <f t="shared" ref="C912:L912" si="251">C908+C909+C911</f>
        <v>13096.954611744306</v>
      </c>
      <c r="D912" s="2681">
        <f t="shared" si="251"/>
        <v>12943.574863391974</v>
      </c>
      <c r="E912" s="2681">
        <f t="shared" si="251"/>
        <v>13318.943313730619</v>
      </c>
      <c r="F912" s="2681">
        <f t="shared" si="251"/>
        <v>13298.111108884144</v>
      </c>
      <c r="G912" s="2681">
        <f t="shared" si="251"/>
        <v>13259.008981881896</v>
      </c>
      <c r="H912" s="2681">
        <f t="shared" si="251"/>
        <v>12625.507398103488</v>
      </c>
      <c r="I912" s="2681">
        <f t="shared" si="251"/>
        <v>12631.853545781229</v>
      </c>
      <c r="J912" s="2681">
        <f t="shared" si="251"/>
        <v>13316.588704606243</v>
      </c>
      <c r="K912" s="2681">
        <f t="shared" si="251"/>
        <v>12738.823711698729</v>
      </c>
      <c r="L912" s="2681">
        <f t="shared" si="251"/>
        <v>12656.010051396439</v>
      </c>
      <c r="M912" s="2681">
        <f t="shared" si="249"/>
        <v>129885.37629121907</v>
      </c>
    </row>
    <row r="913" spans="2:13">
      <c r="B913" s="2234" t="s">
        <v>1846</v>
      </c>
      <c r="C913" s="2270">
        <f t="shared" ref="C913:L913" si="252">C912+C910</f>
        <v>16514.641611744308</v>
      </c>
      <c r="D913" s="2270">
        <f t="shared" si="252"/>
        <v>16361.261863391974</v>
      </c>
      <c r="E913" s="2270">
        <f t="shared" si="252"/>
        <v>16736.630313730617</v>
      </c>
      <c r="F913" s="2270">
        <f t="shared" si="252"/>
        <v>16715.798108884144</v>
      </c>
      <c r="G913" s="2270">
        <f t="shared" si="252"/>
        <v>16676.695981881894</v>
      </c>
      <c r="H913" s="2270">
        <f t="shared" si="252"/>
        <v>16043.194398103487</v>
      </c>
      <c r="I913" s="2270">
        <f t="shared" si="252"/>
        <v>16049.540545781229</v>
      </c>
      <c r="J913" s="2270">
        <f t="shared" si="252"/>
        <v>16734.275704606243</v>
      </c>
      <c r="K913" s="2270">
        <f t="shared" si="252"/>
        <v>16156.510711698729</v>
      </c>
      <c r="L913" s="2270">
        <f t="shared" si="252"/>
        <v>16073.697051396439</v>
      </c>
      <c r="M913" s="2270">
        <f t="shared" si="249"/>
        <v>164062.24629121905</v>
      </c>
    </row>
    <row r="914" spans="2:13">
      <c r="B914" s="2705" t="s">
        <v>1847</v>
      </c>
      <c r="C914" s="2681">
        <f ca="1">SUM(E705:F705)</f>
        <v>-817.63903162745737</v>
      </c>
      <c r="D914" s="2681">
        <f ca="1">SUM(G705:H705)</f>
        <v>-436.26364830242619</v>
      </c>
      <c r="E914" s="2681">
        <f ca="1">SUM(I705:J705)</f>
        <v>-5055.7506583323175</v>
      </c>
      <c r="F914" s="2681">
        <f ca="1">SUM(K705:L705)</f>
        <v>876.50112841972759</v>
      </c>
      <c r="G914" s="2681">
        <f ca="1">SUM(M705:N705)</f>
        <v>1325.719019953483</v>
      </c>
      <c r="H914" s="2681">
        <f ca="1">SUM(O705:P705)</f>
        <v>2398.271612624535</v>
      </c>
      <c r="I914" s="2681">
        <f ca="1">SUM(Q705:R705)</f>
        <v>2861.5214425354657</v>
      </c>
      <c r="J914" s="2681">
        <f ca="1">SUM(S705:T705)</f>
        <v>2447.4373904384993</v>
      </c>
      <c r="K914" s="2681">
        <f ca="1">SUM(U705:V705)</f>
        <v>3430.7798639972652</v>
      </c>
      <c r="L914" s="2681">
        <f ca="1">SUM(W705:X705)</f>
        <v>108954.95765473414</v>
      </c>
      <c r="M914" s="2681">
        <f t="shared" ca="1" si="249"/>
        <v>115985.53477444092</v>
      </c>
    </row>
    <row r="918" spans="2:13">
      <c r="B918" s="2234" t="s">
        <v>1848</v>
      </c>
    </row>
    <row r="919" spans="2:13">
      <c r="B919" s="2705" t="s">
        <v>620</v>
      </c>
      <c r="C919" s="2476" t="s">
        <v>1043</v>
      </c>
      <c r="D919" s="2476" t="s">
        <v>1044</v>
      </c>
      <c r="E919" s="2476" t="s">
        <v>1045</v>
      </c>
      <c r="F919" s="2476" t="s">
        <v>1046</v>
      </c>
      <c r="G919" s="2476" t="s">
        <v>1047</v>
      </c>
      <c r="H919" s="2476" t="s">
        <v>1048</v>
      </c>
      <c r="I919" s="2476" t="s">
        <v>1049</v>
      </c>
      <c r="J919" s="2476" t="s">
        <v>1050</v>
      </c>
      <c r="K919" s="2476" t="s">
        <v>1051</v>
      </c>
      <c r="L919" s="2476" t="s">
        <v>1052</v>
      </c>
      <c r="M919" s="2476" t="s">
        <v>1849</v>
      </c>
    </row>
    <row r="920" spans="2:13">
      <c r="B920" s="2234" t="s">
        <v>1850</v>
      </c>
      <c r="C920" s="2270">
        <f t="shared" ref="C920:L920" si="253">C903/100</f>
        <v>144.14802116581251</v>
      </c>
      <c r="D920" s="2270">
        <f t="shared" si="253"/>
        <v>147.4304443749578</v>
      </c>
      <c r="E920" s="2270">
        <f t="shared" si="253"/>
        <v>104.08902350741999</v>
      </c>
      <c r="F920" s="2270">
        <f t="shared" si="253"/>
        <v>165.06597858833345</v>
      </c>
      <c r="G920" s="2270">
        <f t="shared" si="253"/>
        <v>169.2915284616538</v>
      </c>
      <c r="H920" s="2270">
        <f t="shared" si="253"/>
        <v>173.52381667319514</v>
      </c>
      <c r="I920" s="2270">
        <f t="shared" si="253"/>
        <v>177.86191209002499</v>
      </c>
      <c r="J920" s="2270">
        <f t="shared" si="253"/>
        <v>180.09907148620189</v>
      </c>
      <c r="K920" s="2270">
        <f t="shared" si="253"/>
        <v>183.66946594082256</v>
      </c>
      <c r="L920" s="2270">
        <f t="shared" si="253"/>
        <v>188.27592251614664</v>
      </c>
      <c r="M920" s="2270">
        <f>SUM(C920:L920)</f>
        <v>1633.4551848045689</v>
      </c>
    </row>
    <row r="921" spans="2:13">
      <c r="B921" s="2234" t="s">
        <v>1851</v>
      </c>
      <c r="C921" s="2270">
        <f t="shared" ref="C921:L921" si="254">C904/100</f>
        <v>7.7935488779109381</v>
      </c>
      <c r="D921" s="2270">
        <f t="shared" si="254"/>
        <v>7.9687175598587103</v>
      </c>
      <c r="E921" s="2270">
        <f t="shared" si="254"/>
        <v>8.1482654588551782</v>
      </c>
      <c r="F921" s="2270">
        <f t="shared" si="254"/>
        <v>8.3323020553265561</v>
      </c>
      <c r="G921" s="2270">
        <f t="shared" si="254"/>
        <v>8.5209395667097212</v>
      </c>
      <c r="H921" s="2270">
        <f t="shared" si="254"/>
        <v>8.7142930158774625</v>
      </c>
      <c r="I921" s="2270">
        <f t="shared" si="254"/>
        <v>8.9124803012743978</v>
      </c>
      <c r="J921" s="2270">
        <f t="shared" si="254"/>
        <v>9.1155111424284314</v>
      </c>
      <c r="K921" s="2270">
        <f t="shared" si="254"/>
        <v>9.3235827674830816</v>
      </c>
      <c r="L921" s="2270">
        <f t="shared" si="254"/>
        <v>9.5370022966701598</v>
      </c>
      <c r="M921" s="2270">
        <f>SUM(C921:L921)</f>
        <v>86.366643042394628</v>
      </c>
    </row>
    <row r="922" spans="2:13">
      <c r="B922" s="2234" t="s">
        <v>1852</v>
      </c>
      <c r="C922" s="2270">
        <f t="shared" ref="C922:L922" ca="1" si="255">(C905+C906)/100</f>
        <v>5.0284557574450321</v>
      </c>
      <c r="D922" s="2270">
        <f t="shared" ca="1" si="255"/>
        <v>3.8508202160789606</v>
      </c>
      <c r="E922" s="2270">
        <f t="shared" ca="1" si="255"/>
        <v>4.5715075877078144</v>
      </c>
      <c r="F922" s="2270">
        <f t="shared" ca="1" si="255"/>
        <v>2.5247117293787182</v>
      </c>
      <c r="G922" s="2270">
        <f t="shared" ca="1" si="255"/>
        <v>2.2116819899902453</v>
      </c>
      <c r="H922" s="2270">
        <f t="shared" ca="1" si="255"/>
        <v>2.1765504182076127</v>
      </c>
      <c r="I922" s="2270">
        <f t="shared" ca="1" si="255"/>
        <v>2.3362274918675423</v>
      </c>
      <c r="J922" s="2270">
        <f t="shared" ca="1" si="255"/>
        <v>2.6025483218170939</v>
      </c>
      <c r="K922" s="2270">
        <f t="shared" ca="1" si="255"/>
        <v>2.8798570486542818</v>
      </c>
      <c r="L922" s="2270">
        <f t="shared" ca="1" si="255"/>
        <v>3.4866417953156956</v>
      </c>
      <c r="M922" s="2270">
        <f ca="1">SUM(C922:L922)</f>
        <v>31.669002356462993</v>
      </c>
    </row>
    <row r="923" spans="2:13">
      <c r="B923" s="2705" t="s">
        <v>1853</v>
      </c>
      <c r="C923" s="2681">
        <f t="shared" ref="C923:L923" ca="1" si="256">SUM(C920:C922)</f>
        <v>156.9700258011685</v>
      </c>
      <c r="D923" s="2681">
        <f t="shared" ca="1" si="256"/>
        <v>159.24998215089548</v>
      </c>
      <c r="E923" s="2681">
        <f t="shared" ca="1" si="256"/>
        <v>116.80879655398299</v>
      </c>
      <c r="F923" s="2681">
        <f t="shared" ca="1" si="256"/>
        <v>175.92299237303871</v>
      </c>
      <c r="G923" s="2681">
        <f t="shared" ca="1" si="256"/>
        <v>180.02415001835377</v>
      </c>
      <c r="H923" s="2681">
        <f t="shared" ca="1" si="256"/>
        <v>184.41466010728024</v>
      </c>
      <c r="I923" s="2681">
        <f t="shared" ca="1" si="256"/>
        <v>189.11061988316692</v>
      </c>
      <c r="J923" s="2681">
        <f t="shared" ca="1" si="256"/>
        <v>191.81713095044742</v>
      </c>
      <c r="K923" s="2681">
        <f t="shared" ca="1" si="256"/>
        <v>195.87290575695994</v>
      </c>
      <c r="L923" s="2681">
        <f t="shared" ca="1" si="256"/>
        <v>201.29956660813249</v>
      </c>
      <c r="M923" s="2681">
        <f ca="1">SUM(C923:L923)</f>
        <v>1751.4908302034262</v>
      </c>
    </row>
    <row r="924" spans="2:13">
      <c r="C924" s="2686"/>
      <c r="D924" s="2686"/>
      <c r="E924" s="2686"/>
      <c r="F924" s="2686"/>
      <c r="G924" s="2686"/>
      <c r="H924" s="2686"/>
      <c r="I924" s="2686"/>
      <c r="J924" s="2686"/>
      <c r="K924" s="2686"/>
      <c r="L924" s="2686"/>
      <c r="M924" s="2686"/>
    </row>
    <row r="925" spans="2:13">
      <c r="B925" s="2234" t="s">
        <v>1854</v>
      </c>
      <c r="C925" s="2686"/>
      <c r="D925" s="2686"/>
      <c r="E925" s="2686"/>
      <c r="F925" s="2686"/>
      <c r="G925" s="2686"/>
      <c r="H925" s="2686"/>
      <c r="I925" s="2686"/>
      <c r="J925" s="2686"/>
      <c r="K925" s="2686"/>
      <c r="L925" s="2686"/>
      <c r="M925" s="2686"/>
    </row>
    <row r="926" spans="2:13">
      <c r="B926" s="2705" t="s">
        <v>620</v>
      </c>
      <c r="C926" s="2709" t="s">
        <v>1043</v>
      </c>
      <c r="D926" s="2709" t="s">
        <v>1044</v>
      </c>
      <c r="E926" s="2709" t="s">
        <v>1045</v>
      </c>
      <c r="F926" s="2709" t="s">
        <v>1046</v>
      </c>
      <c r="G926" s="2709" t="s">
        <v>1047</v>
      </c>
      <c r="H926" s="2709" t="s">
        <v>1048</v>
      </c>
      <c r="I926" s="2709" t="s">
        <v>1049</v>
      </c>
      <c r="J926" s="2709" t="s">
        <v>1050</v>
      </c>
      <c r="K926" s="2709" t="s">
        <v>1051</v>
      </c>
      <c r="L926" s="2709" t="s">
        <v>1052</v>
      </c>
      <c r="M926" s="2709" t="s">
        <v>1849</v>
      </c>
    </row>
    <row r="927" spans="2:13">
      <c r="B927" s="2234" t="s">
        <v>1842</v>
      </c>
      <c r="C927" s="2270">
        <f t="shared" ref="C927:L927" si="257">C908/100</f>
        <v>8.0058184087102191</v>
      </c>
      <c r="D927" s="2270">
        <f t="shared" si="257"/>
        <v>8.0250184087102205</v>
      </c>
      <c r="E927" s="2270">
        <f t="shared" si="257"/>
        <v>8.0446024087102206</v>
      </c>
      <c r="F927" s="2270">
        <f t="shared" si="257"/>
        <v>8.0645780887102188</v>
      </c>
      <c r="G927" s="2270">
        <f t="shared" si="257"/>
        <v>8.0849532823102201</v>
      </c>
      <c r="H927" s="2270">
        <f t="shared" si="257"/>
        <v>8.105735979782219</v>
      </c>
      <c r="I927" s="2270">
        <f t="shared" si="257"/>
        <v>8.1269343312036604</v>
      </c>
      <c r="J927" s="2270">
        <f t="shared" si="257"/>
        <v>8.1485566496535284</v>
      </c>
      <c r="K927" s="2270">
        <f t="shared" si="257"/>
        <v>8.1706114144723951</v>
      </c>
      <c r="L927" s="2270">
        <f t="shared" si="257"/>
        <v>8.1931072745876392</v>
      </c>
      <c r="M927" s="2270">
        <f>SUM(C927:L927)</f>
        <v>80.969916246850545</v>
      </c>
    </row>
    <row r="928" spans="2:13">
      <c r="B928" s="2234" t="s">
        <v>1855</v>
      </c>
      <c r="C928" s="2270">
        <f t="shared" ref="C928:L928" si="258">C909/100</f>
        <v>22.317352375297997</v>
      </c>
      <c r="D928" s="2270">
        <f t="shared" si="258"/>
        <v>22.210730225209517</v>
      </c>
      <c r="E928" s="2270">
        <f t="shared" si="258"/>
        <v>22.904830728595961</v>
      </c>
      <c r="F928" s="2270">
        <f t="shared" si="258"/>
        <v>22.676533000131229</v>
      </c>
      <c r="G928" s="2270">
        <f t="shared" si="258"/>
        <v>22.265136536508745</v>
      </c>
      <c r="H928" s="2270">
        <f t="shared" si="258"/>
        <v>22.299338001252654</v>
      </c>
      <c r="I928" s="2270">
        <f t="shared" si="258"/>
        <v>22.341601126608634</v>
      </c>
      <c r="J928" s="2270">
        <f t="shared" si="258"/>
        <v>29.167330396408911</v>
      </c>
      <c r="K928" s="2270">
        <f t="shared" si="258"/>
        <v>23.367625702514896</v>
      </c>
      <c r="L928" s="2270">
        <f t="shared" si="258"/>
        <v>22.516993239376752</v>
      </c>
      <c r="M928" s="2270">
        <f>SUM(C928:L928)</f>
        <v>232.0674713319053</v>
      </c>
    </row>
    <row r="929" spans="2:13">
      <c r="B929" s="2234" t="s">
        <v>178</v>
      </c>
      <c r="C929" s="2270">
        <f t="shared" ref="C929:L929" si="259">C911/100</f>
        <v>100.64637533343485</v>
      </c>
      <c r="D929" s="2270">
        <f t="shared" si="259"/>
        <v>99.2</v>
      </c>
      <c r="E929" s="2270">
        <f t="shared" si="259"/>
        <v>102.24</v>
      </c>
      <c r="F929" s="2270">
        <f t="shared" si="259"/>
        <v>102.24</v>
      </c>
      <c r="G929" s="2270">
        <f t="shared" si="259"/>
        <v>102.24</v>
      </c>
      <c r="H929" s="2270">
        <f t="shared" si="259"/>
        <v>95.85</v>
      </c>
      <c r="I929" s="2270">
        <f t="shared" si="259"/>
        <v>95.85</v>
      </c>
      <c r="J929" s="2270">
        <f t="shared" si="259"/>
        <v>95.85</v>
      </c>
      <c r="K929" s="2270">
        <f t="shared" si="259"/>
        <v>95.85</v>
      </c>
      <c r="L929" s="2270">
        <f t="shared" si="259"/>
        <v>95.85</v>
      </c>
      <c r="M929" s="2270">
        <f>SUM(C929:L929)</f>
        <v>985.81637533343496</v>
      </c>
    </row>
    <row r="930" spans="2:13">
      <c r="B930" s="2705" t="s">
        <v>1856</v>
      </c>
      <c r="C930" s="2681">
        <f t="shared" ref="C930:L930" si="260">SUM(C927:C929)</f>
        <v>130.96954611744306</v>
      </c>
      <c r="D930" s="2681">
        <f t="shared" si="260"/>
        <v>129.43574863391973</v>
      </c>
      <c r="E930" s="2681">
        <f t="shared" si="260"/>
        <v>133.18943313730617</v>
      </c>
      <c r="F930" s="2681">
        <f t="shared" si="260"/>
        <v>132.98111108884143</v>
      </c>
      <c r="G930" s="2681">
        <f t="shared" si="260"/>
        <v>132.59008981881897</v>
      </c>
      <c r="H930" s="2681">
        <f t="shared" si="260"/>
        <v>126.25507398103487</v>
      </c>
      <c r="I930" s="2681">
        <f t="shared" si="260"/>
        <v>126.31853545781229</v>
      </c>
      <c r="J930" s="2681">
        <f t="shared" si="260"/>
        <v>133.16588704606244</v>
      </c>
      <c r="K930" s="2681">
        <f t="shared" si="260"/>
        <v>127.38823711698728</v>
      </c>
      <c r="L930" s="2681">
        <f t="shared" si="260"/>
        <v>126.56010051396439</v>
      </c>
      <c r="M930" s="2681">
        <f>SUM(C930:L930)</f>
        <v>1298.8537629121906</v>
      </c>
    </row>
    <row r="931" spans="2:13">
      <c r="B931" s="2234" t="s">
        <v>1857</v>
      </c>
      <c r="C931" s="2270">
        <f t="shared" ref="C931:L931" si="261">C910/100</f>
        <v>34.176870000000001</v>
      </c>
      <c r="D931" s="2270">
        <f t="shared" si="261"/>
        <v>34.176870000000001</v>
      </c>
      <c r="E931" s="2270">
        <f t="shared" si="261"/>
        <v>34.176870000000001</v>
      </c>
      <c r="F931" s="2270">
        <f t="shared" si="261"/>
        <v>34.176870000000001</v>
      </c>
      <c r="G931" s="2270">
        <f t="shared" si="261"/>
        <v>34.176870000000001</v>
      </c>
      <c r="H931" s="2270">
        <f t="shared" si="261"/>
        <v>34.176870000000001</v>
      </c>
      <c r="I931" s="2270">
        <f t="shared" si="261"/>
        <v>34.176870000000001</v>
      </c>
      <c r="J931" s="2270">
        <f t="shared" si="261"/>
        <v>34.176870000000001</v>
      </c>
      <c r="K931" s="2270">
        <f t="shared" si="261"/>
        <v>34.176870000000001</v>
      </c>
      <c r="L931" s="2270">
        <f t="shared" si="261"/>
        <v>34.176870000000001</v>
      </c>
      <c r="M931" s="2270">
        <f>SUM(C931:L931)</f>
        <v>341.76870000000002</v>
      </c>
    </row>
    <row r="933" spans="2:13">
      <c r="B933" s="2234" t="s">
        <v>1858</v>
      </c>
    </row>
    <row r="934" spans="2:13">
      <c r="B934" s="2705" t="s">
        <v>1859</v>
      </c>
      <c r="C934" s="2705" t="s">
        <v>1860</v>
      </c>
      <c r="D934" s="2705" t="s">
        <v>1861</v>
      </c>
      <c r="E934" s="2705"/>
    </row>
    <row r="935" spans="2:13">
      <c r="B935" s="2234" t="s">
        <v>1862</v>
      </c>
      <c r="C935" s="2686">
        <f>55380/100</f>
        <v>553.79999999999995</v>
      </c>
      <c r="D935" s="2234" t="s">
        <v>1863</v>
      </c>
    </row>
    <row r="936" spans="2:13">
      <c r="B936" s="2234" t="s">
        <v>1864</v>
      </c>
      <c r="C936" s="2686">
        <f>41497/100</f>
        <v>414.97</v>
      </c>
      <c r="D936" s="2234" t="s">
        <v>1863</v>
      </c>
    </row>
    <row r="937" spans="2:13">
      <c r="B937" s="2705" t="s">
        <v>1865</v>
      </c>
      <c r="C937" s="2706">
        <f>C935+C936</f>
        <v>968.77</v>
      </c>
      <c r="D937" s="2705" t="s">
        <v>1866</v>
      </c>
      <c r="E937" s="2705"/>
    </row>
    <row r="938" spans="2:13">
      <c r="B938" s="2234" t="s">
        <v>1867</v>
      </c>
      <c r="C938" s="2686">
        <f ca="1">(N828+(-(SUM('CF(M)'!$L$99:$EQ$99)+SUM('CF(M)'!$L$104:$EQ$104)+SUM('CF(M)'!$L$109:$EQ$109)+SUM('CF(M)'!$L$114:$EQ$114))/1000))/100</f>
        <v>1159.8553477444098</v>
      </c>
      <c r="D938" s="2234" t="s">
        <v>1868</v>
      </c>
    </row>
    <row r="939" spans="2:13">
      <c r="B939" s="2234" t="s">
        <v>1869</v>
      </c>
      <c r="C939" s="2686">
        <f ca="1">M923-M930</f>
        <v>452.63706729123555</v>
      </c>
      <c r="D939" s="2234" t="s">
        <v>1870</v>
      </c>
    </row>
    <row r="940" spans="2:13">
      <c r="B940" s="2234" t="s">
        <v>1871</v>
      </c>
      <c r="C940" s="2686">
        <f ca="1">C935-C939</f>
        <v>101.1629327087644</v>
      </c>
      <c r="D940" s="2234" t="s">
        <v>1872</v>
      </c>
    </row>
    <row r="943" spans="2:13">
      <c r="C943" s="2270"/>
    </row>
    <row r="944" spans="2:13">
      <c r="C944" s="2254"/>
    </row>
    <row r="945" spans="2:17">
      <c r="C945" s="2254"/>
    </row>
    <row r="947" spans="2:17">
      <c r="B947" s="2671" t="s">
        <v>1873</v>
      </c>
      <c r="I947" s="2270">
        <f ca="1">D370</f>
        <v>115985.53477444098</v>
      </c>
    </row>
    <row r="948" spans="2:17" ht="24.75" thickBot="1">
      <c r="B948" s="2708" t="s">
        <v>620</v>
      </c>
      <c r="C948" s="2710" t="s">
        <v>1874</v>
      </c>
      <c r="D948" s="2710" t="s">
        <v>1875</v>
      </c>
      <c r="E948" s="2710" t="s">
        <v>1876</v>
      </c>
      <c r="F948" s="2710" t="s">
        <v>1877</v>
      </c>
      <c r="G948" s="2710" t="s">
        <v>1878</v>
      </c>
      <c r="I948" s="2270">
        <f ca="1">SUM(I952:I955)-I947</f>
        <v>0</v>
      </c>
    </row>
    <row r="949" spans="2:17" ht="12.75" thickBot="1">
      <c r="B949" s="2234" t="s">
        <v>1884</v>
      </c>
      <c r="C949" s="2420">
        <f>P951</f>
        <v>4.8918868912827713E-2</v>
      </c>
      <c r="D949" s="2420">
        <f ca="1">$P$950/(J950-$P$952)</f>
        <v>5.858828949705535E-2</v>
      </c>
      <c r="E949" s="2420">
        <f ca="1">$P$950/(K950-$P$952)</f>
        <v>5.9775856737008339E-2</v>
      </c>
      <c r="F949" s="2420">
        <f ca="1">$P$950/(L950-$P$952)</f>
        <v>6.1257860284042891E-2</v>
      </c>
      <c r="G949" s="2420">
        <f ca="1">$P$950/(M950-$P$952)</f>
        <v>7.0929832943783258E-2</v>
      </c>
      <c r="I949" s="2254">
        <f>C105</f>
        <v>4.8918868912827713E-2</v>
      </c>
      <c r="J949" s="2254">
        <f ca="1">$P$950/(J950-$P$952)</f>
        <v>5.858828949705535E-2</v>
      </c>
      <c r="K949" s="2254">
        <f ca="1">$P$950/(K950-$P$952)</f>
        <v>5.9775856737008339E-2</v>
      </c>
      <c r="L949" s="2254">
        <f ca="1">$P$950/(L950-$P$952)</f>
        <v>6.1257860284042891E-2</v>
      </c>
      <c r="M949" s="2254">
        <f ca="1">$P$950/(M950-$P$952)</f>
        <v>7.0929832943783258E-2</v>
      </c>
      <c r="O949" s="2262" t="str">
        <f t="shared" ref="O949:Q950" si="262">B103</f>
        <v>구분</v>
      </c>
      <c r="P949" s="2272" t="str">
        <f t="shared" si="262"/>
        <v>금액</v>
      </c>
      <c r="Q949" s="2263" t="str">
        <f t="shared" si="262"/>
        <v>내용</v>
      </c>
    </row>
    <row r="950" spans="2:17" ht="12.75" thickBot="1">
      <c r="B950" s="2234" t="s">
        <v>1885</v>
      </c>
      <c r="C950" s="2707">
        <f>I950/100</f>
        <v>3758.6075822378766</v>
      </c>
      <c r="D950" s="2707">
        <f t="shared" ref="D950:G950" ca="1" si="263">J950/100</f>
        <v>3141.7522344934669</v>
      </c>
      <c r="E950" s="2707">
        <f t="shared" ca="1" si="263"/>
        <v>3079.7522344934669</v>
      </c>
      <c r="F950" s="2707">
        <f t="shared" ca="1" si="263"/>
        <v>3005.7522344934669</v>
      </c>
      <c r="G950" s="2707">
        <f t="shared" ca="1" si="263"/>
        <v>2598.7522344934669</v>
      </c>
      <c r="I950" s="2270">
        <f>P953</f>
        <v>375860.75822378765</v>
      </c>
      <c r="J950" s="2270">
        <f ca="1">J951-$I$947+$I$950</f>
        <v>314175.22344934667</v>
      </c>
      <c r="K950" s="2270">
        <f t="shared" ref="K950:M950" ca="1" si="264">K951-$I$947+$I$950</f>
        <v>307975.22344934667</v>
      </c>
      <c r="L950" s="2270">
        <f t="shared" ca="1" si="264"/>
        <v>300575.22344934667</v>
      </c>
      <c r="M950" s="2270">
        <f t="shared" ca="1" si="264"/>
        <v>259875.22344934667</v>
      </c>
      <c r="O950" s="2273" t="str">
        <f t="shared" si="262"/>
        <v>N+1 NOI</v>
      </c>
      <c r="P950" s="2275">
        <f t="shared" si="262"/>
        <v>18283.95353630856</v>
      </c>
      <c r="Q950" s="2276" t="str">
        <f t="shared" si="262"/>
        <v>11년차</v>
      </c>
    </row>
    <row r="951" spans="2:17" ht="12.75" thickBot="1">
      <c r="B951" s="2713" t="s">
        <v>1883</v>
      </c>
      <c r="C951" s="2714">
        <f ca="1">E240</f>
        <v>0.12773737309960459</v>
      </c>
      <c r="D951" s="2714">
        <f>J951/$H951/10</f>
        <v>5.980176211453745E-2</v>
      </c>
      <c r="E951" s="2714">
        <f t="shared" ref="E951:G951" si="265">K951/$H951/10</f>
        <v>5.2973568281938319E-2</v>
      </c>
      <c r="F951" s="2714">
        <f t="shared" si="265"/>
        <v>4.4823788546255502E-2</v>
      </c>
      <c r="G951" s="2714">
        <f t="shared" si="265"/>
        <v>0</v>
      </c>
      <c r="H951" s="2711">
        <f>SUM(H952:H955)</f>
        <v>90800</v>
      </c>
      <c r="I951" s="2270">
        <f ca="1">C951*$H951*10</f>
        <v>115985.53477444097</v>
      </c>
      <c r="J951" s="2270">
        <f>SUM(J952:J955)</f>
        <v>54300</v>
      </c>
      <c r="K951" s="2270">
        <f t="shared" ref="K951:M951" si="266">SUM(K952:K955)</f>
        <v>48100</v>
      </c>
      <c r="L951" s="2270">
        <f t="shared" si="266"/>
        <v>40700</v>
      </c>
      <c r="M951" s="2270">
        <f t="shared" si="266"/>
        <v>0</v>
      </c>
      <c r="O951" s="2273" t="str">
        <f t="shared" ref="O951:P953" si="267">B105</f>
        <v>Cap Rate</v>
      </c>
      <c r="P951" s="2277">
        <f t="shared" si="267"/>
        <v>4.8918868912827713E-2</v>
      </c>
      <c r="Q951" s="2274"/>
    </row>
    <row r="952" spans="2:17" ht="12.75" thickBot="1">
      <c r="B952" s="2234" t="s">
        <v>1879</v>
      </c>
      <c r="C952" s="2420">
        <f ca="1">E236</f>
        <v>7.0000000000000021E-2</v>
      </c>
      <c r="D952" s="2420">
        <f>'A&amp;R'!S41</f>
        <v>7.0000000000000007E-2</v>
      </c>
      <c r="E952" s="2420">
        <f>'A&amp;R'!S35</f>
        <v>6.5000000000000002E-2</v>
      </c>
      <c r="F952" s="2420">
        <f>'A&amp;R'!S32</f>
        <v>5.5E-2</v>
      </c>
      <c r="G952" s="2420">
        <v>0</v>
      </c>
      <c r="H952" s="2711">
        <f>'A&amp;R'!P41*'A&amp;R'!O41/120/1000</f>
        <v>24000</v>
      </c>
      <c r="I952" s="2270">
        <f ca="1">C952*$H952*10</f>
        <v>16800.000000000004</v>
      </c>
      <c r="J952" s="2270">
        <f>D952*$H952*10</f>
        <v>16800.000000000004</v>
      </c>
      <c r="K952" s="2270">
        <f t="shared" ref="K952:M955" si="268">E952*$H952*10</f>
        <v>15600</v>
      </c>
      <c r="L952" s="2270">
        <f t="shared" si="268"/>
        <v>13200</v>
      </c>
      <c r="M952" s="2270">
        <f t="shared" si="268"/>
        <v>0</v>
      </c>
      <c r="O952" s="2273" t="str">
        <f t="shared" si="267"/>
        <v>매각시점 보증금</v>
      </c>
      <c r="P952" s="2275">
        <f t="shared" si="267"/>
        <v>2100</v>
      </c>
      <c r="Q952" s="2274"/>
    </row>
    <row r="953" spans="2:17" ht="12.75" thickBot="1">
      <c r="B953" s="2234" t="s">
        <v>1880</v>
      </c>
      <c r="C953" s="2420">
        <f ca="1">E237</f>
        <v>9.9230213909776391E-2</v>
      </c>
      <c r="D953" s="2420">
        <f>'A&amp;R'!S42</f>
        <v>7.4999999999999997E-2</v>
      </c>
      <c r="E953" s="2420">
        <f>'A&amp;R'!S35</f>
        <v>6.5000000000000002E-2</v>
      </c>
      <c r="F953" s="2420">
        <f>'A&amp;R'!S32</f>
        <v>5.5E-2</v>
      </c>
      <c r="G953" s="2420">
        <v>0</v>
      </c>
      <c r="H953" s="2711">
        <f>'A&amp;R'!P42*'A&amp;R'!O42/120/1000</f>
        <v>50000</v>
      </c>
      <c r="I953" s="2270">
        <f t="shared" ref="I953:J955" ca="1" si="269">C953*$H953*10</f>
        <v>49615.106954888193</v>
      </c>
      <c r="J953" s="2270">
        <f t="shared" si="269"/>
        <v>37500</v>
      </c>
      <c r="K953" s="2270">
        <f t="shared" si="268"/>
        <v>32500</v>
      </c>
      <c r="L953" s="2270">
        <f t="shared" si="268"/>
        <v>27500</v>
      </c>
      <c r="M953" s="2270">
        <f t="shared" si="268"/>
        <v>0</v>
      </c>
      <c r="O953" s="2278" t="str">
        <f t="shared" si="267"/>
        <v>매각금액</v>
      </c>
      <c r="P953" s="2279">
        <f t="shared" si="267"/>
        <v>375860.75822378765</v>
      </c>
      <c r="Q953" s="2274" t="str">
        <f>D107</f>
        <v>평당 약 1,214만원</v>
      </c>
    </row>
    <row r="954" spans="2:17">
      <c r="B954" s="2234" t="s">
        <v>1881</v>
      </c>
      <c r="C954" s="2420">
        <f>E238</f>
        <v>0</v>
      </c>
      <c r="D954" s="2420">
        <v>0</v>
      </c>
      <c r="E954" s="2420">
        <v>0</v>
      </c>
      <c r="F954" s="2420">
        <v>0</v>
      </c>
      <c r="G954" s="2420">
        <v>0</v>
      </c>
      <c r="H954" s="2711">
        <f>'A&amp;R'!P43*'A&amp;R'!O43/120/1000</f>
        <v>2000</v>
      </c>
      <c r="I954" s="2270">
        <f t="shared" si="269"/>
        <v>0</v>
      </c>
      <c r="J954" s="2270">
        <f t="shared" si="269"/>
        <v>0</v>
      </c>
      <c r="K954" s="2270">
        <f t="shared" si="268"/>
        <v>0</v>
      </c>
      <c r="L954" s="2270">
        <f t="shared" si="268"/>
        <v>0</v>
      </c>
      <c r="M954" s="2270">
        <f t="shared" si="268"/>
        <v>0</v>
      </c>
    </row>
    <row r="955" spans="2:17">
      <c r="B955" s="2672" t="s">
        <v>19</v>
      </c>
      <c r="C955" s="2715">
        <f ca="1">E239</f>
        <v>0.33493532310508634</v>
      </c>
      <c r="D955" s="2715">
        <v>0</v>
      </c>
      <c r="E955" s="2715">
        <v>0</v>
      </c>
      <c r="F955" s="2715">
        <v>0</v>
      </c>
      <c r="G955" s="2715">
        <v>0</v>
      </c>
      <c r="H955" s="2711">
        <f>'A&amp;R'!P44*'A&amp;R'!O44/120/1000</f>
        <v>14800</v>
      </c>
      <c r="I955" s="2270">
        <f t="shared" ca="1" si="269"/>
        <v>49570.42781955278</v>
      </c>
      <c r="J955" s="2270">
        <f t="shared" si="269"/>
        <v>0</v>
      </c>
      <c r="K955" s="2270">
        <f t="shared" si="268"/>
        <v>0</v>
      </c>
      <c r="L955" s="2270">
        <f t="shared" si="268"/>
        <v>0</v>
      </c>
      <c r="M955" s="2270">
        <f t="shared" si="268"/>
        <v>0</v>
      </c>
    </row>
    <row r="956" spans="2:17">
      <c r="B956" s="2234" t="s">
        <v>1882</v>
      </c>
      <c r="C956" s="2687">
        <f>D459</f>
        <v>1.260474277585605</v>
      </c>
      <c r="D956" s="2687">
        <f>C956</f>
        <v>1.260474277585605</v>
      </c>
      <c r="E956" s="2687">
        <f t="shared" ref="E956:G956" si="270">D956</f>
        <v>1.260474277585605</v>
      </c>
      <c r="F956" s="2687">
        <f t="shared" si="270"/>
        <v>1.260474277585605</v>
      </c>
      <c r="G956" s="2687">
        <f t="shared" si="270"/>
        <v>1.260474277585605</v>
      </c>
      <c r="H956" s="2712"/>
    </row>
    <row r="960" spans="2:17">
      <c r="B960" s="2713" t="s">
        <v>1114</v>
      </c>
      <c r="C960" s="2714">
        <f>'A&amp;R'!X23</f>
        <v>6.7500938244372463E-3</v>
      </c>
      <c r="D960" s="2714">
        <f ca="1">1-J960/$H960</f>
        <v>1.3160684607757545E-2</v>
      </c>
      <c r="E960" s="2714">
        <f t="shared" ref="E960:G960" ca="1" si="271">1-K960/$H960</f>
        <v>4.8967588082158953E-2</v>
      </c>
      <c r="F960" s="2714">
        <f t="shared" ca="1" si="271"/>
        <v>9.1704859970960673E-2</v>
      </c>
      <c r="G960" s="2714">
        <f t="shared" ca="1" si="271"/>
        <v>0.32675985535937024</v>
      </c>
      <c r="H960" s="2270">
        <f>I960/(1-C960)</f>
        <v>173150.96806492674</v>
      </c>
      <c r="I960" s="2270">
        <f>C117+C118</f>
        <v>171982.18278469634</v>
      </c>
      <c r="J960" s="2270">
        <f ca="1">$I960-J961</f>
        <v>170872.18278469634</v>
      </c>
      <c r="K960" s="2270">
        <f t="shared" ref="K960:M960" ca="1" si="272">$I960-K961</f>
        <v>164672.18278469634</v>
      </c>
      <c r="L960" s="2270">
        <f t="shared" ca="1" si="272"/>
        <v>157272.18278469634</v>
      </c>
      <c r="M960" s="2270">
        <f t="shared" ca="1" si="272"/>
        <v>116572.18278469634</v>
      </c>
    </row>
    <row r="961" spans="2:13">
      <c r="B961" s="2234" t="s">
        <v>1833</v>
      </c>
      <c r="C961" s="2707">
        <f ca="1">I962/100</f>
        <v>554.1</v>
      </c>
      <c r="D961" s="2707">
        <f t="shared" ref="D961:G961" si="273">J962/100</f>
        <v>543</v>
      </c>
      <c r="E961" s="2707">
        <f t="shared" si="273"/>
        <v>481</v>
      </c>
      <c r="F961" s="2707">
        <f>L962/100</f>
        <v>407</v>
      </c>
      <c r="G961" s="2707">
        <f t="shared" si="273"/>
        <v>0</v>
      </c>
      <c r="I961" s="2270">
        <f ca="1">$F$370</f>
        <v>55410</v>
      </c>
      <c r="J961" s="2270">
        <f ca="1">$I961-J962</f>
        <v>1110</v>
      </c>
      <c r="K961" s="2270">
        <f t="shared" ref="K961:M961" ca="1" si="274">$I961-K962</f>
        <v>7310</v>
      </c>
      <c r="L961" s="2270">
        <f t="shared" ca="1" si="274"/>
        <v>14710</v>
      </c>
      <c r="M961" s="2270">
        <f t="shared" ca="1" si="274"/>
        <v>55410</v>
      </c>
    </row>
    <row r="962" spans="2:13">
      <c r="B962" s="2713" t="s">
        <v>1883</v>
      </c>
      <c r="C962" s="2714">
        <f ca="1">C240</f>
        <v>6.1024229074889864E-2</v>
      </c>
      <c r="D962" s="2714">
        <f t="shared" ref="D962:E962" si="275">J962/$H962/10</f>
        <v>5.980176211453745E-2</v>
      </c>
      <c r="E962" s="2714">
        <f t="shared" si="275"/>
        <v>5.2973568281938319E-2</v>
      </c>
      <c r="F962" s="2714">
        <f t="shared" ref="F962:G962" si="276">L962/$H962/10</f>
        <v>4.4823788546255502E-2</v>
      </c>
      <c r="G962" s="2714">
        <f t="shared" si="276"/>
        <v>0</v>
      </c>
      <c r="H962" s="2270">
        <f>H951</f>
        <v>90800</v>
      </c>
      <c r="I962" s="2270">
        <f ca="1">C962*$H962*10</f>
        <v>55410</v>
      </c>
      <c r="J962" s="2270">
        <f>SUM(J963:J966)</f>
        <v>54300</v>
      </c>
      <c r="K962" s="2270">
        <f t="shared" ref="K962" si="277">SUM(K963:K966)</f>
        <v>48100</v>
      </c>
      <c r="L962" s="2270">
        <f t="shared" ref="L962" si="278">SUM(L963:L966)</f>
        <v>40700</v>
      </c>
      <c r="M962" s="2270">
        <f t="shared" ref="M962" si="279">SUM(M963:M966)</f>
        <v>0</v>
      </c>
    </row>
    <row r="963" spans="2:13">
      <c r="B963" s="2234" t="s">
        <v>1879</v>
      </c>
      <c r="C963" s="2420">
        <f ca="1">C236</f>
        <v>7.0000000000000021E-2</v>
      </c>
      <c r="D963" s="2420">
        <f t="shared" ref="D963:G966" si="280">D952</f>
        <v>7.0000000000000007E-2</v>
      </c>
      <c r="E963" s="2420">
        <f t="shared" si="280"/>
        <v>6.5000000000000002E-2</v>
      </c>
      <c r="F963" s="2420">
        <f t="shared" si="280"/>
        <v>5.5E-2</v>
      </c>
      <c r="G963" s="2420">
        <f t="shared" si="280"/>
        <v>0</v>
      </c>
      <c r="H963" s="2270">
        <f t="shared" ref="H963:H966" si="281">H952</f>
        <v>24000</v>
      </c>
      <c r="I963" s="2270">
        <f ca="1">C963*$H963*10</f>
        <v>16800.000000000004</v>
      </c>
      <c r="J963" s="2270">
        <f>D963*$H963*10</f>
        <v>16800.000000000004</v>
      </c>
      <c r="K963" s="2270">
        <f t="shared" ref="K963:K966" si="282">E963*$H963*10</f>
        <v>15600</v>
      </c>
      <c r="L963" s="2270">
        <f t="shared" ref="L963:L966" si="283">F963*$H963*10</f>
        <v>13200</v>
      </c>
      <c r="M963" s="2270">
        <f t="shared" ref="M963:M966" si="284">G963*$H963*10</f>
        <v>0</v>
      </c>
    </row>
    <row r="964" spans="2:13">
      <c r="B964" s="2234" t="s">
        <v>1880</v>
      </c>
      <c r="C964" s="2420">
        <f ca="1">C237</f>
        <v>7.5000000000000011E-2</v>
      </c>
      <c r="D964" s="2420">
        <f t="shared" si="280"/>
        <v>7.4999999999999997E-2</v>
      </c>
      <c r="E964" s="2420">
        <f t="shared" si="280"/>
        <v>6.5000000000000002E-2</v>
      </c>
      <c r="F964" s="2420">
        <f t="shared" si="280"/>
        <v>5.5E-2</v>
      </c>
      <c r="G964" s="2420">
        <f t="shared" si="280"/>
        <v>0</v>
      </c>
      <c r="H964" s="2270">
        <f t="shared" si="281"/>
        <v>50000</v>
      </c>
      <c r="I964" s="2270">
        <f t="shared" ref="I964:I966" ca="1" si="285">C964*$H964*10</f>
        <v>37500.000000000007</v>
      </c>
      <c r="J964" s="2270">
        <f t="shared" ref="J964:J966" si="286">D964*$H964*10</f>
        <v>37500</v>
      </c>
      <c r="K964" s="2270">
        <f t="shared" si="282"/>
        <v>32500</v>
      </c>
      <c r="L964" s="2270">
        <f t="shared" si="283"/>
        <v>27500</v>
      </c>
      <c r="M964" s="2270">
        <f t="shared" si="284"/>
        <v>0</v>
      </c>
    </row>
    <row r="965" spans="2:13">
      <c r="B965" s="2234" t="s">
        <v>1881</v>
      </c>
      <c r="C965" s="2420">
        <f>C238</f>
        <v>0</v>
      </c>
      <c r="D965" s="2420">
        <f t="shared" si="280"/>
        <v>0</v>
      </c>
      <c r="E965" s="2420">
        <f t="shared" si="280"/>
        <v>0</v>
      </c>
      <c r="F965" s="2420">
        <f t="shared" si="280"/>
        <v>0</v>
      </c>
      <c r="G965" s="2420">
        <f t="shared" si="280"/>
        <v>0</v>
      </c>
      <c r="H965" s="2270">
        <f t="shared" si="281"/>
        <v>2000</v>
      </c>
      <c r="I965" s="2270">
        <f t="shared" si="285"/>
        <v>0</v>
      </c>
      <c r="J965" s="2270">
        <f t="shared" si="286"/>
        <v>0</v>
      </c>
      <c r="K965" s="2270">
        <f t="shared" si="282"/>
        <v>0</v>
      </c>
      <c r="L965" s="2270">
        <f t="shared" si="283"/>
        <v>0</v>
      </c>
      <c r="M965" s="2270">
        <f t="shared" si="284"/>
        <v>0</v>
      </c>
    </row>
    <row r="966" spans="2:13">
      <c r="B966" s="2672" t="s">
        <v>19</v>
      </c>
      <c r="C966" s="2715">
        <f ca="1">C239</f>
        <v>7.4999999999999997E-3</v>
      </c>
      <c r="D966" s="2715">
        <f t="shared" si="280"/>
        <v>0</v>
      </c>
      <c r="E966" s="2715">
        <f t="shared" si="280"/>
        <v>0</v>
      </c>
      <c r="F966" s="2715">
        <f t="shared" si="280"/>
        <v>0</v>
      </c>
      <c r="G966" s="2715">
        <f t="shared" si="280"/>
        <v>0</v>
      </c>
      <c r="H966" s="2270">
        <f t="shared" si="281"/>
        <v>14800</v>
      </c>
      <c r="I966" s="2270">
        <f t="shared" ca="1" si="285"/>
        <v>1110</v>
      </c>
      <c r="J966" s="2270">
        <f t="shared" si="286"/>
        <v>0</v>
      </c>
      <c r="K966" s="2270">
        <f t="shared" si="282"/>
        <v>0</v>
      </c>
      <c r="L966" s="2270">
        <f t="shared" si="283"/>
        <v>0</v>
      </c>
      <c r="M966" s="2270">
        <f t="shared" si="284"/>
        <v>0</v>
      </c>
    </row>
    <row r="967" spans="2:13">
      <c r="B967" s="2672" t="s">
        <v>1882</v>
      </c>
      <c r="C967" s="2717">
        <f>I967/I968</f>
        <v>1.260474277585605</v>
      </c>
      <c r="D967" s="2717">
        <f t="shared" ref="D967:G967" ca="1" si="287">J967/J968</f>
        <v>1.2492847614565727</v>
      </c>
      <c r="E967" s="2717">
        <f t="shared" ca="1" si="287"/>
        <v>1.1867847614565727</v>
      </c>
      <c r="F967" s="2717">
        <f t="shared" ca="1" si="287"/>
        <v>1.1121879872630243</v>
      </c>
      <c r="G967" s="2717">
        <f t="shared" ca="1" si="287"/>
        <v>0.70190572919850824</v>
      </c>
      <c r="I967" s="2270">
        <f>D454</f>
        <v>3125.9762084123004</v>
      </c>
      <c r="J967" s="2270">
        <f ca="1">$I967-J961/120*3</f>
        <v>3098.2262084123004</v>
      </c>
      <c r="K967" s="2270">
        <f t="shared" ref="K967:M967" ca="1" si="288">$I967-K961/120*3</f>
        <v>2943.2262084123004</v>
      </c>
      <c r="L967" s="2270">
        <f t="shared" ca="1" si="288"/>
        <v>2758.2262084123004</v>
      </c>
      <c r="M967" s="2270">
        <f t="shared" ca="1" si="288"/>
        <v>1740.7262084123004</v>
      </c>
    </row>
    <row r="968" spans="2:13">
      <c r="C968" s="2420"/>
      <c r="D968" s="2420"/>
      <c r="E968" s="2420"/>
      <c r="F968" s="2420"/>
      <c r="G968" s="2420"/>
      <c r="I968" s="2270">
        <f>D452+D453</f>
        <v>2480</v>
      </c>
      <c r="J968" s="2270">
        <f>I968</f>
        <v>2480</v>
      </c>
      <c r="K968" s="2270">
        <f t="shared" ref="K968:M968" si="289">J968</f>
        <v>2480</v>
      </c>
      <c r="L968" s="2270">
        <f t="shared" si="289"/>
        <v>2480</v>
      </c>
      <c r="M968" s="2270">
        <f t="shared" si="289"/>
        <v>2480</v>
      </c>
    </row>
    <row r="969" spans="2:13">
      <c r="C969" s="2420"/>
      <c r="D969" s="2420"/>
      <c r="E969" s="2420"/>
      <c r="F969" s="2420"/>
      <c r="G969" s="2420"/>
    </row>
    <row r="970" spans="2:13">
      <c r="I970" s="2270">
        <f>TIC!G42/1000</f>
        <v>2320</v>
      </c>
    </row>
    <row r="971" spans="2:13">
      <c r="I971" s="2270">
        <f>TIC!G43/1000</f>
        <v>380</v>
      </c>
    </row>
    <row r="972" spans="2:13">
      <c r="I972" s="2270">
        <f>-(C172+C173)+I970+I971</f>
        <v>101137</v>
      </c>
      <c r="J972" s="2270">
        <f ca="1">$I972+J975</f>
        <v>102247</v>
      </c>
      <c r="K972" s="2270">
        <f t="shared" ref="K972:M972" ca="1" si="290">$I972+K975</f>
        <v>108447</v>
      </c>
      <c r="L972" s="2270">
        <f t="shared" ca="1" si="290"/>
        <v>115847</v>
      </c>
      <c r="M972" s="2270">
        <f t="shared" ca="1" si="290"/>
        <v>156547</v>
      </c>
    </row>
    <row r="973" spans="2:13">
      <c r="I973" s="2270">
        <f>$O$222</f>
        <v>210000</v>
      </c>
      <c r="J973" s="2270">
        <f>I973</f>
        <v>210000</v>
      </c>
      <c r="K973" s="2270">
        <f t="shared" ref="K973:M973" si="291">J973</f>
        <v>210000</v>
      </c>
      <c r="L973" s="2270">
        <f t="shared" si="291"/>
        <v>210000</v>
      </c>
      <c r="M973" s="2270">
        <f t="shared" si="291"/>
        <v>210000</v>
      </c>
    </row>
    <row r="974" spans="2:13">
      <c r="B974" s="2713" t="s">
        <v>1886</v>
      </c>
      <c r="C974" s="2714">
        <f>I974</f>
        <v>4.8160476190476191E-2</v>
      </c>
      <c r="D974" s="2714">
        <f t="shared" ref="D974:G974" ca="1" si="292">J974</f>
        <v>4.8689047619047618E-2</v>
      </c>
      <c r="E974" s="2714">
        <f t="shared" ca="1" si="292"/>
        <v>5.1641428571428574E-2</v>
      </c>
      <c r="F974" s="2714">
        <f t="shared" ca="1" si="292"/>
        <v>5.5165238095238101E-2</v>
      </c>
      <c r="G974" s="2714">
        <f t="shared" ca="1" si="292"/>
        <v>7.4546190476190474E-2</v>
      </c>
      <c r="I974" s="2716">
        <f>I972/I973/10</f>
        <v>4.8160476190476191E-2</v>
      </c>
      <c r="J974" s="2716">
        <f t="shared" ref="J974:M974" ca="1" si="293">J972/J973/10</f>
        <v>4.8689047619047618E-2</v>
      </c>
      <c r="K974" s="2716">
        <f t="shared" ca="1" si="293"/>
        <v>5.1641428571428574E-2</v>
      </c>
      <c r="L974" s="2716">
        <f t="shared" ca="1" si="293"/>
        <v>5.5165238095238101E-2</v>
      </c>
      <c r="M974" s="2716">
        <f t="shared" ca="1" si="293"/>
        <v>7.4546190476190474E-2</v>
      </c>
    </row>
    <row r="975" spans="2:13">
      <c r="B975" s="2234" t="s">
        <v>1833</v>
      </c>
      <c r="C975" s="2707">
        <f ca="1">I976/100</f>
        <v>554.1</v>
      </c>
      <c r="D975" s="2707">
        <f t="shared" ref="D975" si="294">J976/100</f>
        <v>543</v>
      </c>
      <c r="E975" s="2707">
        <f t="shared" ref="E975" si="295">K976/100</f>
        <v>481</v>
      </c>
      <c r="F975" s="2707">
        <f>L976/100</f>
        <v>407</v>
      </c>
      <c r="G975" s="2707">
        <f t="shared" ref="G975" si="296">M976/100</f>
        <v>0</v>
      </c>
      <c r="I975" s="2270">
        <f ca="1">$F$370</f>
        <v>55410</v>
      </c>
      <c r="J975" s="2270">
        <f ca="1">$I975-J976</f>
        <v>1110</v>
      </c>
      <c r="K975" s="2270">
        <f t="shared" ref="K975:M975" ca="1" si="297">$I975-K976</f>
        <v>7310</v>
      </c>
      <c r="L975" s="2270">
        <f t="shared" ca="1" si="297"/>
        <v>14710</v>
      </c>
      <c r="M975" s="2270">
        <f t="shared" ca="1" si="297"/>
        <v>55410</v>
      </c>
    </row>
    <row r="976" spans="2:13">
      <c r="B976" s="2713" t="s">
        <v>1883</v>
      </c>
      <c r="C976" s="2714">
        <f ca="1">C962</f>
        <v>6.1024229074889864E-2</v>
      </c>
      <c r="D976" s="2714">
        <f t="shared" ref="D976" si="298">J976/$H976/10</f>
        <v>5.980176211453745E-2</v>
      </c>
      <c r="E976" s="2714">
        <f>K976/$H976/10</f>
        <v>5.2973568281938319E-2</v>
      </c>
      <c r="F976" s="2714">
        <f t="shared" ref="F976" si="299">L976/$H976/10</f>
        <v>4.4823788546255502E-2</v>
      </c>
      <c r="G976" s="2714">
        <f t="shared" ref="G976" si="300">M976/$H976/10</f>
        <v>0</v>
      </c>
      <c r="H976" s="2270">
        <f>H962</f>
        <v>90800</v>
      </c>
      <c r="I976" s="2270">
        <f ca="1">C976*$H976*10</f>
        <v>55410</v>
      </c>
      <c r="J976" s="2270">
        <f>SUM(J977:J980)</f>
        <v>54300</v>
      </c>
      <c r="K976" s="2270">
        <f t="shared" ref="K976:M976" si="301">SUM(K977:K980)</f>
        <v>48100</v>
      </c>
      <c r="L976" s="2270">
        <f t="shared" si="301"/>
        <v>40700</v>
      </c>
      <c r="M976" s="2270">
        <f t="shared" si="301"/>
        <v>0</v>
      </c>
    </row>
    <row r="977" spans="2:13">
      <c r="B977" s="2234" t="s">
        <v>1879</v>
      </c>
      <c r="C977" s="2420">
        <f ca="1">C963</f>
        <v>7.0000000000000021E-2</v>
      </c>
      <c r="D977" s="2420">
        <f t="shared" ref="D977:G980" si="302">D963</f>
        <v>7.0000000000000007E-2</v>
      </c>
      <c r="E977" s="2420">
        <f t="shared" si="302"/>
        <v>6.5000000000000002E-2</v>
      </c>
      <c r="F977" s="2420">
        <f t="shared" si="302"/>
        <v>5.5E-2</v>
      </c>
      <c r="G977" s="2420">
        <f t="shared" si="302"/>
        <v>0</v>
      </c>
      <c r="H977" s="2270">
        <f>H963</f>
        <v>24000</v>
      </c>
      <c r="I977" s="2270">
        <f ca="1">C977*$H977*10</f>
        <v>16800.000000000004</v>
      </c>
      <c r="J977" s="2270">
        <f t="shared" ref="J977:M980" si="303">D977*$H977*10</f>
        <v>16800.000000000004</v>
      </c>
      <c r="K977" s="2270">
        <f t="shared" si="303"/>
        <v>15600</v>
      </c>
      <c r="L977" s="2270">
        <f t="shared" si="303"/>
        <v>13200</v>
      </c>
      <c r="M977" s="2270">
        <f t="shared" si="303"/>
        <v>0</v>
      </c>
    </row>
    <row r="978" spans="2:13">
      <c r="B978" s="2234" t="s">
        <v>1880</v>
      </c>
      <c r="C978" s="2420">
        <f ca="1">C964</f>
        <v>7.5000000000000011E-2</v>
      </c>
      <c r="D978" s="2420">
        <f t="shared" si="302"/>
        <v>7.4999999999999997E-2</v>
      </c>
      <c r="E978" s="2420">
        <f t="shared" si="302"/>
        <v>6.5000000000000002E-2</v>
      </c>
      <c r="F978" s="2420">
        <f t="shared" si="302"/>
        <v>5.5E-2</v>
      </c>
      <c r="G978" s="2420">
        <f t="shared" si="302"/>
        <v>0</v>
      </c>
      <c r="H978" s="2270">
        <f>H964</f>
        <v>50000</v>
      </c>
      <c r="I978" s="2270">
        <f t="shared" ref="I978:I980" ca="1" si="304">C978*$H978*10</f>
        <v>37500.000000000007</v>
      </c>
      <c r="J978" s="2270">
        <f t="shared" si="303"/>
        <v>37500</v>
      </c>
      <c r="K978" s="2270">
        <f t="shared" si="303"/>
        <v>32500</v>
      </c>
      <c r="L978" s="2270">
        <f t="shared" si="303"/>
        <v>27500</v>
      </c>
      <c r="M978" s="2270">
        <f t="shared" si="303"/>
        <v>0</v>
      </c>
    </row>
    <row r="979" spans="2:13">
      <c r="B979" s="2234" t="s">
        <v>1881</v>
      </c>
      <c r="C979" s="2420">
        <f>C965</f>
        <v>0</v>
      </c>
      <c r="D979" s="2420">
        <f t="shared" si="302"/>
        <v>0</v>
      </c>
      <c r="E979" s="2420">
        <f t="shared" si="302"/>
        <v>0</v>
      </c>
      <c r="F979" s="2420">
        <f t="shared" si="302"/>
        <v>0</v>
      </c>
      <c r="G979" s="2420">
        <f t="shared" si="302"/>
        <v>0</v>
      </c>
      <c r="H979" s="2270">
        <f>H965</f>
        <v>2000</v>
      </c>
      <c r="I979" s="2270">
        <f t="shared" si="304"/>
        <v>0</v>
      </c>
      <c r="J979" s="2270">
        <f t="shared" si="303"/>
        <v>0</v>
      </c>
      <c r="K979" s="2270">
        <f t="shared" si="303"/>
        <v>0</v>
      </c>
      <c r="L979" s="2270">
        <f t="shared" si="303"/>
        <v>0</v>
      </c>
      <c r="M979" s="2270">
        <f t="shared" si="303"/>
        <v>0</v>
      </c>
    </row>
    <row r="980" spans="2:13">
      <c r="B980" s="2672" t="s">
        <v>19</v>
      </c>
      <c r="C980" s="2715">
        <f ca="1">C966</f>
        <v>7.4999999999999997E-3</v>
      </c>
      <c r="D980" s="2715">
        <f t="shared" si="302"/>
        <v>0</v>
      </c>
      <c r="E980" s="2715">
        <f t="shared" si="302"/>
        <v>0</v>
      </c>
      <c r="F980" s="2715">
        <f t="shared" si="302"/>
        <v>0</v>
      </c>
      <c r="G980" s="2715">
        <f t="shared" si="302"/>
        <v>0</v>
      </c>
      <c r="H980" s="2270">
        <f>H966</f>
        <v>14800</v>
      </c>
      <c r="I980" s="2270">
        <f t="shared" ca="1" si="304"/>
        <v>1110</v>
      </c>
      <c r="J980" s="2270">
        <f t="shared" si="303"/>
        <v>0</v>
      </c>
      <c r="K980" s="2270">
        <f t="shared" si="303"/>
        <v>0</v>
      </c>
      <c r="L980" s="2270">
        <f t="shared" si="303"/>
        <v>0</v>
      </c>
      <c r="M980" s="2270">
        <f t="shared" si="303"/>
        <v>0</v>
      </c>
    </row>
    <row r="981" spans="2:13">
      <c r="B981" s="2672" t="s">
        <v>1882</v>
      </c>
      <c r="C981" s="2717">
        <f>I981/I982</f>
        <v>1.260474277585605</v>
      </c>
      <c r="D981" s="2717">
        <f t="shared" ref="D981:G981" ca="1" si="305">J981/J982</f>
        <v>1.2473149610466823</v>
      </c>
      <c r="E981" s="2717">
        <f t="shared" ca="1" si="305"/>
        <v>1.1670746885956331</v>
      </c>
      <c r="F981" s="2717">
        <f t="shared" ca="1" si="305"/>
        <v>1.0333098068319337</v>
      </c>
      <c r="G981" s="2717">
        <f t="shared" ca="1" si="305"/>
        <v>0.72171777720598906</v>
      </c>
      <c r="I981" s="2270">
        <f>I967</f>
        <v>3125.9762084123004</v>
      </c>
      <c r="J981" s="2270">
        <f>I981</f>
        <v>3125.9762084123004</v>
      </c>
      <c r="K981" s="2270">
        <f t="shared" ref="K981:M981" si="306">J981</f>
        <v>3125.9762084123004</v>
      </c>
      <c r="L981" s="2270">
        <f t="shared" si="306"/>
        <v>3125.9762084123004</v>
      </c>
      <c r="M981" s="2270">
        <f t="shared" si="306"/>
        <v>3125.9762084123004</v>
      </c>
    </row>
    <row r="982" spans="2:13">
      <c r="I982" s="2270">
        <f>I968</f>
        <v>2480</v>
      </c>
      <c r="J982" s="2270">
        <f ca="1">I982+J985</f>
        <v>2506.1642857142856</v>
      </c>
      <c r="K982" s="2270">
        <f t="shared" ref="K982:M982" ca="1" si="307">J982+K985</f>
        <v>2678.4714285714285</v>
      </c>
      <c r="L982" s="2270">
        <f t="shared" ca="1" si="307"/>
        <v>3025.207142857143</v>
      </c>
      <c r="M982" s="2270">
        <f t="shared" ca="1" si="307"/>
        <v>4331.3</v>
      </c>
    </row>
    <row r="983" spans="2:13">
      <c r="I983" s="2270">
        <f>SUM('A&amp;R'!P32,'A&amp;R'!P35)/1000</f>
        <v>198000</v>
      </c>
      <c r="J983" s="2270">
        <f>I983</f>
        <v>198000</v>
      </c>
      <c r="K983" s="2270">
        <f t="shared" ref="K983:M983" si="308">J983</f>
        <v>198000</v>
      </c>
      <c r="L983" s="2270">
        <f t="shared" si="308"/>
        <v>198000</v>
      </c>
      <c r="M983" s="2270">
        <f t="shared" si="308"/>
        <v>198000</v>
      </c>
    </row>
    <row r="984" spans="2:13">
      <c r="J984" s="2716">
        <f ca="1">J974-$I974</f>
        <v>5.2857142857142686E-4</v>
      </c>
      <c r="K984" s="2716">
        <f t="shared" ref="K984:M984" ca="1" si="309">K974-$I974</f>
        <v>3.4809523809523832E-3</v>
      </c>
      <c r="L984" s="2716">
        <f t="shared" ca="1" si="309"/>
        <v>7.0047619047619095E-3</v>
      </c>
      <c r="M984" s="2716">
        <f t="shared" ca="1" si="309"/>
        <v>2.6385714285714283E-2</v>
      </c>
    </row>
    <row r="985" spans="2:13">
      <c r="J985" s="2270">
        <f ca="1">J983*J984/4</f>
        <v>26.164285714285629</v>
      </c>
      <c r="K985" s="2270">
        <f t="shared" ref="K985:M985" ca="1" si="310">K983*K984/4</f>
        <v>172.30714285714296</v>
      </c>
      <c r="L985" s="2270">
        <f t="shared" ca="1" si="310"/>
        <v>346.73571428571449</v>
      </c>
      <c r="M985" s="2270">
        <f t="shared" ca="1" si="310"/>
        <v>1306.0928571428569</v>
      </c>
    </row>
  </sheetData>
  <mergeCells count="46">
    <mergeCell ref="B396:C396"/>
    <mergeCell ref="B401:C401"/>
    <mergeCell ref="B423:C423"/>
    <mergeCell ref="B348:C348"/>
    <mergeCell ref="B323:C323"/>
    <mergeCell ref="B345:C345"/>
    <mergeCell ref="B370:C370"/>
    <mergeCell ref="B374:C374"/>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E234:F234"/>
    <mergeCell ref="B40:B43"/>
    <mergeCell ref="B44:B48"/>
    <mergeCell ref="B49:C49"/>
    <mergeCell ref="B84:C84"/>
    <mergeCell ref="C114:C115"/>
    <mergeCell ref="B153:B154"/>
    <mergeCell ref="C153:C154"/>
    <mergeCell ref="B208:B209"/>
    <mergeCell ref="C208:C209"/>
    <mergeCell ref="B544:B545"/>
    <mergeCell ref="C544:C545"/>
    <mergeCell ref="B583:B584"/>
    <mergeCell ref="C583:C584"/>
    <mergeCell ref="B638:B639"/>
    <mergeCell ref="C638:C639"/>
    <mergeCell ref="B675:B676"/>
    <mergeCell ref="C675:C676"/>
    <mergeCell ref="B714:B715"/>
    <mergeCell ref="C714:C715"/>
    <mergeCell ref="B769:B770"/>
    <mergeCell ref="C769:C770"/>
  </mergeCells>
  <phoneticPr fontId="2" type="noConversion"/>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3" t="s">
        <v>696</v>
      </c>
      <c r="B2" s="1233" t="s">
        <v>697</v>
      </c>
      <c r="C2" s="1233" t="s">
        <v>698</v>
      </c>
      <c r="D2" s="1233" t="s">
        <v>699</v>
      </c>
      <c r="E2" s="1233" t="s">
        <v>700</v>
      </c>
      <c r="F2" s="1233" t="s">
        <v>701</v>
      </c>
      <c r="G2" s="1233" t="s">
        <v>702</v>
      </c>
      <c r="H2" s="1233" t="s">
        <v>703</v>
      </c>
      <c r="I2" s="1233" t="s">
        <v>704</v>
      </c>
      <c r="J2" s="1233" t="s">
        <v>705</v>
      </c>
      <c r="K2" s="1234" t="s">
        <v>706</v>
      </c>
      <c r="L2" s="1233" t="s">
        <v>707</v>
      </c>
      <c r="M2" s="1233" t="s">
        <v>708</v>
      </c>
      <c r="N2" s="1233" t="s">
        <v>709</v>
      </c>
      <c r="O2" s="1233" t="s">
        <v>710</v>
      </c>
      <c r="P2" s="1233" t="s">
        <v>711</v>
      </c>
      <c r="Q2" s="1233" t="s">
        <v>712</v>
      </c>
      <c r="R2" s="1233" t="s">
        <v>713</v>
      </c>
      <c r="S2" s="1233" t="s">
        <v>714</v>
      </c>
      <c r="T2" s="1233" t="s">
        <v>715</v>
      </c>
      <c r="U2" s="1233" t="s">
        <v>716</v>
      </c>
      <c r="V2" s="1233" t="s">
        <v>717</v>
      </c>
      <c r="W2" s="1233" t="s">
        <v>718</v>
      </c>
      <c r="X2" s="1233" t="s">
        <v>719</v>
      </c>
      <c r="Y2" s="1233" t="s">
        <v>720</v>
      </c>
      <c r="Z2" s="1233" t="s">
        <v>721</v>
      </c>
      <c r="AA2" s="1233" t="s">
        <v>722</v>
      </c>
      <c r="AB2" s="1233" t="s">
        <v>90</v>
      </c>
      <c r="AC2" s="1233" t="s">
        <v>723</v>
      </c>
      <c r="AD2" s="1233" t="s">
        <v>724</v>
      </c>
      <c r="AE2" s="1233" t="s">
        <v>427</v>
      </c>
      <c r="AF2" s="1233" t="s">
        <v>725</v>
      </c>
    </row>
    <row r="3" spans="1:32" ht="15.4" customHeight="1">
      <c r="A3" s="1271" t="s">
        <v>726</v>
      </c>
      <c r="B3" s="1271" t="s">
        <v>727</v>
      </c>
      <c r="C3" s="1271" t="s">
        <v>728</v>
      </c>
      <c r="D3" s="1271" t="s">
        <v>729</v>
      </c>
      <c r="E3" s="1271" t="s">
        <v>730</v>
      </c>
      <c r="F3" s="1272">
        <v>403</v>
      </c>
      <c r="G3" s="1272">
        <v>0</v>
      </c>
      <c r="H3" s="1271"/>
      <c r="I3" s="1273"/>
      <c r="J3" s="1271" t="s">
        <v>731</v>
      </c>
      <c r="K3" s="1274">
        <v>3004.46</v>
      </c>
      <c r="L3" s="1275">
        <v>21340.425149999999</v>
      </c>
      <c r="M3" s="1275">
        <v>4293.1102499999997</v>
      </c>
      <c r="N3" s="1275">
        <v>21340.425149999999</v>
      </c>
      <c r="O3" s="1276">
        <v>1</v>
      </c>
      <c r="P3" s="1276">
        <v>0</v>
      </c>
      <c r="Q3" s="1277">
        <v>5</v>
      </c>
      <c r="R3" s="1277">
        <v>3</v>
      </c>
      <c r="S3" s="1278">
        <v>45222</v>
      </c>
      <c r="T3" s="1278"/>
      <c r="U3" s="1278">
        <v>45412</v>
      </c>
      <c r="V3" s="1279">
        <v>222600000</v>
      </c>
      <c r="W3" s="1280">
        <v>10430.907464840269</v>
      </c>
      <c r="X3" s="1281" t="s">
        <v>732</v>
      </c>
      <c r="Y3" s="1281" t="s">
        <v>733</v>
      </c>
      <c r="Z3" s="1281" t="s">
        <v>732</v>
      </c>
      <c r="AA3" s="1271" t="s">
        <v>734</v>
      </c>
      <c r="AB3" s="1282" t="s">
        <v>735</v>
      </c>
      <c r="AC3" s="1283"/>
      <c r="AD3" s="1284"/>
      <c r="AE3" s="1271"/>
      <c r="AF3" s="1285"/>
    </row>
    <row r="4" spans="1:32" ht="15.4" customHeight="1">
      <c r="A4" s="1235" t="s">
        <v>736</v>
      </c>
      <c r="B4" s="1235" t="s">
        <v>727</v>
      </c>
      <c r="C4" s="1235" t="s">
        <v>737</v>
      </c>
      <c r="D4" s="1235"/>
      <c r="E4" s="1235" t="s">
        <v>738</v>
      </c>
      <c r="F4" s="1236">
        <v>83</v>
      </c>
      <c r="G4" s="1236">
        <v>9</v>
      </c>
      <c r="H4" s="1235" t="s">
        <v>739</v>
      </c>
      <c r="I4" s="1237"/>
      <c r="J4" s="1235" t="s">
        <v>731</v>
      </c>
      <c r="K4" s="1238">
        <v>1807.94</v>
      </c>
      <c r="L4" s="1239">
        <v>12077.999174999999</v>
      </c>
      <c r="M4" s="1239">
        <v>9056.244999999999</v>
      </c>
      <c r="N4" s="1239">
        <v>12077.999174999999</v>
      </c>
      <c r="O4" s="1240">
        <v>1</v>
      </c>
      <c r="P4" s="1240">
        <v>0</v>
      </c>
      <c r="Q4" s="1241">
        <v>3</v>
      </c>
      <c r="R4" s="1241">
        <v>3</v>
      </c>
      <c r="S4" s="1242">
        <v>44896</v>
      </c>
      <c r="T4" s="1242">
        <v>45306</v>
      </c>
      <c r="U4" s="1242">
        <v>45317</v>
      </c>
      <c r="V4" s="1243">
        <v>125000000</v>
      </c>
      <c r="W4" s="1244">
        <v>10349.396302223213</v>
      </c>
      <c r="X4" s="1245" t="s">
        <v>740</v>
      </c>
      <c r="Y4" s="1245" t="s">
        <v>741</v>
      </c>
      <c r="Z4" s="1245" t="s">
        <v>742</v>
      </c>
      <c r="AA4" s="1235" t="s">
        <v>734</v>
      </c>
      <c r="AB4" s="1246"/>
      <c r="AC4" s="1247">
        <v>6.5000000000000002E-2</v>
      </c>
      <c r="AD4" s="1248" t="s">
        <v>743</v>
      </c>
      <c r="AE4" s="1235" t="s">
        <v>744</v>
      </c>
      <c r="AF4" s="1249">
        <v>5.1999999999999998E-2</v>
      </c>
    </row>
    <row r="5" spans="1:32" ht="15.4" customHeight="1">
      <c r="A5" s="1235" t="s">
        <v>745</v>
      </c>
      <c r="B5" s="1235" t="s">
        <v>727</v>
      </c>
      <c r="C5" s="1235" t="s">
        <v>746</v>
      </c>
      <c r="D5" s="1235" t="s">
        <v>747</v>
      </c>
      <c r="E5" s="1235" t="s">
        <v>748</v>
      </c>
      <c r="F5" s="1236">
        <v>648</v>
      </c>
      <c r="G5" s="1236">
        <v>0</v>
      </c>
      <c r="H5" s="1235" t="s">
        <v>749</v>
      </c>
      <c r="I5" s="1237"/>
      <c r="J5" s="1235" t="s">
        <v>750</v>
      </c>
      <c r="K5" s="1238">
        <v>2613.9025980213473</v>
      </c>
      <c r="L5" s="1239">
        <v>15922.088097078302</v>
      </c>
      <c r="M5" s="1239">
        <v>4383.8906643958999</v>
      </c>
      <c r="N5" s="1239">
        <v>15922.088097078302</v>
      </c>
      <c r="O5" s="1240">
        <v>1</v>
      </c>
      <c r="P5" s="1240">
        <v>0</v>
      </c>
      <c r="Q5" s="1241">
        <v>5</v>
      </c>
      <c r="R5" s="1241">
        <v>1</v>
      </c>
      <c r="S5" s="1242" t="s">
        <v>751</v>
      </c>
      <c r="T5" s="1242">
        <v>45817</v>
      </c>
      <c r="U5" s="1242">
        <v>45862</v>
      </c>
      <c r="V5" s="1243">
        <v>152800000</v>
      </c>
      <c r="W5" s="1244">
        <v>9596.7312244704099</v>
      </c>
      <c r="X5" s="1245" t="s">
        <v>752</v>
      </c>
      <c r="Y5" s="1245" t="s">
        <v>753</v>
      </c>
      <c r="Z5" s="1245"/>
      <c r="AA5" s="1235" t="s">
        <v>734</v>
      </c>
      <c r="AB5" s="1246"/>
      <c r="AC5" s="1247"/>
      <c r="AD5" s="1248"/>
      <c r="AE5" s="1235"/>
      <c r="AF5" s="1249"/>
    </row>
    <row r="6" spans="1:32" ht="15.4" customHeight="1">
      <c r="A6" s="1235" t="s">
        <v>754</v>
      </c>
      <c r="B6" s="1235" t="s">
        <v>755</v>
      </c>
      <c r="C6" s="1235" t="s">
        <v>756</v>
      </c>
      <c r="D6" s="1235" t="s">
        <v>757</v>
      </c>
      <c r="E6" s="1235" t="s">
        <v>758</v>
      </c>
      <c r="F6" s="1236">
        <v>394</v>
      </c>
      <c r="G6" s="1236">
        <v>12</v>
      </c>
      <c r="H6" s="1235" t="s">
        <v>759</v>
      </c>
      <c r="I6" s="1237" t="s">
        <v>760</v>
      </c>
      <c r="J6" s="1235" t="s">
        <v>731</v>
      </c>
      <c r="K6" s="1238">
        <v>2170.9335999999998</v>
      </c>
      <c r="L6" s="1239">
        <v>16580.681424999999</v>
      </c>
      <c r="M6" s="1239">
        <v>4343.44625</v>
      </c>
      <c r="N6" s="1239">
        <v>16580.681424999999</v>
      </c>
      <c r="O6" s="1240">
        <v>2</v>
      </c>
      <c r="P6" s="1240">
        <v>0</v>
      </c>
      <c r="Q6" s="1241">
        <v>6</v>
      </c>
      <c r="R6" s="1241">
        <v>1</v>
      </c>
      <c r="S6" s="1242">
        <v>44881</v>
      </c>
      <c r="T6" s="1242">
        <v>44959</v>
      </c>
      <c r="U6" s="1242">
        <v>45348</v>
      </c>
      <c r="V6" s="1243">
        <v>158691000</v>
      </c>
      <c r="W6" s="1244">
        <v>9570.8370441717234</v>
      </c>
      <c r="X6" s="1245" t="s">
        <v>761</v>
      </c>
      <c r="Y6" s="1245" t="s">
        <v>762</v>
      </c>
      <c r="Z6" s="1245" t="s">
        <v>732</v>
      </c>
      <c r="AA6" s="1235" t="s">
        <v>734</v>
      </c>
      <c r="AB6" s="1246"/>
      <c r="AC6" s="1247"/>
      <c r="AD6" s="1248"/>
      <c r="AE6" s="1235"/>
      <c r="AF6" s="1249"/>
    </row>
    <row r="7" spans="1:32" ht="15.4" customHeight="1">
      <c r="A7" s="1235" t="s">
        <v>763</v>
      </c>
      <c r="B7" s="1235" t="s">
        <v>727</v>
      </c>
      <c r="C7" s="1235" t="s">
        <v>764</v>
      </c>
      <c r="D7" s="1235" t="s">
        <v>765</v>
      </c>
      <c r="E7" s="1235" t="s">
        <v>766</v>
      </c>
      <c r="F7" s="1236">
        <v>266</v>
      </c>
      <c r="G7" s="1236">
        <v>0</v>
      </c>
      <c r="H7" s="1235" t="s">
        <v>767</v>
      </c>
      <c r="I7" s="1237"/>
      <c r="J7" s="1235" t="s">
        <v>750</v>
      </c>
      <c r="K7" s="1238">
        <v>4118.53</v>
      </c>
      <c r="L7" s="1239">
        <v>15776.094949999999</v>
      </c>
      <c r="M7" s="1239">
        <v>11621.445</v>
      </c>
      <c r="N7" s="1239">
        <v>15776.094949999999</v>
      </c>
      <c r="O7" s="1240">
        <v>1</v>
      </c>
      <c r="P7" s="1240">
        <v>1</v>
      </c>
      <c r="Q7" s="1241">
        <v>3</v>
      </c>
      <c r="R7" s="1241">
        <v>1</v>
      </c>
      <c r="S7" s="1242">
        <v>45231</v>
      </c>
      <c r="T7" s="1242">
        <v>44432</v>
      </c>
      <c r="U7" s="1242">
        <v>45364</v>
      </c>
      <c r="V7" s="1243">
        <v>149100000</v>
      </c>
      <c r="W7" s="1244">
        <v>9451.0080265458855</v>
      </c>
      <c r="X7" s="1245" t="s">
        <v>768</v>
      </c>
      <c r="Y7" s="1245" t="s">
        <v>769</v>
      </c>
      <c r="Z7" s="1245" t="s">
        <v>770</v>
      </c>
      <c r="AA7" s="1235" t="s">
        <v>771</v>
      </c>
      <c r="AB7" s="1246"/>
      <c r="AC7" s="1247">
        <v>5.8000000000000003E-2</v>
      </c>
      <c r="AD7" s="1248" t="s">
        <v>743</v>
      </c>
      <c r="AE7" s="1235" t="s">
        <v>772</v>
      </c>
      <c r="AF7" s="1249">
        <v>5.3999999999999999E-2</v>
      </c>
    </row>
    <row r="8" spans="1:32" ht="15.4" customHeight="1">
      <c r="A8" s="1271" t="s">
        <v>773</v>
      </c>
      <c r="B8" s="1271" t="s">
        <v>727</v>
      </c>
      <c r="C8" s="1271" t="s">
        <v>746</v>
      </c>
      <c r="D8" s="1271" t="s">
        <v>747</v>
      </c>
      <c r="E8" s="1271" t="s">
        <v>748</v>
      </c>
      <c r="F8" s="1272">
        <v>748</v>
      </c>
      <c r="G8" s="1272">
        <v>0</v>
      </c>
      <c r="H8" s="1271" t="s">
        <v>739</v>
      </c>
      <c r="I8" s="1273"/>
      <c r="J8" s="1271" t="s">
        <v>750</v>
      </c>
      <c r="K8" s="1274">
        <v>4672.478700217951</v>
      </c>
      <c r="L8" s="1275">
        <v>23690.935738410088</v>
      </c>
      <c r="M8" s="1275">
        <v>7863.971794898941</v>
      </c>
      <c r="N8" s="1275">
        <v>23690.935738410088</v>
      </c>
      <c r="O8" s="1276">
        <v>1</v>
      </c>
      <c r="P8" s="1276">
        <v>0</v>
      </c>
      <c r="Q8" s="1277">
        <v>4</v>
      </c>
      <c r="R8" s="1277">
        <v>1</v>
      </c>
      <c r="S8" s="1278" t="s">
        <v>774</v>
      </c>
      <c r="T8" s="1278">
        <v>45813</v>
      </c>
      <c r="U8" s="1278">
        <v>45862</v>
      </c>
      <c r="V8" s="1279">
        <v>216700000</v>
      </c>
      <c r="W8" s="1280">
        <v>9146.9582456662756</v>
      </c>
      <c r="X8" s="1281" t="s">
        <v>775</v>
      </c>
      <c r="Y8" s="1281" t="s">
        <v>776</v>
      </c>
      <c r="Z8" s="1281" t="s">
        <v>777</v>
      </c>
      <c r="AA8" s="1271" t="s">
        <v>734</v>
      </c>
      <c r="AB8" s="1282"/>
      <c r="AC8" s="1283"/>
      <c r="AD8" s="1284"/>
      <c r="AE8" s="1271" t="s">
        <v>778</v>
      </c>
      <c r="AF8" s="1285">
        <v>6.2E-2</v>
      </c>
    </row>
    <row r="9" spans="1:32" ht="15.4" customHeight="1">
      <c r="A9" s="1235" t="s">
        <v>779</v>
      </c>
      <c r="B9" s="1235" t="s">
        <v>727</v>
      </c>
      <c r="C9" s="1235" t="s">
        <v>764</v>
      </c>
      <c r="D9" s="1235" t="s">
        <v>780</v>
      </c>
      <c r="E9" s="1235" t="s">
        <v>781</v>
      </c>
      <c r="F9" s="1236">
        <v>434</v>
      </c>
      <c r="G9" s="1236">
        <v>6</v>
      </c>
      <c r="H9" s="1235" t="s">
        <v>782</v>
      </c>
      <c r="I9" s="1237"/>
      <c r="J9" s="1235" t="s">
        <v>783</v>
      </c>
      <c r="K9" s="1238">
        <v>3519.754006990775</v>
      </c>
      <c r="L9" s="1239">
        <v>14910.485709143213</v>
      </c>
      <c r="M9" s="1239">
        <v>9073.4878402557933</v>
      </c>
      <c r="N9" s="1239">
        <v>14910.485709143213</v>
      </c>
      <c r="O9" s="1240">
        <v>1</v>
      </c>
      <c r="P9" s="1240">
        <v>0</v>
      </c>
      <c r="Q9" s="1241">
        <v>4</v>
      </c>
      <c r="R9" s="1241">
        <v>2</v>
      </c>
      <c r="S9" s="1242" t="s">
        <v>784</v>
      </c>
      <c r="T9" s="1242">
        <v>45813</v>
      </c>
      <c r="U9" s="1242">
        <v>45862</v>
      </c>
      <c r="V9" s="1243">
        <v>134300000</v>
      </c>
      <c r="W9" s="1244">
        <v>9007.0841835585743</v>
      </c>
      <c r="X9" s="1245" t="s">
        <v>785</v>
      </c>
      <c r="Y9" s="1245" t="s">
        <v>776</v>
      </c>
      <c r="Z9" s="1245" t="s">
        <v>786</v>
      </c>
      <c r="AA9" s="1235" t="s">
        <v>734</v>
      </c>
      <c r="AB9" s="1246"/>
      <c r="AC9" s="1247"/>
      <c r="AD9" s="1248"/>
      <c r="AE9" s="1235" t="s">
        <v>787</v>
      </c>
      <c r="AF9" s="1249">
        <v>6.2E-2</v>
      </c>
    </row>
    <row r="10" spans="1:32" ht="15.4" customHeight="1">
      <c r="A10" s="1271" t="s">
        <v>788</v>
      </c>
      <c r="B10" s="1271" t="s">
        <v>727</v>
      </c>
      <c r="C10" s="1271" t="s">
        <v>789</v>
      </c>
      <c r="D10" s="1271" t="s">
        <v>790</v>
      </c>
      <c r="E10" s="1271" t="s">
        <v>791</v>
      </c>
      <c r="F10" s="1272">
        <v>222</v>
      </c>
      <c r="G10" s="1272">
        <v>11</v>
      </c>
      <c r="H10" s="1271"/>
      <c r="I10" s="1273"/>
      <c r="J10" s="1271" t="s">
        <v>750</v>
      </c>
      <c r="K10" s="1274">
        <v>3416.76</v>
      </c>
      <c r="L10" s="1275">
        <v>24839.554574999998</v>
      </c>
      <c r="M10" s="1275">
        <v>5731.2255000000005</v>
      </c>
      <c r="N10" s="1275">
        <v>24839.554574999998</v>
      </c>
      <c r="O10" s="1276">
        <v>1</v>
      </c>
      <c r="P10" s="1276">
        <v>0</v>
      </c>
      <c r="Q10" s="1277">
        <v>12</v>
      </c>
      <c r="R10" s="1277">
        <v>2</v>
      </c>
      <c r="S10" s="1278" t="s">
        <v>792</v>
      </c>
      <c r="T10" s="1278"/>
      <c r="U10" s="1278">
        <v>45499</v>
      </c>
      <c r="V10" s="1279">
        <v>223200000</v>
      </c>
      <c r="W10" s="1280">
        <v>8985.6683752550744</v>
      </c>
      <c r="X10" s="1281" t="s">
        <v>793</v>
      </c>
      <c r="Y10" s="1281" t="s">
        <v>794</v>
      </c>
      <c r="Z10" s="1281" t="s">
        <v>795</v>
      </c>
      <c r="AA10" s="1271" t="s">
        <v>771</v>
      </c>
      <c r="AB10" s="1282"/>
      <c r="AC10" s="1283"/>
      <c r="AD10" s="1284"/>
      <c r="AE10" s="1271"/>
      <c r="AF10" s="1285"/>
    </row>
    <row r="11" spans="1:32" ht="15.4" customHeight="1">
      <c r="V11" s="1250">
        <f>V10/M10</f>
        <v>38944.550340934933</v>
      </c>
    </row>
    <row r="12" spans="1:32" ht="15.4" customHeight="1">
      <c r="B12" t="s">
        <v>805</v>
      </c>
    </row>
    <row r="13" spans="1:32" ht="15.4" customHeight="1">
      <c r="B13" t="s">
        <v>804</v>
      </c>
    </row>
    <row r="14" spans="1:32" ht="15.4" customHeight="1">
      <c r="B14" t="s">
        <v>806</v>
      </c>
    </row>
    <row r="15" spans="1:32" ht="15.4" customHeight="1">
      <c r="B15" t="s">
        <v>807</v>
      </c>
    </row>
    <row r="16" spans="1:32" ht="15.4" customHeight="1">
      <c r="B16" t="s">
        <v>805</v>
      </c>
    </row>
    <row r="19" spans="2:8" ht="15.4" customHeight="1" thickBot="1"/>
    <row r="20" spans="2:8" ht="15.4" customHeight="1">
      <c r="B20" s="2836" t="s">
        <v>620</v>
      </c>
      <c r="C20" s="2836" t="s">
        <v>808</v>
      </c>
      <c r="D20" s="1291" t="s">
        <v>809</v>
      </c>
      <c r="E20" s="1291" t="s">
        <v>811</v>
      </c>
      <c r="F20" s="1291" t="s">
        <v>812</v>
      </c>
      <c r="G20" s="1291" t="s">
        <v>812</v>
      </c>
      <c r="H20" s="1291" t="s">
        <v>815</v>
      </c>
    </row>
    <row r="21" spans="2:8" ht="15.4" customHeight="1">
      <c r="B21" s="2837"/>
      <c r="C21" s="2837"/>
      <c r="D21" s="1292" t="s">
        <v>810</v>
      </c>
      <c r="E21" s="1292" t="s">
        <v>810</v>
      </c>
      <c r="F21" s="1292" t="s">
        <v>813</v>
      </c>
      <c r="G21" s="1292" t="s">
        <v>814</v>
      </c>
      <c r="H21" s="1292">
        <v>3</v>
      </c>
    </row>
    <row r="22" spans="2:8" ht="15.4" customHeight="1">
      <c r="B22" s="1286" t="s">
        <v>816</v>
      </c>
      <c r="C22" s="1293"/>
      <c r="D22" s="1293"/>
      <c r="E22" s="1293"/>
      <c r="F22" s="1293"/>
      <c r="G22" s="1293"/>
      <c r="H22" s="1293"/>
    </row>
    <row r="23" spans="2:8" ht="15.4" customHeight="1">
      <c r="B23" s="2838" t="s">
        <v>817</v>
      </c>
      <c r="C23" s="2840" t="str">
        <f>'A&amp;R'!K17</f>
        <v>경기도 안양시 동안구 관양동 934,934-1</v>
      </c>
      <c r="D23" s="1287" t="s">
        <v>818</v>
      </c>
      <c r="E23" s="1287" t="s">
        <v>820</v>
      </c>
      <c r="F23" s="1287" t="s">
        <v>822</v>
      </c>
      <c r="G23" s="1287" t="s">
        <v>824</v>
      </c>
      <c r="H23" s="1287" t="s">
        <v>822</v>
      </c>
    </row>
    <row r="24" spans="2:8" ht="15.4" customHeight="1">
      <c r="B24" s="2839"/>
      <c r="C24" s="2841"/>
      <c r="D24" s="1288" t="s">
        <v>819</v>
      </c>
      <c r="E24" s="1288" t="s">
        <v>821</v>
      </c>
      <c r="F24" s="1288" t="s">
        <v>823</v>
      </c>
      <c r="G24" s="1288" t="s">
        <v>825</v>
      </c>
      <c r="H24" s="1288" t="s">
        <v>826</v>
      </c>
    </row>
    <row r="25" spans="2:8" ht="15.4" customHeight="1">
      <c r="B25" s="1288" t="s">
        <v>832</v>
      </c>
      <c r="C25" s="1300">
        <v>45254</v>
      </c>
      <c r="D25" s="1297">
        <f>S3</f>
        <v>45222</v>
      </c>
      <c r="E25" s="1297" t="str">
        <f>S10</f>
        <v>2024-04-18</v>
      </c>
      <c r="F25" s="1297" t="str">
        <f>S8</f>
        <v>2013-11-25</v>
      </c>
      <c r="G25" s="1297">
        <f>S7</f>
        <v>45231</v>
      </c>
      <c r="H25" s="1297" t="str">
        <f>S5</f>
        <v>2019-09-02</v>
      </c>
    </row>
    <row r="26" spans="2:8" ht="15.4" customHeight="1">
      <c r="B26" s="1289" t="s">
        <v>79</v>
      </c>
      <c r="C26" s="1296">
        <f>'A&amp;R'!K22</f>
        <v>4543.3987500000003</v>
      </c>
      <c r="D26" s="1296">
        <f>M3</f>
        <v>4293.1102499999997</v>
      </c>
      <c r="E26" s="1296">
        <f>M10</f>
        <v>5731.2255000000005</v>
      </c>
      <c r="F26" s="1296">
        <f>M8</f>
        <v>7863.971794898941</v>
      </c>
      <c r="G26" s="1296">
        <f>M9</f>
        <v>9073.4878402557933</v>
      </c>
      <c r="H26" s="1296">
        <f>M5</f>
        <v>4383.8906643958999</v>
      </c>
    </row>
    <row r="27" spans="2:8" ht="15.4" customHeight="1">
      <c r="B27" s="1289" t="s">
        <v>94</v>
      </c>
      <c r="C27" s="1296">
        <f>'A&amp;R'!K31</f>
        <v>28881.063474999999</v>
      </c>
      <c r="D27" s="1296">
        <f>L3</f>
        <v>21340.425149999999</v>
      </c>
      <c r="E27" s="1296">
        <f>L10</f>
        <v>24839.554574999998</v>
      </c>
      <c r="F27" s="1296">
        <f>L8</f>
        <v>23690.935738410088</v>
      </c>
      <c r="G27" s="1296">
        <f>L9</f>
        <v>14910.485709143213</v>
      </c>
      <c r="H27" s="1296">
        <f>L5</f>
        <v>15922.088097078302</v>
      </c>
    </row>
    <row r="28" spans="2:8" ht="15.4" customHeight="1">
      <c r="B28" s="1289" t="s">
        <v>827</v>
      </c>
      <c r="C28" s="1298">
        <f>'A&amp;R'!E35</f>
        <v>46326</v>
      </c>
      <c r="D28" s="1298">
        <f>U3</f>
        <v>45412</v>
      </c>
      <c r="E28" s="1298">
        <f>U10</f>
        <v>45499</v>
      </c>
      <c r="F28" s="1298">
        <f>U8</f>
        <v>45862</v>
      </c>
      <c r="G28" s="1298">
        <f>U9</f>
        <v>45862</v>
      </c>
      <c r="H28" s="1298">
        <f>U5</f>
        <v>45862</v>
      </c>
    </row>
    <row r="29" spans="2:8" ht="15.4" customHeight="1">
      <c r="B29" s="1289" t="s">
        <v>828</v>
      </c>
      <c r="C29" s="1296">
        <f>'A&amp;R'!O5/1000</f>
        <v>270000</v>
      </c>
      <c r="D29" s="1296">
        <f>V3/1000</f>
        <v>222600</v>
      </c>
      <c r="E29" s="1296">
        <f>V10/1000</f>
        <v>223200</v>
      </c>
      <c r="F29" s="1296">
        <f>V8/1000</f>
        <v>216700</v>
      </c>
      <c r="G29" s="1296">
        <f>V9/1000</f>
        <v>134300</v>
      </c>
      <c r="H29" s="1296">
        <f>V5/1000</f>
        <v>152800</v>
      </c>
    </row>
    <row r="30" spans="2:8" ht="15.4" customHeight="1">
      <c r="B30" s="1289" t="s">
        <v>829</v>
      </c>
      <c r="C30" s="1299">
        <f t="shared" ref="C30:H30" si="0">C29/C27*100</f>
        <v>934.86862155791857</v>
      </c>
      <c r="D30" s="1299">
        <f t="shared" si="0"/>
        <v>1043.0907464840268</v>
      </c>
      <c r="E30" s="1299">
        <f t="shared" si="0"/>
        <v>898.56683752550759</v>
      </c>
      <c r="F30" s="1299">
        <f t="shared" si="0"/>
        <v>914.69582456662749</v>
      </c>
      <c r="G30" s="1299">
        <f t="shared" si="0"/>
        <v>900.70841835585748</v>
      </c>
      <c r="H30" s="1299">
        <f t="shared" si="0"/>
        <v>959.67312244704101</v>
      </c>
    </row>
    <row r="31" spans="2:8" ht="15.4" customHeight="1">
      <c r="B31" s="1289" t="s">
        <v>830</v>
      </c>
      <c r="C31" s="1294" t="s">
        <v>837</v>
      </c>
      <c r="D31" s="1294" t="s">
        <v>833</v>
      </c>
      <c r="E31" s="1294" t="s">
        <v>793</v>
      </c>
      <c r="F31" s="1294" t="s">
        <v>785</v>
      </c>
      <c r="G31" s="1294" t="s">
        <v>785</v>
      </c>
      <c r="H31" s="1294" t="s">
        <v>752</v>
      </c>
    </row>
    <row r="32" spans="2:8" ht="15.4" customHeight="1" thickBot="1">
      <c r="B32" s="1290" t="s">
        <v>831</v>
      </c>
      <c r="C32" s="1295" t="s">
        <v>836</v>
      </c>
      <c r="D32" s="1295" t="s">
        <v>834</v>
      </c>
      <c r="E32" s="1295" t="s">
        <v>835</v>
      </c>
      <c r="F32" s="1295" t="s">
        <v>776</v>
      </c>
      <c r="G32" s="1295" t="s">
        <v>776</v>
      </c>
      <c r="H32" s="1295" t="s">
        <v>753</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N106"/>
  <sheetViews>
    <sheetView showGridLines="0" zoomScaleNormal="100" workbookViewId="0">
      <selection activeCell="F16" sqref="F16"/>
    </sheetView>
  </sheetViews>
  <sheetFormatPr defaultColWidth="9" defaultRowHeight="11.25" customHeight="1"/>
  <cols>
    <col min="1" max="1" width="9" style="2527"/>
    <col min="2" max="2" width="24.125" style="2527" customWidth="1"/>
    <col min="3" max="12" width="9.625" style="2527" customWidth="1"/>
    <col min="13" max="13" width="19.5" style="2527" customWidth="1"/>
    <col min="14" max="14" width="2.125" style="2527" customWidth="1"/>
    <col min="15" max="16384" width="9" style="2527"/>
  </cols>
  <sheetData>
    <row r="2" spans="2:13" ht="11.25" customHeight="1">
      <c r="B2" s="2527" t="s">
        <v>1698</v>
      </c>
      <c r="C2" s="2590">
        <v>298000</v>
      </c>
    </row>
    <row r="3" spans="2:13" ht="11.25" customHeight="1">
      <c r="B3" s="2527" t="s">
        <v>931</v>
      </c>
      <c r="C3" s="2591">
        <v>2.1999999999999999E-2</v>
      </c>
    </row>
    <row r="4" spans="2:13" ht="11.25" customHeight="1">
      <c r="C4" s="2592">
        <v>6</v>
      </c>
    </row>
    <row r="5" spans="2:13" ht="11.25" customHeight="1">
      <c r="B5" s="2527" t="s">
        <v>1699</v>
      </c>
      <c r="C5" s="2593">
        <v>1000</v>
      </c>
    </row>
    <row r="6" spans="2:13" ht="11.25" customHeight="1">
      <c r="B6" s="2527" t="s">
        <v>1700</v>
      </c>
      <c r="C6" s="2593">
        <v>25000</v>
      </c>
    </row>
    <row r="7" spans="2:13" ht="11.25" customHeight="1">
      <c r="B7" s="2527" t="s">
        <v>1701</v>
      </c>
      <c r="C7" s="2593">
        <v>4000</v>
      </c>
    </row>
    <row r="9" spans="2:13" ht="11.25" customHeight="1">
      <c r="B9" s="2594" t="s">
        <v>1702</v>
      </c>
    </row>
    <row r="10" spans="2:13" ht="11.25" customHeight="1">
      <c r="B10" s="2594"/>
    </row>
    <row r="11" spans="2:13" ht="11.25" customHeight="1">
      <c r="B11" s="2594" t="s">
        <v>1703</v>
      </c>
      <c r="D11" s="2595" t="s">
        <v>1704</v>
      </c>
      <c r="E11" s="2596">
        <f>L17</f>
        <v>0.5950413223140496</v>
      </c>
    </row>
    <row r="12" spans="2:13" ht="11.25" customHeight="1">
      <c r="B12" s="2597"/>
      <c r="C12" s="2598" t="s">
        <v>1705</v>
      </c>
      <c r="D12" s="2598" t="s">
        <v>1706</v>
      </c>
      <c r="E12" s="2598" t="s">
        <v>1699</v>
      </c>
      <c r="F12" s="2598" t="s">
        <v>1707</v>
      </c>
      <c r="G12" s="2598" t="s">
        <v>543</v>
      </c>
      <c r="H12" s="2598" t="s">
        <v>545</v>
      </c>
      <c r="I12" s="2598" t="s">
        <v>611</v>
      </c>
      <c r="J12" s="2598" t="s">
        <v>243</v>
      </c>
      <c r="K12" s="2598" t="s">
        <v>1708</v>
      </c>
      <c r="L12" s="2598" t="s">
        <v>243</v>
      </c>
      <c r="M12" s="2598" t="s">
        <v>90</v>
      </c>
    </row>
    <row r="13" spans="2:13" ht="11.25" customHeight="1">
      <c r="B13" s="2527" t="s">
        <v>1709</v>
      </c>
      <c r="C13" s="2592">
        <v>1</v>
      </c>
      <c r="D13" s="2592">
        <v>24000</v>
      </c>
      <c r="E13" s="2593">
        <f>$C$5</f>
        <v>1000</v>
      </c>
      <c r="F13" s="2593">
        <f>$C$6</f>
        <v>25000</v>
      </c>
      <c r="G13" s="2592">
        <f>D13/(F13/E13)</f>
        <v>960</v>
      </c>
      <c r="H13" s="2592">
        <f>D13-G13</f>
        <v>23040</v>
      </c>
      <c r="I13" s="2592">
        <f>D13/F13*10^6</f>
        <v>960000</v>
      </c>
      <c r="J13" s="2591">
        <f>I13/I18</f>
        <v>0.15384615384615385</v>
      </c>
      <c r="K13" s="2592">
        <f>C13*I13</f>
        <v>960000</v>
      </c>
      <c r="L13" s="2591">
        <f>K13/$K$18</f>
        <v>0.19834710743801653</v>
      </c>
      <c r="M13" s="2599"/>
    </row>
    <row r="14" spans="2:13" ht="11.25" customHeight="1">
      <c r="B14" s="2527" t="s">
        <v>1710</v>
      </c>
      <c r="C14" s="2592">
        <v>1</v>
      </c>
      <c r="D14" s="2600">
        <v>25000</v>
      </c>
      <c r="E14" s="2593">
        <f t="shared" ref="E14:F17" si="0">E13</f>
        <v>1000</v>
      </c>
      <c r="F14" s="2593">
        <f t="shared" si="0"/>
        <v>25000</v>
      </c>
      <c r="G14" s="2592">
        <f>D14/(F14/E14)</f>
        <v>1000</v>
      </c>
      <c r="H14" s="2592">
        <f>D14-G14</f>
        <v>24000</v>
      </c>
      <c r="I14" s="2592">
        <f>D14/F14*10^6</f>
        <v>1000000</v>
      </c>
      <c r="J14" s="2591">
        <f>I14/I18</f>
        <v>0.16025641025641027</v>
      </c>
      <c r="K14" s="2592">
        <f>C14*I14</f>
        <v>1000000</v>
      </c>
      <c r="L14" s="2591">
        <f>K14/$K$18</f>
        <v>0.20661157024793389</v>
      </c>
      <c r="M14" s="2599"/>
    </row>
    <row r="15" spans="2:13" ht="11.25" customHeight="1">
      <c r="B15" s="2527" t="s">
        <v>1711</v>
      </c>
      <c r="C15" s="2592">
        <v>0</v>
      </c>
      <c r="D15" s="2592">
        <f>50000-D14</f>
        <v>25000</v>
      </c>
      <c r="E15" s="2593">
        <f t="shared" si="0"/>
        <v>1000</v>
      </c>
      <c r="F15" s="2593">
        <f t="shared" si="0"/>
        <v>25000</v>
      </c>
      <c r="G15" s="2592">
        <f>D15/(F15/E15)</f>
        <v>1000</v>
      </c>
      <c r="H15" s="2592">
        <f>D15-G15</f>
        <v>24000</v>
      </c>
      <c r="I15" s="2592">
        <f>D15/F15*10^6</f>
        <v>1000000</v>
      </c>
      <c r="J15" s="2591">
        <f>I15/I18</f>
        <v>0.16025641025641027</v>
      </c>
      <c r="K15" s="2592">
        <f>C15*I15</f>
        <v>0</v>
      </c>
      <c r="L15" s="2591">
        <f>K15/$K$18</f>
        <v>0</v>
      </c>
      <c r="M15" s="2599"/>
    </row>
    <row r="16" spans="2:13" ht="11.25" customHeight="1">
      <c r="B16" s="2527" t="s">
        <v>1712</v>
      </c>
      <c r="C16" s="2592">
        <v>0</v>
      </c>
      <c r="D16" s="2592">
        <v>10000</v>
      </c>
      <c r="E16" s="2593">
        <f t="shared" si="0"/>
        <v>1000</v>
      </c>
      <c r="F16" s="2593">
        <f>F15</f>
        <v>25000</v>
      </c>
      <c r="G16" s="2592">
        <f>D16/(F16/E16)</f>
        <v>400</v>
      </c>
      <c r="H16" s="2592">
        <f>D16-G16</f>
        <v>9600</v>
      </c>
      <c r="I16" s="2592">
        <f>D16/F16*10^6</f>
        <v>400000</v>
      </c>
      <c r="J16" s="2591">
        <f>I16/I18</f>
        <v>6.4102564102564097E-2</v>
      </c>
      <c r="K16" s="2592">
        <f>C16*I16</f>
        <v>0</v>
      </c>
      <c r="L16" s="2591">
        <f>K16/$K$18</f>
        <v>0</v>
      </c>
    </row>
    <row r="17" spans="2:14" ht="11.25" customHeight="1">
      <c r="B17" s="2527" t="s">
        <v>1713</v>
      </c>
      <c r="C17" s="2592">
        <v>1</v>
      </c>
      <c r="D17" s="2592">
        <v>14400</v>
      </c>
      <c r="E17" s="2593">
        <f t="shared" si="0"/>
        <v>1000</v>
      </c>
      <c r="F17" s="2593">
        <v>5000</v>
      </c>
      <c r="G17" s="2592">
        <f>D17/(F17/E17)</f>
        <v>2880</v>
      </c>
      <c r="H17" s="2592">
        <f>D17-G17</f>
        <v>11520</v>
      </c>
      <c r="I17" s="2592">
        <f>D17/F17*10^6</f>
        <v>2880000</v>
      </c>
      <c r="J17" s="2591">
        <f>I17/I18</f>
        <v>0.46153846153846156</v>
      </c>
      <c r="K17" s="2592">
        <f>C17*I17</f>
        <v>2880000</v>
      </c>
      <c r="L17" s="2591">
        <f>K17/$K$18</f>
        <v>0.5950413223140496</v>
      </c>
      <c r="M17" s="2591"/>
      <c r="N17" s="2591"/>
    </row>
    <row r="18" spans="2:14" ht="11.25" customHeight="1">
      <c r="B18" s="2597" t="s">
        <v>59</v>
      </c>
      <c r="C18" s="2601"/>
      <c r="D18" s="2601">
        <f>SUM(D13:D17)</f>
        <v>98400</v>
      </c>
      <c r="E18" s="2602"/>
      <c r="F18" s="2602"/>
      <c r="G18" s="2603">
        <f>SUM(G13:G17)</f>
        <v>6240</v>
      </c>
      <c r="H18" s="2601">
        <f>SUM(H13:H17)</f>
        <v>92160</v>
      </c>
      <c r="I18" s="2601">
        <f>SUM(I13:I17)</f>
        <v>6240000</v>
      </c>
      <c r="J18" s="2604">
        <f>I18/I18</f>
        <v>1</v>
      </c>
      <c r="K18" s="2601">
        <f>SUM(K13:K17)</f>
        <v>4840000</v>
      </c>
      <c r="L18" s="2604">
        <f>SUM(L13:L17)</f>
        <v>1</v>
      </c>
      <c r="M18" s="2597"/>
    </row>
    <row r="19" spans="2:14" ht="11.25" customHeight="1">
      <c r="G19" s="2592" t="b">
        <f>G18&gt;=5000</f>
        <v>1</v>
      </c>
      <c r="H19" s="2527" t="s">
        <v>1714</v>
      </c>
      <c r="I19" s="2605">
        <f>(I18-K18)/I18</f>
        <v>0.22435897435897437</v>
      </c>
      <c r="J19" s="2527" t="b">
        <f>I19&lt;=0.25</f>
        <v>1</v>
      </c>
    </row>
    <row r="20" spans="2:14" ht="11.25" customHeight="1">
      <c r="B20" s="2594" t="s">
        <v>1715</v>
      </c>
      <c r="D20" s="2595" t="s">
        <v>1704</v>
      </c>
      <c r="E20" s="2596">
        <f>SUM(L25,L28)</f>
        <v>0.66438356164383561</v>
      </c>
    </row>
    <row r="21" spans="2:14" ht="11.25" customHeight="1">
      <c r="B21" s="2597"/>
      <c r="C21" s="2598" t="s">
        <v>1705</v>
      </c>
      <c r="D21" s="2598" t="s">
        <v>1706</v>
      </c>
      <c r="E21" s="2598" t="s">
        <v>1699</v>
      </c>
      <c r="F21" s="2598" t="s">
        <v>1707</v>
      </c>
      <c r="G21" s="2598" t="s">
        <v>543</v>
      </c>
      <c r="H21" s="2598" t="s">
        <v>545</v>
      </c>
      <c r="I21" s="2598" t="s">
        <v>611</v>
      </c>
      <c r="J21" s="2598" t="s">
        <v>243</v>
      </c>
      <c r="K21" s="2598" t="s">
        <v>1708</v>
      </c>
      <c r="L21" s="2598" t="s">
        <v>243</v>
      </c>
      <c r="M21" s="2598" t="s">
        <v>90</v>
      </c>
    </row>
    <row r="22" spans="2:14" ht="11.25" customHeight="1">
      <c r="B22" s="2527" t="str">
        <f t="shared" ref="B22:F24" si="1">B13</f>
        <v>1종 - 외부</v>
      </c>
      <c r="C22" s="2592">
        <f t="shared" si="1"/>
        <v>1</v>
      </c>
      <c r="D22" s="2592">
        <f t="shared" si="1"/>
        <v>24000</v>
      </c>
      <c r="E22" s="2593">
        <f t="shared" si="1"/>
        <v>1000</v>
      </c>
      <c r="F22" s="2593">
        <f t="shared" si="1"/>
        <v>25000</v>
      </c>
      <c r="G22" s="2592">
        <f t="shared" ref="G22:G28" si="2">D22/(F22/E22)</f>
        <v>960</v>
      </c>
      <c r="H22" s="2592">
        <f t="shared" ref="H22:H28" si="3">D22-G22</f>
        <v>23040</v>
      </c>
      <c r="I22" s="2592">
        <f t="shared" ref="I22:I28" si="4">D22/F22*10^6</f>
        <v>960000</v>
      </c>
      <c r="J22" s="2591">
        <f>I22/I29</f>
        <v>0.1338289962825279</v>
      </c>
      <c r="K22" s="2592">
        <f t="shared" ref="K22:K28" si="5">C22*I22</f>
        <v>960000</v>
      </c>
      <c r="L22" s="2591">
        <f>K22/K29</f>
        <v>0.16438356164383561</v>
      </c>
      <c r="M22" s="2599"/>
    </row>
    <row r="23" spans="2:14" ht="11.25" customHeight="1">
      <c r="B23" s="2527" t="str">
        <f t="shared" si="1"/>
        <v>2종 - 외부</v>
      </c>
      <c r="C23" s="2592">
        <f t="shared" si="1"/>
        <v>1</v>
      </c>
      <c r="D23" s="2592">
        <f t="shared" si="1"/>
        <v>25000</v>
      </c>
      <c r="E23" s="2593">
        <f t="shared" si="1"/>
        <v>1000</v>
      </c>
      <c r="F23" s="2593">
        <f t="shared" si="1"/>
        <v>25000</v>
      </c>
      <c r="G23" s="2592">
        <f t="shared" si="2"/>
        <v>1000</v>
      </c>
      <c r="H23" s="2592">
        <f t="shared" si="3"/>
        <v>24000</v>
      </c>
      <c r="I23" s="2592">
        <f t="shared" si="4"/>
        <v>1000000</v>
      </c>
      <c r="J23" s="2591">
        <f>I23/I29</f>
        <v>0.13940520446096655</v>
      </c>
      <c r="K23" s="2592">
        <f t="shared" si="5"/>
        <v>1000000</v>
      </c>
      <c r="L23" s="2591">
        <f>K23/K29</f>
        <v>0.17123287671232876</v>
      </c>
      <c r="M23" s="2599"/>
    </row>
    <row r="24" spans="2:14" ht="11.25" customHeight="1">
      <c r="B24" s="2527" t="str">
        <f t="shared" si="1"/>
        <v>2종 - 외부(무의결)</v>
      </c>
      <c r="C24" s="2592">
        <f t="shared" si="1"/>
        <v>0</v>
      </c>
      <c r="D24" s="2606">
        <f t="shared" si="1"/>
        <v>25000</v>
      </c>
      <c r="E24" s="2593">
        <f t="shared" si="1"/>
        <v>1000</v>
      </c>
      <c r="F24" s="2593">
        <f t="shared" si="1"/>
        <v>25000</v>
      </c>
      <c r="G24" s="2592">
        <f t="shared" si="2"/>
        <v>1000</v>
      </c>
      <c r="H24" s="2592">
        <f t="shared" si="3"/>
        <v>24000</v>
      </c>
      <c r="I24" s="2592">
        <f t="shared" si="4"/>
        <v>1000000</v>
      </c>
      <c r="J24" s="2591">
        <f>I24/I29</f>
        <v>0.13940520446096655</v>
      </c>
      <c r="K24" s="2592">
        <f t="shared" si="5"/>
        <v>0</v>
      </c>
      <c r="L24" s="2591">
        <f>K24/K29</f>
        <v>0</v>
      </c>
      <c r="M24" s="2599"/>
    </row>
    <row r="25" spans="2:14" ht="11.25" customHeight="1">
      <c r="B25" s="2607" t="s">
        <v>1716</v>
      </c>
      <c r="C25" s="2608">
        <v>1</v>
      </c>
      <c r="D25" s="2608">
        <f t="shared" ref="D25:F26" si="6">D24</f>
        <v>25000</v>
      </c>
      <c r="E25" s="2609">
        <f t="shared" si="6"/>
        <v>1000</v>
      </c>
      <c r="F25" s="2609">
        <f t="shared" si="6"/>
        <v>25000</v>
      </c>
      <c r="G25" s="2608">
        <f t="shared" si="2"/>
        <v>1000</v>
      </c>
      <c r="H25" s="2608">
        <f t="shared" si="3"/>
        <v>24000</v>
      </c>
      <c r="I25" s="2608">
        <f t="shared" si="4"/>
        <v>1000000</v>
      </c>
      <c r="J25" s="2610">
        <f>I25/I29</f>
        <v>0.13940520446096655</v>
      </c>
      <c r="K25" s="2608">
        <f t="shared" si="5"/>
        <v>1000000</v>
      </c>
      <c r="L25" s="2610">
        <f>K25/K29</f>
        <v>0.17123287671232876</v>
      </c>
      <c r="M25" s="2611" t="s">
        <v>1717</v>
      </c>
    </row>
    <row r="26" spans="2:14" ht="11.25" customHeight="1">
      <c r="B26" s="2527" t="s">
        <v>1718</v>
      </c>
      <c r="C26" s="2592">
        <v>0</v>
      </c>
      <c r="D26" s="2592">
        <v>0</v>
      </c>
      <c r="E26" s="2593">
        <f t="shared" si="6"/>
        <v>1000</v>
      </c>
      <c r="F26" s="2593">
        <f t="shared" si="6"/>
        <v>25000</v>
      </c>
      <c r="G26" s="2592">
        <f t="shared" si="2"/>
        <v>0</v>
      </c>
      <c r="H26" s="2592">
        <f t="shared" si="3"/>
        <v>0</v>
      </c>
      <c r="I26" s="2592">
        <f t="shared" si="4"/>
        <v>0</v>
      </c>
      <c r="J26" s="2591">
        <f>I26/I29</f>
        <v>0</v>
      </c>
      <c r="K26" s="2592">
        <f t="shared" si="5"/>
        <v>0</v>
      </c>
      <c r="L26" s="2591">
        <f>K26/K29</f>
        <v>0</v>
      </c>
      <c r="M26" s="2599"/>
    </row>
    <row r="27" spans="2:14" ht="11.25" customHeight="1">
      <c r="B27" s="2527" t="str">
        <f t="shared" ref="B27:B28" si="7">B16</f>
        <v>3종 - 외부(무의결)</v>
      </c>
      <c r="C27" s="2592">
        <v>0</v>
      </c>
      <c r="D27" s="2592">
        <v>10000</v>
      </c>
      <c r="E27" s="2593">
        <v>1000</v>
      </c>
      <c r="F27" s="2593">
        <f>5000*$C$4</f>
        <v>30000</v>
      </c>
      <c r="G27" s="2592">
        <f t="shared" si="2"/>
        <v>333.33333333333331</v>
      </c>
      <c r="H27" s="2592">
        <f t="shared" si="3"/>
        <v>9666.6666666666661</v>
      </c>
      <c r="I27" s="2592">
        <f t="shared" si="4"/>
        <v>333333.33333333331</v>
      </c>
      <c r="J27" s="2591">
        <f>I27/I29</f>
        <v>4.6468401486988845E-2</v>
      </c>
      <c r="K27" s="2592">
        <f t="shared" si="5"/>
        <v>0</v>
      </c>
      <c r="L27" s="2591">
        <f>K27/K29</f>
        <v>0</v>
      </c>
    </row>
    <row r="28" spans="2:14" ht="11.25" customHeight="1">
      <c r="B28" s="2527" t="str">
        <f t="shared" si="7"/>
        <v>보통주 - KLI</v>
      </c>
      <c r="C28" s="2592">
        <v>1</v>
      </c>
      <c r="D28" s="2592">
        <f>D17</f>
        <v>14400</v>
      </c>
      <c r="E28" s="2593">
        <v>1000</v>
      </c>
      <c r="F28" s="2593">
        <v>5000</v>
      </c>
      <c r="G28" s="2592">
        <f t="shared" si="2"/>
        <v>2880</v>
      </c>
      <c r="H28" s="2592">
        <f t="shared" si="3"/>
        <v>11520</v>
      </c>
      <c r="I28" s="2592">
        <f t="shared" si="4"/>
        <v>2880000</v>
      </c>
      <c r="J28" s="2591">
        <f>I28/I29</f>
        <v>0.40148698884758366</v>
      </c>
      <c r="K28" s="2592">
        <f t="shared" si="5"/>
        <v>2880000</v>
      </c>
      <c r="L28" s="2591">
        <f>K28/K29</f>
        <v>0.49315068493150682</v>
      </c>
    </row>
    <row r="29" spans="2:14" ht="11.25" customHeight="1">
      <c r="B29" s="2597" t="s">
        <v>59</v>
      </c>
      <c r="C29" s="2601"/>
      <c r="D29" s="2601">
        <f>SUM(D22:D28)</f>
        <v>123400</v>
      </c>
      <c r="E29" s="2602"/>
      <c r="F29" s="2602"/>
      <c r="G29" s="2601">
        <f>SUM(G22:G28)</f>
        <v>7173.333333333333</v>
      </c>
      <c r="H29" s="2601">
        <f>SUM(H22:H28)</f>
        <v>116226.66666666667</v>
      </c>
      <c r="I29" s="2601">
        <f>SUM(I22:I28)</f>
        <v>7173333.333333333</v>
      </c>
      <c r="J29" s="2604">
        <f>I29/I29</f>
        <v>1</v>
      </c>
      <c r="K29" s="2601">
        <f>SUM(K22:K28)</f>
        <v>5840000</v>
      </c>
      <c r="L29" s="2604">
        <f>SUM(L22:L28)</f>
        <v>1</v>
      </c>
      <c r="M29" s="2597"/>
    </row>
    <row r="30" spans="2:14" ht="11.25" customHeight="1">
      <c r="G30" s="2592" t="b">
        <f>G29&gt;=5000</f>
        <v>1</v>
      </c>
      <c r="H30" s="2527" t="s">
        <v>1714</v>
      </c>
      <c r="I30" s="2605">
        <f>(I29-K29)/I29</f>
        <v>0.18587360594795535</v>
      </c>
      <c r="J30" s="2591" t="b">
        <f>I30&lt;=0.25</f>
        <v>1</v>
      </c>
    </row>
    <row r="31" spans="2:14" ht="11.25" customHeight="1">
      <c r="B31" s="2594" t="s">
        <v>1719</v>
      </c>
      <c r="D31" s="2595" t="s">
        <v>1704</v>
      </c>
      <c r="E31" s="2596">
        <f>SUM(L36,L39)</f>
        <v>0.66438356164383561</v>
      </c>
    </row>
    <row r="32" spans="2:14" ht="11.25" customHeight="1">
      <c r="B32" s="2597"/>
      <c r="C32" s="2598" t="s">
        <v>1705</v>
      </c>
      <c r="D32" s="2598" t="s">
        <v>1706</v>
      </c>
      <c r="E32" s="2598" t="s">
        <v>1699</v>
      </c>
      <c r="F32" s="2598" t="s">
        <v>1707</v>
      </c>
      <c r="G32" s="2598" t="s">
        <v>543</v>
      </c>
      <c r="H32" s="2598" t="s">
        <v>545</v>
      </c>
      <c r="I32" s="2598" t="s">
        <v>611</v>
      </c>
      <c r="J32" s="2598" t="s">
        <v>243</v>
      </c>
      <c r="K32" s="2598" t="s">
        <v>1708</v>
      </c>
      <c r="L32" s="2598" t="s">
        <v>243</v>
      </c>
      <c r="M32" s="2598" t="s">
        <v>90</v>
      </c>
    </row>
    <row r="33" spans="2:13" ht="11.25" customHeight="1">
      <c r="B33" s="2527" t="str">
        <f t="shared" ref="B33:C39" si="8">B22</f>
        <v>1종 - 외부</v>
      </c>
      <c r="C33" s="2592">
        <f t="shared" si="8"/>
        <v>1</v>
      </c>
      <c r="D33" s="2592">
        <f>D22</f>
        <v>24000</v>
      </c>
      <c r="E33" s="2593">
        <f>E22</f>
        <v>1000</v>
      </c>
      <c r="F33" s="2593">
        <f>F22</f>
        <v>25000</v>
      </c>
      <c r="G33" s="2592">
        <f t="shared" ref="G33:G39" si="9">D33/(F33/E33)</f>
        <v>960</v>
      </c>
      <c r="H33" s="2592">
        <f t="shared" ref="H33:H39" si="10">D33-G33</f>
        <v>23040</v>
      </c>
      <c r="I33" s="2592">
        <f t="shared" ref="I33:I39" si="11">D33/F33*10^6</f>
        <v>960000</v>
      </c>
      <c r="J33" s="2591">
        <f>I33/I40</f>
        <v>0.15550755939524835</v>
      </c>
      <c r="K33" s="2592">
        <f t="shared" ref="K33:K39" si="12">C33*I33</f>
        <v>960000</v>
      </c>
      <c r="L33" s="2591">
        <f>K33/K40</f>
        <v>0.16438356164383561</v>
      </c>
      <c r="M33" s="2599"/>
    </row>
    <row r="34" spans="2:13" ht="11.25" customHeight="1">
      <c r="B34" s="2527" t="str">
        <f t="shared" si="8"/>
        <v>2종 - 외부</v>
      </c>
      <c r="C34" s="2592">
        <f t="shared" si="8"/>
        <v>1</v>
      </c>
      <c r="D34" s="2592">
        <f>D23</f>
        <v>25000</v>
      </c>
      <c r="E34" s="2593">
        <f t="shared" ref="E34:F39" si="13">E23</f>
        <v>1000</v>
      </c>
      <c r="F34" s="2593">
        <f t="shared" si="13"/>
        <v>25000</v>
      </c>
      <c r="G34" s="2592">
        <f t="shared" si="9"/>
        <v>1000</v>
      </c>
      <c r="H34" s="2592">
        <f t="shared" si="10"/>
        <v>24000</v>
      </c>
      <c r="I34" s="2592">
        <f t="shared" si="11"/>
        <v>1000000</v>
      </c>
      <c r="J34" s="2591">
        <f>I34/I40</f>
        <v>0.16198704103671704</v>
      </c>
      <c r="K34" s="2592">
        <f t="shared" si="12"/>
        <v>1000000</v>
      </c>
      <c r="L34" s="2591">
        <f>K34/K40</f>
        <v>0.17123287671232876</v>
      </c>
      <c r="M34" s="2599"/>
    </row>
    <row r="35" spans="2:13" ht="11.25" customHeight="1">
      <c r="B35" s="2612" t="str">
        <f t="shared" si="8"/>
        <v>2종 - 외부(무의결)</v>
      </c>
      <c r="C35" s="2613">
        <f t="shared" si="8"/>
        <v>0</v>
      </c>
      <c r="D35" s="2613">
        <v>0</v>
      </c>
      <c r="E35" s="2614">
        <f t="shared" si="13"/>
        <v>1000</v>
      </c>
      <c r="F35" s="2614">
        <f t="shared" si="13"/>
        <v>25000</v>
      </c>
      <c r="G35" s="2613">
        <f t="shared" si="9"/>
        <v>0</v>
      </c>
      <c r="H35" s="2613">
        <f t="shared" si="10"/>
        <v>0</v>
      </c>
      <c r="I35" s="2613">
        <f t="shared" si="11"/>
        <v>0</v>
      </c>
      <c r="J35" s="2615">
        <f>I35/I40</f>
        <v>0</v>
      </c>
      <c r="K35" s="2613">
        <f t="shared" si="12"/>
        <v>0</v>
      </c>
      <c r="L35" s="2615">
        <f>K35/K40</f>
        <v>0</v>
      </c>
      <c r="M35" s="2616" t="s">
        <v>1720</v>
      </c>
    </row>
    <row r="36" spans="2:13" ht="11.25" customHeight="1">
      <c r="B36" s="2527" t="str">
        <f t="shared" si="8"/>
        <v>2종 - KLI</v>
      </c>
      <c r="C36" s="2592">
        <f t="shared" si="8"/>
        <v>1</v>
      </c>
      <c r="D36" s="2592">
        <f>D25</f>
        <v>25000</v>
      </c>
      <c r="E36" s="2593">
        <f t="shared" si="13"/>
        <v>1000</v>
      </c>
      <c r="F36" s="2593">
        <f t="shared" si="13"/>
        <v>25000</v>
      </c>
      <c r="G36" s="2592">
        <f t="shared" si="9"/>
        <v>1000</v>
      </c>
      <c r="H36" s="2592">
        <f t="shared" si="10"/>
        <v>24000</v>
      </c>
      <c r="I36" s="2592">
        <f t="shared" si="11"/>
        <v>1000000</v>
      </c>
      <c r="J36" s="2591">
        <f>I36/I40</f>
        <v>0.16198704103671704</v>
      </c>
      <c r="K36" s="2592">
        <f t="shared" si="12"/>
        <v>1000000</v>
      </c>
      <c r="L36" s="2591">
        <f>K36/K40</f>
        <v>0.17123287671232876</v>
      </c>
      <c r="M36" s="2599" t="str">
        <f>M25</f>
        <v>2-1단계 KLI 증자</v>
      </c>
    </row>
    <row r="37" spans="2:13" ht="11.25" customHeight="1">
      <c r="B37" s="2527" t="str">
        <f t="shared" si="8"/>
        <v>2종 - KLI(무의결)</v>
      </c>
      <c r="C37" s="2592">
        <f t="shared" si="8"/>
        <v>0</v>
      </c>
      <c r="D37" s="2592">
        <f>D26</f>
        <v>0</v>
      </c>
      <c r="E37" s="2593">
        <f t="shared" si="13"/>
        <v>1000</v>
      </c>
      <c r="F37" s="2593">
        <f t="shared" si="13"/>
        <v>25000</v>
      </c>
      <c r="G37" s="2592">
        <f t="shared" si="9"/>
        <v>0</v>
      </c>
      <c r="H37" s="2592">
        <f t="shared" si="10"/>
        <v>0</v>
      </c>
      <c r="I37" s="2592">
        <f t="shared" si="11"/>
        <v>0</v>
      </c>
      <c r="J37" s="2591">
        <f>I37/I40</f>
        <v>0</v>
      </c>
      <c r="K37" s="2592">
        <f t="shared" si="12"/>
        <v>0</v>
      </c>
      <c r="L37" s="2591">
        <f>K37/K40</f>
        <v>0</v>
      </c>
      <c r="M37" s="2599"/>
    </row>
    <row r="38" spans="2:13" ht="11.25" customHeight="1">
      <c r="B38" s="2527" t="str">
        <f t="shared" si="8"/>
        <v>3종 - 외부(무의결)</v>
      </c>
      <c r="C38" s="2592">
        <f t="shared" si="8"/>
        <v>0</v>
      </c>
      <c r="D38" s="2592">
        <f>D27</f>
        <v>10000</v>
      </c>
      <c r="E38" s="2593">
        <f t="shared" si="13"/>
        <v>1000</v>
      </c>
      <c r="F38" s="2593">
        <f t="shared" si="13"/>
        <v>30000</v>
      </c>
      <c r="G38" s="2592">
        <f t="shared" si="9"/>
        <v>333.33333333333331</v>
      </c>
      <c r="H38" s="2592">
        <f t="shared" si="10"/>
        <v>9666.6666666666661</v>
      </c>
      <c r="I38" s="2592">
        <f t="shared" si="11"/>
        <v>333333.33333333331</v>
      </c>
      <c r="J38" s="2591">
        <f>I38/I40</f>
        <v>5.3995680345572346E-2</v>
      </c>
      <c r="K38" s="2592">
        <f t="shared" si="12"/>
        <v>0</v>
      </c>
      <c r="L38" s="2591">
        <f>K38/K40</f>
        <v>0</v>
      </c>
    </row>
    <row r="39" spans="2:13" ht="11.25" customHeight="1">
      <c r="B39" s="2527" t="str">
        <f t="shared" si="8"/>
        <v>보통주 - KLI</v>
      </c>
      <c r="C39" s="2592">
        <f t="shared" si="8"/>
        <v>1</v>
      </c>
      <c r="D39" s="2592">
        <f>D28</f>
        <v>14400</v>
      </c>
      <c r="E39" s="2593">
        <f t="shared" si="13"/>
        <v>1000</v>
      </c>
      <c r="F39" s="2593">
        <f t="shared" si="13"/>
        <v>5000</v>
      </c>
      <c r="G39" s="2592">
        <f t="shared" si="9"/>
        <v>2880</v>
      </c>
      <c r="H39" s="2592">
        <f t="shared" si="10"/>
        <v>11520</v>
      </c>
      <c r="I39" s="2592">
        <f t="shared" si="11"/>
        <v>2880000</v>
      </c>
      <c r="J39" s="2591">
        <f>I39/I40</f>
        <v>0.46652267818574511</v>
      </c>
      <c r="K39" s="2592">
        <f t="shared" si="12"/>
        <v>2880000</v>
      </c>
      <c r="L39" s="2591">
        <f>K39/K40</f>
        <v>0.49315068493150682</v>
      </c>
    </row>
    <row r="40" spans="2:13" ht="11.25" customHeight="1">
      <c r="B40" s="2597" t="s">
        <v>59</v>
      </c>
      <c r="C40" s="2601"/>
      <c r="D40" s="2601">
        <f>SUM(D33:D39)</f>
        <v>98400</v>
      </c>
      <c r="E40" s="2602"/>
      <c r="F40" s="2602"/>
      <c r="G40" s="2601">
        <f>SUM(G33:G39)</f>
        <v>6173.3333333333339</v>
      </c>
      <c r="H40" s="2601">
        <f>SUM(H33:H39)</f>
        <v>92226.666666666672</v>
      </c>
      <c r="I40" s="2601">
        <f>SUM(I33:I39)</f>
        <v>6173333.333333334</v>
      </c>
      <c r="J40" s="2604">
        <f>I40/I40</f>
        <v>1</v>
      </c>
      <c r="K40" s="2601">
        <f>SUM(K33:K39)</f>
        <v>5840000</v>
      </c>
      <c r="L40" s="2604">
        <f>SUM(L33:L39)</f>
        <v>1</v>
      </c>
      <c r="M40" s="2597"/>
    </row>
    <row r="41" spans="2:13" ht="11.25" customHeight="1">
      <c r="C41" s="2592"/>
      <c r="D41" s="2592"/>
      <c r="E41" s="2593"/>
      <c r="F41" s="2593"/>
      <c r="G41" s="2592" t="b">
        <f>G40&gt;=5000</f>
        <v>1</v>
      </c>
      <c r="H41" s="2592" t="s">
        <v>1714</v>
      </c>
      <c r="I41" s="2605">
        <f>(I40-K40)/I40</f>
        <v>5.399568034557245E-2</v>
      </c>
      <c r="J41" s="2591" t="b">
        <f>I41&lt;=0.25</f>
        <v>1</v>
      </c>
      <c r="K41" s="2592"/>
      <c r="L41" s="2591"/>
    </row>
    <row r="42" spans="2:13" ht="11.25" customHeight="1">
      <c r="B42" s="2594" t="s">
        <v>1721</v>
      </c>
      <c r="D42" s="2595" t="s">
        <v>1704</v>
      </c>
      <c r="E42" s="2596">
        <f>SUM(L47,L50)</f>
        <v>0.66438356164383561</v>
      </c>
    </row>
    <row r="43" spans="2:13" ht="11.25" customHeight="1">
      <c r="B43" s="2597"/>
      <c r="C43" s="2598" t="s">
        <v>1705</v>
      </c>
      <c r="D43" s="2598" t="s">
        <v>1706</v>
      </c>
      <c r="E43" s="2598" t="s">
        <v>1699</v>
      </c>
      <c r="F43" s="2598" t="s">
        <v>1707</v>
      </c>
      <c r="G43" s="2598" t="s">
        <v>543</v>
      </c>
      <c r="H43" s="2598" t="s">
        <v>545</v>
      </c>
      <c r="I43" s="2598" t="s">
        <v>611</v>
      </c>
      <c r="J43" s="2598" t="s">
        <v>243</v>
      </c>
      <c r="K43" s="2598" t="s">
        <v>1708</v>
      </c>
      <c r="L43" s="2598" t="s">
        <v>243</v>
      </c>
      <c r="M43" s="2598" t="s">
        <v>90</v>
      </c>
    </row>
    <row r="44" spans="2:13" ht="11.25" customHeight="1">
      <c r="B44" s="2527" t="str">
        <f t="shared" ref="B44:C50" si="14">B33</f>
        <v>1종 - 외부</v>
      </c>
      <c r="C44" s="2592">
        <f t="shared" si="14"/>
        <v>1</v>
      </c>
      <c r="D44" s="2592">
        <f>D33</f>
        <v>24000</v>
      </c>
      <c r="E44" s="2593">
        <f>E33</f>
        <v>1000</v>
      </c>
      <c r="F44" s="2593">
        <f>F33</f>
        <v>25000</v>
      </c>
      <c r="G44" s="2592">
        <f t="shared" ref="G44:G50" si="15">D44/(F44/E44)</f>
        <v>960</v>
      </c>
      <c r="H44" s="2592">
        <f t="shared" ref="H44:H50" si="16">D44-G44</f>
        <v>23040</v>
      </c>
      <c r="I44" s="2592">
        <f t="shared" ref="I44:I50" si="17">D44/F44*10^6</f>
        <v>960000</v>
      </c>
      <c r="J44" s="2591">
        <f>I44/I51</f>
        <v>0.1338289962825279</v>
      </c>
      <c r="K44" s="2592">
        <f t="shared" ref="K44:K50" si="18">C44*I44</f>
        <v>960000</v>
      </c>
      <c r="L44" s="2591">
        <f>K44/K51</f>
        <v>0.16438356164383561</v>
      </c>
    </row>
    <row r="45" spans="2:13" ht="11.25" customHeight="1">
      <c r="B45" s="2527" t="str">
        <f t="shared" si="14"/>
        <v>2종 - 외부</v>
      </c>
      <c r="C45" s="2592">
        <f t="shared" si="14"/>
        <v>1</v>
      </c>
      <c r="D45" s="2606">
        <f>D34</f>
        <v>25000</v>
      </c>
      <c r="E45" s="2593">
        <f t="shared" ref="E45:F50" si="19">E34</f>
        <v>1000</v>
      </c>
      <c r="F45" s="2593">
        <f t="shared" si="19"/>
        <v>25000</v>
      </c>
      <c r="G45" s="2592">
        <f t="shared" si="15"/>
        <v>1000</v>
      </c>
      <c r="H45" s="2592">
        <f t="shared" si="16"/>
        <v>24000</v>
      </c>
      <c r="I45" s="2592">
        <f t="shared" si="17"/>
        <v>1000000</v>
      </c>
      <c r="J45" s="2591">
        <f>I45/I51</f>
        <v>0.13940520446096655</v>
      </c>
      <c r="K45" s="2592">
        <f t="shared" si="18"/>
        <v>1000000</v>
      </c>
      <c r="L45" s="2591">
        <f>K45/K51</f>
        <v>0.17123287671232876</v>
      </c>
    </row>
    <row r="46" spans="2:13" ht="11.25" customHeight="1">
      <c r="B46" s="2527" t="str">
        <f t="shared" si="14"/>
        <v>2종 - 외부(무의결)</v>
      </c>
      <c r="C46" s="2592">
        <f t="shared" si="14"/>
        <v>0</v>
      </c>
      <c r="D46" s="2592">
        <v>0</v>
      </c>
      <c r="E46" s="2593">
        <f t="shared" si="19"/>
        <v>1000</v>
      </c>
      <c r="F46" s="2593">
        <f t="shared" si="19"/>
        <v>25000</v>
      </c>
      <c r="G46" s="2592">
        <f t="shared" si="15"/>
        <v>0</v>
      </c>
      <c r="H46" s="2592">
        <f t="shared" si="16"/>
        <v>0</v>
      </c>
      <c r="I46" s="2592">
        <f t="shared" si="17"/>
        <v>0</v>
      </c>
      <c r="J46" s="2591">
        <f>I46/I51</f>
        <v>0</v>
      </c>
      <c r="K46" s="2592">
        <f t="shared" si="18"/>
        <v>0</v>
      </c>
      <c r="L46" s="2591">
        <f>K46/K51</f>
        <v>0</v>
      </c>
      <c r="M46" s="2599" t="str">
        <f>M35</f>
        <v>2-2단계 감자</v>
      </c>
    </row>
    <row r="47" spans="2:13" ht="11.25" customHeight="1">
      <c r="B47" s="2527" t="str">
        <f t="shared" si="14"/>
        <v>2종 - KLI</v>
      </c>
      <c r="C47" s="2592">
        <f t="shared" si="14"/>
        <v>1</v>
      </c>
      <c r="D47" s="2592">
        <f>D36</f>
        <v>25000</v>
      </c>
      <c r="E47" s="2593">
        <f t="shared" si="19"/>
        <v>1000</v>
      </c>
      <c r="F47" s="2593">
        <f t="shared" si="19"/>
        <v>25000</v>
      </c>
      <c r="G47" s="2592">
        <f t="shared" si="15"/>
        <v>1000</v>
      </c>
      <c r="H47" s="2592">
        <f t="shared" si="16"/>
        <v>24000</v>
      </c>
      <c r="I47" s="2592">
        <f t="shared" si="17"/>
        <v>1000000</v>
      </c>
      <c r="J47" s="2591">
        <f>I47/I51</f>
        <v>0.13940520446096655</v>
      </c>
      <c r="K47" s="2592">
        <f t="shared" si="18"/>
        <v>1000000</v>
      </c>
      <c r="L47" s="2591">
        <f>K47/K51</f>
        <v>0.17123287671232876</v>
      </c>
      <c r="M47" s="2599" t="str">
        <f>M36</f>
        <v>2-1단계 KLI 증자</v>
      </c>
    </row>
    <row r="48" spans="2:13" ht="11.25" customHeight="1">
      <c r="B48" s="2612" t="str">
        <f t="shared" si="14"/>
        <v>2종 - KLI(무의결)</v>
      </c>
      <c r="C48" s="2613">
        <f t="shared" si="14"/>
        <v>0</v>
      </c>
      <c r="D48" s="2613">
        <f>D14</f>
        <v>25000</v>
      </c>
      <c r="E48" s="2614">
        <f t="shared" si="19"/>
        <v>1000</v>
      </c>
      <c r="F48" s="2614">
        <f t="shared" si="19"/>
        <v>25000</v>
      </c>
      <c r="G48" s="2613">
        <f t="shared" si="15"/>
        <v>1000</v>
      </c>
      <c r="H48" s="2613">
        <f t="shared" si="16"/>
        <v>24000</v>
      </c>
      <c r="I48" s="2613">
        <f t="shared" si="17"/>
        <v>1000000</v>
      </c>
      <c r="J48" s="2615">
        <f>I48/I51</f>
        <v>0.13940520446096655</v>
      </c>
      <c r="K48" s="2613">
        <f t="shared" si="18"/>
        <v>0</v>
      </c>
      <c r="L48" s="2615">
        <f>K48/K51</f>
        <v>0</v>
      </c>
      <c r="M48" s="2612" t="s">
        <v>1722</v>
      </c>
    </row>
    <row r="49" spans="2:13" ht="11.25" customHeight="1">
      <c r="B49" s="2527" t="str">
        <f t="shared" si="14"/>
        <v>3종 - 외부(무의결)</v>
      </c>
      <c r="C49" s="2592">
        <f t="shared" si="14"/>
        <v>0</v>
      </c>
      <c r="D49" s="2592">
        <f>D38</f>
        <v>10000</v>
      </c>
      <c r="E49" s="2593">
        <f t="shared" si="19"/>
        <v>1000</v>
      </c>
      <c r="F49" s="2593">
        <f t="shared" si="19"/>
        <v>30000</v>
      </c>
      <c r="G49" s="2592">
        <f t="shared" si="15"/>
        <v>333.33333333333331</v>
      </c>
      <c r="H49" s="2592">
        <f t="shared" si="16"/>
        <v>9666.6666666666661</v>
      </c>
      <c r="I49" s="2592">
        <f t="shared" si="17"/>
        <v>333333.33333333331</v>
      </c>
      <c r="J49" s="2591">
        <f>I49/I51</f>
        <v>4.6468401486988845E-2</v>
      </c>
      <c r="K49" s="2592">
        <f t="shared" si="18"/>
        <v>0</v>
      </c>
      <c r="L49" s="2591">
        <f>K49/K51</f>
        <v>0</v>
      </c>
    </row>
    <row r="50" spans="2:13" ht="11.25" customHeight="1">
      <c r="B50" s="2527" t="str">
        <f t="shared" si="14"/>
        <v>보통주 - KLI</v>
      </c>
      <c r="C50" s="2592">
        <f t="shared" si="14"/>
        <v>1</v>
      </c>
      <c r="D50" s="2592">
        <f>D39</f>
        <v>14400</v>
      </c>
      <c r="E50" s="2593">
        <f t="shared" si="19"/>
        <v>1000</v>
      </c>
      <c r="F50" s="2593">
        <f t="shared" si="19"/>
        <v>5000</v>
      </c>
      <c r="G50" s="2592">
        <f t="shared" si="15"/>
        <v>2880</v>
      </c>
      <c r="H50" s="2592">
        <f t="shared" si="16"/>
        <v>11520</v>
      </c>
      <c r="I50" s="2592">
        <f t="shared" si="17"/>
        <v>2880000</v>
      </c>
      <c r="J50" s="2591">
        <f>I50/I51</f>
        <v>0.40148698884758366</v>
      </c>
      <c r="K50" s="2592">
        <f t="shared" si="18"/>
        <v>2880000</v>
      </c>
      <c r="L50" s="2591">
        <f>K50/K51</f>
        <v>0.49315068493150682</v>
      </c>
    </row>
    <row r="51" spans="2:13" ht="11.25" customHeight="1">
      <c r="B51" s="2597" t="s">
        <v>59</v>
      </c>
      <c r="C51" s="2601"/>
      <c r="D51" s="2601">
        <f>SUM(D44:D50)</f>
        <v>123400</v>
      </c>
      <c r="E51" s="2602"/>
      <c r="F51" s="2602"/>
      <c r="G51" s="2601">
        <f>SUM(G44:G50)</f>
        <v>7173.333333333333</v>
      </c>
      <c r="H51" s="2601">
        <f>SUM(H44:H50)</f>
        <v>116226.66666666667</v>
      </c>
      <c r="I51" s="2601">
        <f>SUM(I44:I50)</f>
        <v>7173333.333333333</v>
      </c>
      <c r="J51" s="2604">
        <f>I51/I51</f>
        <v>1</v>
      </c>
      <c r="K51" s="2601">
        <f>SUM(K44:K50)</f>
        <v>5840000</v>
      </c>
      <c r="L51" s="2604">
        <f>SUM(L44:L50)</f>
        <v>1</v>
      </c>
      <c r="M51" s="2597"/>
    </row>
    <row r="52" spans="2:13" ht="11.25" customHeight="1">
      <c r="C52" s="2592"/>
      <c r="D52" s="2592"/>
      <c r="E52" s="2593"/>
      <c r="F52" s="2593"/>
      <c r="G52" s="2592" t="b">
        <f>G51&gt;=5000</f>
        <v>1</v>
      </c>
      <c r="H52" s="2592" t="s">
        <v>1714</v>
      </c>
      <c r="I52" s="2605">
        <f>(I51-K51)/I51</f>
        <v>0.18587360594795535</v>
      </c>
      <c r="J52" s="2591" t="b">
        <f>I52&lt;=0.25</f>
        <v>1</v>
      </c>
      <c r="K52" s="2592"/>
      <c r="L52" s="2591"/>
    </row>
    <row r="53" spans="2:13" ht="11.25" customHeight="1">
      <c r="B53" s="2594" t="s">
        <v>1723</v>
      </c>
      <c r="D53" s="2595" t="s">
        <v>1704</v>
      </c>
      <c r="E53" s="2596">
        <f>SUM(L58,L61)</f>
        <v>0.80165289256198347</v>
      </c>
    </row>
    <row r="54" spans="2:13" ht="11.25" customHeight="1">
      <c r="B54" s="2597"/>
      <c r="C54" s="2598" t="s">
        <v>1705</v>
      </c>
      <c r="D54" s="2598" t="s">
        <v>1706</v>
      </c>
      <c r="E54" s="2598" t="s">
        <v>1699</v>
      </c>
      <c r="F54" s="2598" t="s">
        <v>1707</v>
      </c>
      <c r="G54" s="2598" t="s">
        <v>543</v>
      </c>
      <c r="H54" s="2598" t="s">
        <v>545</v>
      </c>
      <c r="I54" s="2598" t="s">
        <v>611</v>
      </c>
      <c r="J54" s="2598" t="s">
        <v>243</v>
      </c>
      <c r="K54" s="2598" t="s">
        <v>1708</v>
      </c>
      <c r="L54" s="2598" t="s">
        <v>243</v>
      </c>
      <c r="M54" s="2598" t="s">
        <v>90</v>
      </c>
    </row>
    <row r="55" spans="2:13" ht="11.25" customHeight="1">
      <c r="B55" s="2527" t="str">
        <f t="shared" ref="B55:C61" si="20">B44</f>
        <v>1종 - 외부</v>
      </c>
      <c r="C55" s="2592">
        <f t="shared" si="20"/>
        <v>1</v>
      </c>
      <c r="D55" s="2592">
        <f>D44</f>
        <v>24000</v>
      </c>
      <c r="E55" s="2593">
        <f>E44</f>
        <v>1000</v>
      </c>
      <c r="F55" s="2593">
        <f>F44</f>
        <v>25000</v>
      </c>
      <c r="G55" s="2592">
        <f t="shared" ref="G55:G61" si="21">D55/(F55/E55)</f>
        <v>960</v>
      </c>
      <c r="H55" s="2592">
        <f t="shared" ref="H55:H61" si="22">D55-G55</f>
        <v>23040</v>
      </c>
      <c r="I55" s="2592">
        <f t="shared" ref="I55:I61" si="23">D55/F55*10^6</f>
        <v>960000</v>
      </c>
      <c r="J55" s="2591">
        <f>I55/I62</f>
        <v>0.15550755939524835</v>
      </c>
      <c r="K55" s="2592">
        <f t="shared" ref="K55:K61" si="24">C55*I55</f>
        <v>960000</v>
      </c>
      <c r="L55" s="2591">
        <f>K55/K62</f>
        <v>0.19834710743801653</v>
      </c>
    </row>
    <row r="56" spans="2:13" ht="11.25" customHeight="1">
      <c r="B56" s="2612" t="str">
        <f t="shared" si="20"/>
        <v>2종 - 외부</v>
      </c>
      <c r="C56" s="2613">
        <f t="shared" si="20"/>
        <v>1</v>
      </c>
      <c r="D56" s="2613">
        <v>0</v>
      </c>
      <c r="E56" s="2614">
        <f t="shared" ref="E56:F61" si="25">E45</f>
        <v>1000</v>
      </c>
      <c r="F56" s="2614">
        <f t="shared" si="25"/>
        <v>25000</v>
      </c>
      <c r="G56" s="2613">
        <f t="shared" si="21"/>
        <v>0</v>
      </c>
      <c r="H56" s="2613">
        <f t="shared" si="22"/>
        <v>0</v>
      </c>
      <c r="I56" s="2613">
        <f t="shared" si="23"/>
        <v>0</v>
      </c>
      <c r="J56" s="2615">
        <f>I56/I62</f>
        <v>0</v>
      </c>
      <c r="K56" s="2613">
        <f t="shared" si="24"/>
        <v>0</v>
      </c>
      <c r="L56" s="2615">
        <f>K56/K62</f>
        <v>0</v>
      </c>
      <c r="M56" s="2612" t="s">
        <v>1724</v>
      </c>
    </row>
    <row r="57" spans="2:13" ht="11.25" customHeight="1">
      <c r="B57" s="2527" t="str">
        <f t="shared" si="20"/>
        <v>2종 - 외부(무의결)</v>
      </c>
      <c r="C57" s="2592">
        <f t="shared" si="20"/>
        <v>0</v>
      </c>
      <c r="D57" s="2592">
        <v>0</v>
      </c>
      <c r="E57" s="2593">
        <f t="shared" si="25"/>
        <v>1000</v>
      </c>
      <c r="F57" s="2593">
        <f t="shared" si="25"/>
        <v>25000</v>
      </c>
      <c r="G57" s="2592">
        <f t="shared" si="21"/>
        <v>0</v>
      </c>
      <c r="H57" s="2592">
        <f t="shared" si="22"/>
        <v>0</v>
      </c>
      <c r="I57" s="2592">
        <f t="shared" si="23"/>
        <v>0</v>
      </c>
      <c r="J57" s="2591">
        <f>I57/I62</f>
        <v>0</v>
      </c>
      <c r="K57" s="2592">
        <f t="shared" si="24"/>
        <v>0</v>
      </c>
      <c r="L57" s="2591">
        <f>K57/K62</f>
        <v>0</v>
      </c>
      <c r="M57" s="2599" t="str">
        <f>M46</f>
        <v>2-2단계 감자</v>
      </c>
    </row>
    <row r="58" spans="2:13" ht="11.25" customHeight="1">
      <c r="B58" s="2527" t="str">
        <f t="shared" si="20"/>
        <v>2종 - KLI</v>
      </c>
      <c r="C58" s="2592">
        <f t="shared" si="20"/>
        <v>1</v>
      </c>
      <c r="D58" s="2592">
        <f>D47</f>
        <v>25000</v>
      </c>
      <c r="E58" s="2593">
        <f t="shared" si="25"/>
        <v>1000</v>
      </c>
      <c r="F58" s="2593">
        <f t="shared" si="25"/>
        <v>25000</v>
      </c>
      <c r="G58" s="2592">
        <f t="shared" si="21"/>
        <v>1000</v>
      </c>
      <c r="H58" s="2592">
        <f t="shared" si="22"/>
        <v>24000</v>
      </c>
      <c r="I58" s="2592">
        <f t="shared" si="23"/>
        <v>1000000</v>
      </c>
      <c r="J58" s="2591">
        <f>I58/I62</f>
        <v>0.16198704103671704</v>
      </c>
      <c r="K58" s="2592">
        <f t="shared" si="24"/>
        <v>1000000</v>
      </c>
      <c r="L58" s="2591">
        <f>K58/K62</f>
        <v>0.20661157024793389</v>
      </c>
      <c r="M58" s="2599" t="str">
        <f>M47</f>
        <v>2-1단계 KLI 증자</v>
      </c>
    </row>
    <row r="59" spans="2:13" ht="11.25" customHeight="1">
      <c r="B59" s="2527" t="str">
        <f t="shared" si="20"/>
        <v>2종 - KLI(무의결)</v>
      </c>
      <c r="C59" s="2592">
        <f t="shared" si="20"/>
        <v>0</v>
      </c>
      <c r="D59" s="2592">
        <f>D48</f>
        <v>25000</v>
      </c>
      <c r="E59" s="2593">
        <f t="shared" si="25"/>
        <v>1000</v>
      </c>
      <c r="F59" s="2593">
        <f t="shared" si="25"/>
        <v>25000</v>
      </c>
      <c r="G59" s="2592">
        <f t="shared" si="21"/>
        <v>1000</v>
      </c>
      <c r="H59" s="2592">
        <f t="shared" si="22"/>
        <v>24000</v>
      </c>
      <c r="I59" s="2592">
        <f t="shared" si="23"/>
        <v>1000000</v>
      </c>
      <c r="J59" s="2591">
        <f>I59/I62</f>
        <v>0.16198704103671704</v>
      </c>
      <c r="K59" s="2592">
        <f t="shared" si="24"/>
        <v>0</v>
      </c>
      <c r="L59" s="2591">
        <f>K59/K62</f>
        <v>0</v>
      </c>
      <c r="M59" s="2599" t="str">
        <f>M48</f>
        <v>2-3단계 KIL 증자</v>
      </c>
    </row>
    <row r="60" spans="2:13" ht="11.25" customHeight="1">
      <c r="B60" s="2527" t="str">
        <f t="shared" si="20"/>
        <v>3종 - 외부(무의결)</v>
      </c>
      <c r="C60" s="2592">
        <f t="shared" si="20"/>
        <v>0</v>
      </c>
      <c r="D60" s="2592">
        <f>D49</f>
        <v>10000</v>
      </c>
      <c r="E60" s="2593">
        <f t="shared" si="25"/>
        <v>1000</v>
      </c>
      <c r="F60" s="2593">
        <f t="shared" si="25"/>
        <v>30000</v>
      </c>
      <c r="G60" s="2592">
        <f t="shared" si="21"/>
        <v>333.33333333333331</v>
      </c>
      <c r="H60" s="2592">
        <f t="shared" si="22"/>
        <v>9666.6666666666661</v>
      </c>
      <c r="I60" s="2592">
        <f t="shared" si="23"/>
        <v>333333.33333333331</v>
      </c>
      <c r="J60" s="2591">
        <f>I60/I62</f>
        <v>5.3995680345572346E-2</v>
      </c>
      <c r="K60" s="2592">
        <f t="shared" si="24"/>
        <v>0</v>
      </c>
      <c r="L60" s="2591">
        <f>K60/K62</f>
        <v>0</v>
      </c>
    </row>
    <row r="61" spans="2:13" ht="11.25" customHeight="1">
      <c r="B61" s="2527" t="str">
        <f t="shared" si="20"/>
        <v>보통주 - KLI</v>
      </c>
      <c r="C61" s="2592">
        <f t="shared" si="20"/>
        <v>1</v>
      </c>
      <c r="D61" s="2592">
        <f>D50</f>
        <v>14400</v>
      </c>
      <c r="E61" s="2593">
        <f t="shared" si="25"/>
        <v>1000</v>
      </c>
      <c r="F61" s="2593">
        <f t="shared" si="25"/>
        <v>5000</v>
      </c>
      <c r="G61" s="2592">
        <f t="shared" si="21"/>
        <v>2880</v>
      </c>
      <c r="H61" s="2592">
        <f t="shared" si="22"/>
        <v>11520</v>
      </c>
      <c r="I61" s="2592">
        <f t="shared" si="23"/>
        <v>2880000</v>
      </c>
      <c r="J61" s="2591">
        <f>I61/I62</f>
        <v>0.46652267818574511</v>
      </c>
      <c r="K61" s="2592">
        <f t="shared" si="24"/>
        <v>2880000</v>
      </c>
      <c r="L61" s="2591">
        <f>K61/K62</f>
        <v>0.5950413223140496</v>
      </c>
    </row>
    <row r="62" spans="2:13" ht="11.25" customHeight="1">
      <c r="B62" s="2597" t="s">
        <v>59</v>
      </c>
      <c r="C62" s="2601"/>
      <c r="D62" s="2601">
        <f>SUM(D55:D61)</f>
        <v>98400</v>
      </c>
      <c r="E62" s="2602"/>
      <c r="F62" s="2602"/>
      <c r="G62" s="2601">
        <f>SUM(G55:G61)</f>
        <v>6173.3333333333339</v>
      </c>
      <c r="H62" s="2601">
        <f>SUM(H55:H61)</f>
        <v>92226.666666666672</v>
      </c>
      <c r="I62" s="2601">
        <f>SUM(I55:I61)</f>
        <v>6173333.333333334</v>
      </c>
      <c r="J62" s="2604">
        <f>I62/I62</f>
        <v>1</v>
      </c>
      <c r="K62" s="2601">
        <f>SUM(K55:K61)</f>
        <v>4840000</v>
      </c>
      <c r="L62" s="2604">
        <f>SUM(L55:L61)</f>
        <v>1</v>
      </c>
      <c r="M62" s="2597"/>
    </row>
    <row r="63" spans="2:13" ht="11.25" customHeight="1">
      <c r="C63" s="2592"/>
      <c r="D63" s="2592"/>
      <c r="E63" s="2593"/>
      <c r="F63" s="2593"/>
      <c r="G63" s="2592" t="b">
        <f>G62&gt;=5000</f>
        <v>1</v>
      </c>
      <c r="H63" s="2592" t="s">
        <v>1714</v>
      </c>
      <c r="I63" s="2605">
        <f>(I62-K62)/I62</f>
        <v>0.21598272138228949</v>
      </c>
      <c r="J63" s="2591" t="b">
        <f>I63&lt;=0.25</f>
        <v>1</v>
      </c>
      <c r="K63" s="2592"/>
      <c r="L63" s="2591"/>
    </row>
    <row r="64" spans="2:13" ht="11.25" customHeight="1">
      <c r="B64" s="2594" t="s">
        <v>1725</v>
      </c>
      <c r="D64" s="2595" t="s">
        <v>1704</v>
      </c>
      <c r="E64" s="2596">
        <f>SUM(L70,L73,L67)</f>
        <v>0.83448275862068966</v>
      </c>
    </row>
    <row r="65" spans="2:13" ht="11.25" customHeight="1">
      <c r="B65" s="2597"/>
      <c r="C65" s="2598" t="s">
        <v>1705</v>
      </c>
      <c r="D65" s="2598" t="s">
        <v>1706</v>
      </c>
      <c r="E65" s="2598" t="s">
        <v>1699</v>
      </c>
      <c r="F65" s="2598" t="s">
        <v>1707</v>
      </c>
      <c r="G65" s="2598" t="s">
        <v>543</v>
      </c>
      <c r="H65" s="2598" t="s">
        <v>545</v>
      </c>
      <c r="I65" s="2598" t="s">
        <v>611</v>
      </c>
      <c r="J65" s="2598" t="s">
        <v>243</v>
      </c>
      <c r="K65" s="2598" t="s">
        <v>1708</v>
      </c>
      <c r="L65" s="2598" t="s">
        <v>243</v>
      </c>
      <c r="M65" s="2598" t="s">
        <v>90</v>
      </c>
    </row>
    <row r="66" spans="2:13" ht="11.25" customHeight="1">
      <c r="B66" s="2527" t="str">
        <f>B55</f>
        <v>1종 - 외부</v>
      </c>
      <c r="C66" s="2592">
        <f>C55</f>
        <v>1</v>
      </c>
      <c r="D66" s="2606">
        <f>D55</f>
        <v>24000</v>
      </c>
      <c r="E66" s="2593">
        <f>E55</f>
        <v>1000</v>
      </c>
      <c r="F66" s="2593">
        <f>F55</f>
        <v>25000</v>
      </c>
      <c r="G66" s="2592">
        <f t="shared" ref="G66:G73" si="26">D66/(F66/E66)</f>
        <v>960</v>
      </c>
      <c r="H66" s="2592">
        <f t="shared" ref="H66:H73" si="27">D66-G66</f>
        <v>23040</v>
      </c>
      <c r="I66" s="2592">
        <f t="shared" ref="I66:I73" si="28">D66/F66*10^6</f>
        <v>960000</v>
      </c>
      <c r="J66" s="2591">
        <f>I66/I74</f>
        <v>0.13457943925233645</v>
      </c>
      <c r="K66" s="2592">
        <f t="shared" ref="K66:K73" si="29">C66*I66</f>
        <v>960000</v>
      </c>
      <c r="L66" s="2591">
        <f>K66/K74</f>
        <v>0.16551724137931034</v>
      </c>
      <c r="M66" s="2599"/>
    </row>
    <row r="67" spans="2:13" ht="11.25" customHeight="1">
      <c r="B67" s="2617" t="s">
        <v>1726</v>
      </c>
      <c r="C67" s="2618">
        <f>C66</f>
        <v>1</v>
      </c>
      <c r="D67" s="2618">
        <f>D66</f>
        <v>24000</v>
      </c>
      <c r="E67" s="2619">
        <f>E66</f>
        <v>1000</v>
      </c>
      <c r="F67" s="2619">
        <f>F66</f>
        <v>25000</v>
      </c>
      <c r="G67" s="2618">
        <f t="shared" si="26"/>
        <v>960</v>
      </c>
      <c r="H67" s="2618">
        <f t="shared" si="27"/>
        <v>23040</v>
      </c>
      <c r="I67" s="2618">
        <f t="shared" si="28"/>
        <v>960000</v>
      </c>
      <c r="J67" s="2620">
        <f>I67/I74</f>
        <v>0.13457943925233645</v>
      </c>
      <c r="K67" s="2618">
        <f t="shared" si="29"/>
        <v>960000</v>
      </c>
      <c r="L67" s="2620">
        <f>K67/K74</f>
        <v>0.16551724137931034</v>
      </c>
      <c r="M67" s="2621" t="s">
        <v>1727</v>
      </c>
    </row>
    <row r="68" spans="2:13" ht="11.25" customHeight="1">
      <c r="B68" s="2527" t="str">
        <f t="shared" ref="B68:F73" si="30">B56</f>
        <v>2종 - 외부</v>
      </c>
      <c r="C68" s="2592">
        <f t="shared" si="30"/>
        <v>1</v>
      </c>
      <c r="D68" s="2592">
        <f t="shared" si="30"/>
        <v>0</v>
      </c>
      <c r="E68" s="2593">
        <f t="shared" si="30"/>
        <v>1000</v>
      </c>
      <c r="F68" s="2593">
        <f t="shared" si="30"/>
        <v>25000</v>
      </c>
      <c r="G68" s="2592">
        <f t="shared" si="26"/>
        <v>0</v>
      </c>
      <c r="H68" s="2592">
        <f t="shared" si="27"/>
        <v>0</v>
      </c>
      <c r="I68" s="2592">
        <f t="shared" si="28"/>
        <v>0</v>
      </c>
      <c r="J68" s="2591">
        <f>I68/I74</f>
        <v>0</v>
      </c>
      <c r="K68" s="2592">
        <f t="shared" si="29"/>
        <v>0</v>
      </c>
      <c r="L68" s="2591">
        <f>K68/K74</f>
        <v>0</v>
      </c>
      <c r="M68" s="2599" t="str">
        <f>M56</f>
        <v>2-4단계 감자</v>
      </c>
    </row>
    <row r="69" spans="2:13" ht="11.25" customHeight="1">
      <c r="B69" s="2527" t="str">
        <f t="shared" si="30"/>
        <v>2종 - 외부(무의결)</v>
      </c>
      <c r="C69" s="2592">
        <f t="shared" si="30"/>
        <v>0</v>
      </c>
      <c r="D69" s="2592">
        <f t="shared" si="30"/>
        <v>0</v>
      </c>
      <c r="E69" s="2593">
        <f t="shared" si="30"/>
        <v>1000</v>
      </c>
      <c r="F69" s="2593">
        <f t="shared" si="30"/>
        <v>25000</v>
      </c>
      <c r="G69" s="2592">
        <f t="shared" si="26"/>
        <v>0</v>
      </c>
      <c r="H69" s="2592">
        <f t="shared" si="27"/>
        <v>0</v>
      </c>
      <c r="I69" s="2592">
        <f t="shared" si="28"/>
        <v>0</v>
      </c>
      <c r="J69" s="2591">
        <f>I69/I74</f>
        <v>0</v>
      </c>
      <c r="K69" s="2592">
        <f t="shared" si="29"/>
        <v>0</v>
      </c>
      <c r="L69" s="2591">
        <f>K69/K74</f>
        <v>0</v>
      </c>
      <c r="M69" s="2599" t="str">
        <f t="shared" ref="M69:M71" si="31">M57</f>
        <v>2-2단계 감자</v>
      </c>
    </row>
    <row r="70" spans="2:13" ht="11.25" customHeight="1">
      <c r="B70" s="2527" t="str">
        <f t="shared" si="30"/>
        <v>2종 - KLI</v>
      </c>
      <c r="C70" s="2592">
        <f t="shared" si="30"/>
        <v>1</v>
      </c>
      <c r="D70" s="2592">
        <f t="shared" si="30"/>
        <v>25000</v>
      </c>
      <c r="E70" s="2593">
        <f t="shared" si="30"/>
        <v>1000</v>
      </c>
      <c r="F70" s="2593">
        <f t="shared" si="30"/>
        <v>25000</v>
      </c>
      <c r="G70" s="2592">
        <f t="shared" si="26"/>
        <v>1000</v>
      </c>
      <c r="H70" s="2592">
        <f t="shared" si="27"/>
        <v>24000</v>
      </c>
      <c r="I70" s="2592">
        <f t="shared" si="28"/>
        <v>1000000</v>
      </c>
      <c r="J70" s="2591">
        <f>I70/I74</f>
        <v>0.14018691588785048</v>
      </c>
      <c r="K70" s="2592">
        <f t="shared" si="29"/>
        <v>1000000</v>
      </c>
      <c r="L70" s="2591">
        <f>K70/K74</f>
        <v>0.17241379310344829</v>
      </c>
      <c r="M70" s="2599" t="str">
        <f t="shared" si="31"/>
        <v>2-1단계 KLI 증자</v>
      </c>
    </row>
    <row r="71" spans="2:13" ht="11.25" customHeight="1">
      <c r="B71" s="2527" t="str">
        <f t="shared" si="30"/>
        <v>2종 - KLI(무의결)</v>
      </c>
      <c r="C71" s="2592">
        <f t="shared" si="30"/>
        <v>0</v>
      </c>
      <c r="D71" s="2592">
        <f t="shared" si="30"/>
        <v>25000</v>
      </c>
      <c r="E71" s="2593">
        <f t="shared" si="30"/>
        <v>1000</v>
      </c>
      <c r="F71" s="2593">
        <f t="shared" si="30"/>
        <v>25000</v>
      </c>
      <c r="G71" s="2592">
        <f t="shared" si="26"/>
        <v>1000</v>
      </c>
      <c r="H71" s="2592">
        <f t="shared" si="27"/>
        <v>24000</v>
      </c>
      <c r="I71" s="2592">
        <f t="shared" si="28"/>
        <v>1000000</v>
      </c>
      <c r="J71" s="2591">
        <f>I71/I74</f>
        <v>0.14018691588785048</v>
      </c>
      <c r="K71" s="2592">
        <f t="shared" si="29"/>
        <v>0</v>
      </c>
      <c r="L71" s="2591">
        <f>K71/K74</f>
        <v>0</v>
      </c>
      <c r="M71" s="2599" t="str">
        <f t="shared" si="31"/>
        <v>2-3단계 KIL 증자</v>
      </c>
    </row>
    <row r="72" spans="2:13" ht="11.25" customHeight="1">
      <c r="B72" s="2527" t="str">
        <f t="shared" si="30"/>
        <v>3종 - 외부(무의결)</v>
      </c>
      <c r="C72" s="2592">
        <f t="shared" si="30"/>
        <v>0</v>
      </c>
      <c r="D72" s="2592">
        <f t="shared" si="30"/>
        <v>10000</v>
      </c>
      <c r="E72" s="2593">
        <f t="shared" si="30"/>
        <v>1000</v>
      </c>
      <c r="F72" s="2593">
        <f t="shared" si="30"/>
        <v>30000</v>
      </c>
      <c r="G72" s="2592">
        <f t="shared" si="26"/>
        <v>333.33333333333331</v>
      </c>
      <c r="H72" s="2592">
        <f t="shared" si="27"/>
        <v>9666.6666666666661</v>
      </c>
      <c r="I72" s="2592">
        <f t="shared" si="28"/>
        <v>333333.33333333331</v>
      </c>
      <c r="J72" s="2591">
        <f>I72/I74</f>
        <v>4.6728971962616821E-2</v>
      </c>
      <c r="K72" s="2592">
        <f t="shared" si="29"/>
        <v>0</v>
      </c>
      <c r="L72" s="2591">
        <f>K72/K74</f>
        <v>0</v>
      </c>
    </row>
    <row r="73" spans="2:13" ht="11.25" customHeight="1">
      <c r="B73" s="2527" t="str">
        <f t="shared" si="30"/>
        <v>보통주 - KLI</v>
      </c>
      <c r="C73" s="2592">
        <f t="shared" si="30"/>
        <v>1</v>
      </c>
      <c r="D73" s="2592">
        <f t="shared" si="30"/>
        <v>14400</v>
      </c>
      <c r="E73" s="2593">
        <f t="shared" si="30"/>
        <v>1000</v>
      </c>
      <c r="F73" s="2593">
        <f t="shared" si="30"/>
        <v>5000</v>
      </c>
      <c r="G73" s="2592">
        <f t="shared" si="26"/>
        <v>2880</v>
      </c>
      <c r="H73" s="2592">
        <f t="shared" si="27"/>
        <v>11520</v>
      </c>
      <c r="I73" s="2592">
        <f t="shared" si="28"/>
        <v>2880000</v>
      </c>
      <c r="J73" s="2591">
        <f>I73/I74</f>
        <v>0.40373831775700936</v>
      </c>
      <c r="K73" s="2592">
        <f t="shared" si="29"/>
        <v>2880000</v>
      </c>
      <c r="L73" s="2591">
        <f>K73/K74</f>
        <v>0.49655172413793103</v>
      </c>
    </row>
    <row r="74" spans="2:13" ht="11.25" customHeight="1">
      <c r="B74" s="2597" t="s">
        <v>59</v>
      </c>
      <c r="C74" s="2601"/>
      <c r="D74" s="2601">
        <f>SUM(D66:D73)</f>
        <v>122400</v>
      </c>
      <c r="E74" s="2602"/>
      <c r="F74" s="2602"/>
      <c r="G74" s="2601">
        <f>SUM(G66:G73)</f>
        <v>7133.333333333333</v>
      </c>
      <c r="H74" s="2601">
        <f>SUM(H66:H73)</f>
        <v>115266.66666666667</v>
      </c>
      <c r="I74" s="2601">
        <f>SUM(I66:I73)</f>
        <v>7133333.333333333</v>
      </c>
      <c r="J74" s="2604">
        <f>I74/I74</f>
        <v>1</v>
      </c>
      <c r="K74" s="2601">
        <f>SUM(K66:K73)</f>
        <v>5800000</v>
      </c>
      <c r="L74" s="2604">
        <f>SUM(L66:L73)</f>
        <v>1</v>
      </c>
      <c r="M74" s="2597"/>
    </row>
    <row r="75" spans="2:13" ht="11.25" customHeight="1">
      <c r="F75" s="2592"/>
      <c r="G75" s="2527" t="b">
        <f>G74&gt;=5000</f>
        <v>1</v>
      </c>
      <c r="H75" s="2527" t="s">
        <v>1714</v>
      </c>
      <c r="I75" s="2605">
        <f>(I74-K74)/I74</f>
        <v>0.18691588785046725</v>
      </c>
      <c r="J75" s="2527" t="b">
        <f>I75&lt;=0.25</f>
        <v>1</v>
      </c>
    </row>
    <row r="76" spans="2:13" ht="11.25" customHeight="1">
      <c r="B76" s="2594" t="s">
        <v>1728</v>
      </c>
      <c r="D76" s="2595" t="s">
        <v>1704</v>
      </c>
      <c r="E76" s="2596">
        <f>SUM(L82,L85,L79)</f>
        <v>1</v>
      </c>
    </row>
    <row r="77" spans="2:13" ht="11.25" customHeight="1">
      <c r="B77" s="2597"/>
      <c r="C77" s="2598" t="s">
        <v>1705</v>
      </c>
      <c r="D77" s="2598" t="s">
        <v>1706</v>
      </c>
      <c r="E77" s="2598" t="s">
        <v>1699</v>
      </c>
      <c r="F77" s="2598" t="s">
        <v>1707</v>
      </c>
      <c r="G77" s="2598" t="s">
        <v>543</v>
      </c>
      <c r="H77" s="2598" t="s">
        <v>545</v>
      </c>
      <c r="I77" s="2598" t="s">
        <v>611</v>
      </c>
      <c r="J77" s="2598" t="s">
        <v>243</v>
      </c>
      <c r="K77" s="2598" t="s">
        <v>1708</v>
      </c>
      <c r="L77" s="2598" t="s">
        <v>243</v>
      </c>
      <c r="M77" s="2598" t="s">
        <v>90</v>
      </c>
    </row>
    <row r="78" spans="2:13" ht="11.25" customHeight="1">
      <c r="B78" s="2617" t="str">
        <f t="shared" ref="B78:F85" si="32">B66</f>
        <v>1종 - 외부</v>
      </c>
      <c r="C78" s="2618">
        <f t="shared" si="32"/>
        <v>1</v>
      </c>
      <c r="D78" s="2618">
        <v>0</v>
      </c>
      <c r="E78" s="2619">
        <f t="shared" si="32"/>
        <v>1000</v>
      </c>
      <c r="F78" s="2619">
        <f t="shared" si="32"/>
        <v>25000</v>
      </c>
      <c r="G78" s="2618">
        <f t="shared" ref="G78:G85" si="33">D78/(F78/E78)</f>
        <v>0</v>
      </c>
      <c r="H78" s="2618">
        <f t="shared" ref="H78:H85" si="34">D78-G78</f>
        <v>0</v>
      </c>
      <c r="I78" s="2618">
        <f t="shared" ref="I78:I85" si="35">D78/F78*10^6</f>
        <v>0</v>
      </c>
      <c r="J78" s="2620">
        <f>I78/I86</f>
        <v>0</v>
      </c>
      <c r="K78" s="2618">
        <f t="shared" ref="K78:K85" si="36">C78*I78</f>
        <v>0</v>
      </c>
      <c r="L78" s="2620">
        <f>K78/K86</f>
        <v>0</v>
      </c>
      <c r="M78" s="2621" t="s">
        <v>1729</v>
      </c>
    </row>
    <row r="79" spans="2:13" ht="11.25" customHeight="1">
      <c r="B79" s="2527" t="str">
        <f t="shared" si="32"/>
        <v>1종 - KLI</v>
      </c>
      <c r="C79" s="2592">
        <f t="shared" si="32"/>
        <v>1</v>
      </c>
      <c r="D79" s="2592">
        <f t="shared" si="32"/>
        <v>24000</v>
      </c>
      <c r="E79" s="2593">
        <f t="shared" si="32"/>
        <v>1000</v>
      </c>
      <c r="F79" s="2593">
        <f t="shared" si="32"/>
        <v>25000</v>
      </c>
      <c r="G79" s="2592">
        <f t="shared" si="33"/>
        <v>960</v>
      </c>
      <c r="H79" s="2592">
        <f t="shared" si="34"/>
        <v>23040</v>
      </c>
      <c r="I79" s="2592">
        <f t="shared" si="35"/>
        <v>960000</v>
      </c>
      <c r="J79" s="2591">
        <f>I79/I86</f>
        <v>0.15550755939524835</v>
      </c>
      <c r="K79" s="2592">
        <f t="shared" si="36"/>
        <v>960000</v>
      </c>
      <c r="L79" s="2591">
        <f>K79/K86</f>
        <v>0.19834710743801653</v>
      </c>
      <c r="M79" s="2599" t="str">
        <f>M67</f>
        <v>3-1단계 KLI  증자</v>
      </c>
    </row>
    <row r="80" spans="2:13" ht="11.25" customHeight="1">
      <c r="B80" s="2527" t="str">
        <f t="shared" si="32"/>
        <v>2종 - 외부</v>
      </c>
      <c r="C80" s="2592">
        <f t="shared" si="32"/>
        <v>1</v>
      </c>
      <c r="D80" s="2592">
        <f t="shared" si="32"/>
        <v>0</v>
      </c>
      <c r="E80" s="2593">
        <f t="shared" si="32"/>
        <v>1000</v>
      </c>
      <c r="F80" s="2593">
        <f t="shared" si="32"/>
        <v>25000</v>
      </c>
      <c r="G80" s="2592">
        <f t="shared" si="33"/>
        <v>0</v>
      </c>
      <c r="H80" s="2592">
        <f t="shared" si="34"/>
        <v>0</v>
      </c>
      <c r="I80" s="2592">
        <f t="shared" si="35"/>
        <v>0</v>
      </c>
      <c r="J80" s="2591">
        <f>I80/I86</f>
        <v>0</v>
      </c>
      <c r="K80" s="2592">
        <f t="shared" si="36"/>
        <v>0</v>
      </c>
      <c r="L80" s="2591">
        <f>K80/K86</f>
        <v>0</v>
      </c>
      <c r="M80" s="2599" t="str">
        <f>M68</f>
        <v>2-4단계 감자</v>
      </c>
    </row>
    <row r="81" spans="2:13" ht="11.25" customHeight="1">
      <c r="B81" s="2527" t="str">
        <f t="shared" si="32"/>
        <v>2종 - 외부(무의결)</v>
      </c>
      <c r="C81" s="2592">
        <f t="shared" si="32"/>
        <v>0</v>
      </c>
      <c r="D81" s="2592">
        <f t="shared" si="32"/>
        <v>0</v>
      </c>
      <c r="E81" s="2593">
        <f t="shared" si="32"/>
        <v>1000</v>
      </c>
      <c r="F81" s="2593">
        <f t="shared" si="32"/>
        <v>25000</v>
      </c>
      <c r="G81" s="2592">
        <f t="shared" si="33"/>
        <v>0</v>
      </c>
      <c r="H81" s="2592">
        <f t="shared" si="34"/>
        <v>0</v>
      </c>
      <c r="I81" s="2592">
        <f t="shared" si="35"/>
        <v>0</v>
      </c>
      <c r="J81" s="2591">
        <f>I81/I86</f>
        <v>0</v>
      </c>
      <c r="K81" s="2592">
        <f t="shared" si="36"/>
        <v>0</v>
      </c>
      <c r="L81" s="2591">
        <f>K81/K86</f>
        <v>0</v>
      </c>
      <c r="M81" s="2599" t="str">
        <f t="shared" ref="M81:M83" si="37">M69</f>
        <v>2-2단계 감자</v>
      </c>
    </row>
    <row r="82" spans="2:13" ht="11.25" customHeight="1">
      <c r="B82" s="2527" t="str">
        <f t="shared" si="32"/>
        <v>2종 - KLI</v>
      </c>
      <c r="C82" s="2592">
        <f t="shared" si="32"/>
        <v>1</v>
      </c>
      <c r="D82" s="2592">
        <f t="shared" si="32"/>
        <v>25000</v>
      </c>
      <c r="E82" s="2593">
        <f t="shared" si="32"/>
        <v>1000</v>
      </c>
      <c r="F82" s="2593">
        <f t="shared" si="32"/>
        <v>25000</v>
      </c>
      <c r="G82" s="2592">
        <f t="shared" si="33"/>
        <v>1000</v>
      </c>
      <c r="H82" s="2592">
        <f t="shared" si="34"/>
        <v>24000</v>
      </c>
      <c r="I82" s="2592">
        <f t="shared" si="35"/>
        <v>1000000</v>
      </c>
      <c r="J82" s="2591">
        <f>I82/I86</f>
        <v>0.16198704103671704</v>
      </c>
      <c r="K82" s="2592">
        <f t="shared" si="36"/>
        <v>1000000</v>
      </c>
      <c r="L82" s="2591">
        <f>K82/K86</f>
        <v>0.20661157024793389</v>
      </c>
      <c r="M82" s="2599" t="str">
        <f t="shared" si="37"/>
        <v>2-1단계 KLI 증자</v>
      </c>
    </row>
    <row r="83" spans="2:13" ht="11.25" customHeight="1">
      <c r="B83" s="2527" t="str">
        <f t="shared" si="32"/>
        <v>2종 - KLI(무의결)</v>
      </c>
      <c r="C83" s="2592">
        <f t="shared" si="32"/>
        <v>0</v>
      </c>
      <c r="D83" s="2592">
        <f t="shared" si="32"/>
        <v>25000</v>
      </c>
      <c r="E83" s="2593">
        <f t="shared" si="32"/>
        <v>1000</v>
      </c>
      <c r="F83" s="2593">
        <f t="shared" si="32"/>
        <v>25000</v>
      </c>
      <c r="G83" s="2592">
        <f t="shared" si="33"/>
        <v>1000</v>
      </c>
      <c r="H83" s="2592">
        <f t="shared" si="34"/>
        <v>24000</v>
      </c>
      <c r="I83" s="2592">
        <f t="shared" si="35"/>
        <v>1000000</v>
      </c>
      <c r="J83" s="2591">
        <f>I83/I86</f>
        <v>0.16198704103671704</v>
      </c>
      <c r="K83" s="2592">
        <f t="shared" si="36"/>
        <v>0</v>
      </c>
      <c r="L83" s="2591">
        <f>K83/K86</f>
        <v>0</v>
      </c>
      <c r="M83" s="2599" t="str">
        <f t="shared" si="37"/>
        <v>2-3단계 KIL 증자</v>
      </c>
    </row>
    <row r="84" spans="2:13" ht="11.25" customHeight="1">
      <c r="B84" s="2527" t="str">
        <f t="shared" si="32"/>
        <v>3종 - 외부(무의결)</v>
      </c>
      <c r="C84" s="2592">
        <f t="shared" si="32"/>
        <v>0</v>
      </c>
      <c r="D84" s="2592">
        <f t="shared" si="32"/>
        <v>10000</v>
      </c>
      <c r="E84" s="2593">
        <f t="shared" si="32"/>
        <v>1000</v>
      </c>
      <c r="F84" s="2593">
        <f t="shared" si="32"/>
        <v>30000</v>
      </c>
      <c r="G84" s="2592">
        <f t="shared" si="33"/>
        <v>333.33333333333331</v>
      </c>
      <c r="H84" s="2592">
        <f t="shared" si="34"/>
        <v>9666.6666666666661</v>
      </c>
      <c r="I84" s="2592">
        <f t="shared" si="35"/>
        <v>333333.33333333331</v>
      </c>
      <c r="J84" s="2591">
        <f>I84/I86</f>
        <v>5.3995680345572346E-2</v>
      </c>
      <c r="K84" s="2592">
        <f t="shared" si="36"/>
        <v>0</v>
      </c>
      <c r="L84" s="2591">
        <f>K84/K86</f>
        <v>0</v>
      </c>
    </row>
    <row r="85" spans="2:13" ht="11.25" customHeight="1">
      <c r="B85" s="2527" t="str">
        <f t="shared" si="32"/>
        <v>보통주 - KLI</v>
      </c>
      <c r="C85" s="2592">
        <f t="shared" si="32"/>
        <v>1</v>
      </c>
      <c r="D85" s="2592">
        <f t="shared" si="32"/>
        <v>14400</v>
      </c>
      <c r="E85" s="2593">
        <f t="shared" si="32"/>
        <v>1000</v>
      </c>
      <c r="F85" s="2593">
        <f t="shared" si="32"/>
        <v>5000</v>
      </c>
      <c r="G85" s="2592">
        <f t="shared" si="33"/>
        <v>2880</v>
      </c>
      <c r="H85" s="2592">
        <f t="shared" si="34"/>
        <v>11520</v>
      </c>
      <c r="I85" s="2592">
        <f t="shared" si="35"/>
        <v>2880000</v>
      </c>
      <c r="J85" s="2591">
        <f>I85/I86</f>
        <v>0.46652267818574511</v>
      </c>
      <c r="K85" s="2592">
        <f t="shared" si="36"/>
        <v>2880000</v>
      </c>
      <c r="L85" s="2591">
        <f>K85/K86</f>
        <v>0.5950413223140496</v>
      </c>
    </row>
    <row r="86" spans="2:13" ht="11.25" customHeight="1">
      <c r="B86" s="2597" t="s">
        <v>59</v>
      </c>
      <c r="C86" s="2601"/>
      <c r="D86" s="2601">
        <f>SUM(D78:D85)</f>
        <v>98400</v>
      </c>
      <c r="E86" s="2602"/>
      <c r="F86" s="2602"/>
      <c r="G86" s="2601">
        <f>SUM(G78:G85)</f>
        <v>6173.3333333333339</v>
      </c>
      <c r="H86" s="2601">
        <f>SUM(H78:H85)</f>
        <v>92226.666666666672</v>
      </c>
      <c r="I86" s="2601">
        <f>SUM(I78:I85)</f>
        <v>6173333.333333334</v>
      </c>
      <c r="J86" s="2604">
        <f>I86/I86</f>
        <v>1</v>
      </c>
      <c r="K86" s="2601">
        <f>SUM(K78:K85)</f>
        <v>4840000</v>
      </c>
      <c r="L86" s="2604">
        <f>SUM(L78:L85)</f>
        <v>1</v>
      </c>
      <c r="M86" s="2597"/>
    </row>
    <row r="87" spans="2:13" ht="11.25" customHeight="1">
      <c r="F87" s="2592"/>
      <c r="G87" s="2527" t="b">
        <f>G86&gt;=5000</f>
        <v>1</v>
      </c>
      <c r="H87" s="2527" t="s">
        <v>1714</v>
      </c>
      <c r="I87" s="2605">
        <f>(I86-K86)/I86</f>
        <v>0.21598272138228949</v>
      </c>
      <c r="J87" s="2527" t="b">
        <f>I87&lt;=0.25</f>
        <v>1</v>
      </c>
    </row>
    <row r="88" spans="2:13" ht="11.25" customHeight="1">
      <c r="B88" s="2594" t="s">
        <v>1730</v>
      </c>
      <c r="D88" s="2595" t="s">
        <v>1704</v>
      </c>
      <c r="E88" s="2596">
        <f>SUM(L94,L97,L91)</f>
        <v>1</v>
      </c>
    </row>
    <row r="89" spans="2:13" ht="11.25" customHeight="1">
      <c r="B89" s="2597"/>
      <c r="C89" s="2598" t="s">
        <v>1705</v>
      </c>
      <c r="D89" s="2598" t="s">
        <v>1706</v>
      </c>
      <c r="E89" s="2598" t="s">
        <v>1699</v>
      </c>
      <c r="F89" s="2598" t="s">
        <v>1707</v>
      </c>
      <c r="G89" s="2598" t="s">
        <v>543</v>
      </c>
      <c r="H89" s="2598" t="s">
        <v>545</v>
      </c>
      <c r="I89" s="2598" t="s">
        <v>611</v>
      </c>
      <c r="J89" s="2598" t="s">
        <v>243</v>
      </c>
      <c r="K89" s="2598" t="s">
        <v>1708</v>
      </c>
      <c r="L89" s="2598" t="s">
        <v>243</v>
      </c>
      <c r="M89" s="2598" t="s">
        <v>90</v>
      </c>
    </row>
    <row r="90" spans="2:13" ht="11.25" customHeight="1">
      <c r="B90" s="2527" t="str">
        <f t="shared" ref="B90:F97" si="38">B78</f>
        <v>1종 - 외부</v>
      </c>
      <c r="C90" s="2592">
        <f t="shared" si="38"/>
        <v>1</v>
      </c>
      <c r="D90" s="2592">
        <v>0</v>
      </c>
      <c r="E90" s="2593">
        <f t="shared" ref="E90:F90" si="39">E78</f>
        <v>1000</v>
      </c>
      <c r="F90" s="2593">
        <f t="shared" si="39"/>
        <v>25000</v>
      </c>
      <c r="G90" s="2592">
        <f t="shared" ref="G90:G97" si="40">D90/(F90/E90)</f>
        <v>0</v>
      </c>
      <c r="H90" s="2592">
        <f t="shared" ref="H90:H97" si="41">D90-G90</f>
        <v>0</v>
      </c>
      <c r="I90" s="2592">
        <f t="shared" ref="I90:I97" si="42">D90/F90*10^6</f>
        <v>0</v>
      </c>
      <c r="J90" s="2591">
        <f>I90/I98</f>
        <v>0</v>
      </c>
      <c r="K90" s="2592">
        <f t="shared" ref="K90:K97" si="43">C90*I90</f>
        <v>0</v>
      </c>
      <c r="L90" s="2591">
        <f>K90/K98</f>
        <v>0</v>
      </c>
      <c r="M90" s="2599" t="str">
        <f>M78</f>
        <v>3-2단계 감자</v>
      </c>
    </row>
    <row r="91" spans="2:13" ht="11.25" customHeight="1">
      <c r="B91" s="2527" t="str">
        <f t="shared" si="38"/>
        <v>1종 - KLI</v>
      </c>
      <c r="C91" s="2592">
        <f t="shared" si="38"/>
        <v>1</v>
      </c>
      <c r="D91" s="2592">
        <f t="shared" si="38"/>
        <v>24000</v>
      </c>
      <c r="E91" s="2593">
        <f t="shared" si="38"/>
        <v>1000</v>
      </c>
      <c r="F91" s="2593">
        <f t="shared" si="38"/>
        <v>25000</v>
      </c>
      <c r="G91" s="2592">
        <f t="shared" si="40"/>
        <v>960</v>
      </c>
      <c r="H91" s="2592">
        <f t="shared" si="41"/>
        <v>23040</v>
      </c>
      <c r="I91" s="2592">
        <f t="shared" si="42"/>
        <v>960000</v>
      </c>
      <c r="J91" s="2591">
        <f>I91/I98</f>
        <v>0.16438356164383561</v>
      </c>
      <c r="K91" s="2592">
        <f t="shared" si="43"/>
        <v>960000</v>
      </c>
      <c r="L91" s="2591">
        <f>K91/K98</f>
        <v>0.19834710743801653</v>
      </c>
      <c r="M91" s="2599" t="str">
        <f t="shared" ref="M91:M95" si="44">M79</f>
        <v>3-1단계 KLI  증자</v>
      </c>
    </row>
    <row r="92" spans="2:13" ht="11.25" customHeight="1">
      <c r="B92" s="2527" t="str">
        <f t="shared" si="38"/>
        <v>2종 - 외부</v>
      </c>
      <c r="C92" s="2592">
        <f t="shared" si="38"/>
        <v>1</v>
      </c>
      <c r="D92" s="2592">
        <f t="shared" si="38"/>
        <v>0</v>
      </c>
      <c r="E92" s="2593">
        <f t="shared" si="38"/>
        <v>1000</v>
      </c>
      <c r="F92" s="2593">
        <f t="shared" si="38"/>
        <v>25000</v>
      </c>
      <c r="G92" s="2592">
        <f t="shared" si="40"/>
        <v>0</v>
      </c>
      <c r="H92" s="2592">
        <f t="shared" si="41"/>
        <v>0</v>
      </c>
      <c r="I92" s="2592">
        <f t="shared" si="42"/>
        <v>0</v>
      </c>
      <c r="J92" s="2591">
        <f>I92/I98</f>
        <v>0</v>
      </c>
      <c r="K92" s="2592">
        <f t="shared" si="43"/>
        <v>0</v>
      </c>
      <c r="L92" s="2591">
        <f>K92/K98</f>
        <v>0</v>
      </c>
      <c r="M92" s="2599" t="str">
        <f t="shared" si="44"/>
        <v>2-4단계 감자</v>
      </c>
    </row>
    <row r="93" spans="2:13" ht="11.25" customHeight="1">
      <c r="B93" s="2527" t="str">
        <f t="shared" si="38"/>
        <v>2종 - 외부(무의결)</v>
      </c>
      <c r="C93" s="2592">
        <f t="shared" si="38"/>
        <v>0</v>
      </c>
      <c r="D93" s="2592">
        <f t="shared" si="38"/>
        <v>0</v>
      </c>
      <c r="E93" s="2593">
        <f t="shared" si="38"/>
        <v>1000</v>
      </c>
      <c r="F93" s="2593">
        <f t="shared" si="38"/>
        <v>25000</v>
      </c>
      <c r="G93" s="2592">
        <f t="shared" si="40"/>
        <v>0</v>
      </c>
      <c r="H93" s="2592">
        <f t="shared" si="41"/>
        <v>0</v>
      </c>
      <c r="I93" s="2592">
        <f t="shared" si="42"/>
        <v>0</v>
      </c>
      <c r="J93" s="2591">
        <f>I93/I98</f>
        <v>0</v>
      </c>
      <c r="K93" s="2592">
        <f t="shared" si="43"/>
        <v>0</v>
      </c>
      <c r="L93" s="2591">
        <f>K93/K98</f>
        <v>0</v>
      </c>
      <c r="M93" s="2599" t="str">
        <f t="shared" si="44"/>
        <v>2-2단계 감자</v>
      </c>
    </row>
    <row r="94" spans="2:13" ht="11.25" customHeight="1">
      <c r="B94" s="2527" t="str">
        <f t="shared" si="38"/>
        <v>2종 - KLI</v>
      </c>
      <c r="C94" s="2592">
        <f t="shared" si="38"/>
        <v>1</v>
      </c>
      <c r="D94" s="2592">
        <f t="shared" si="38"/>
        <v>25000</v>
      </c>
      <c r="E94" s="2593">
        <f t="shared" si="38"/>
        <v>1000</v>
      </c>
      <c r="F94" s="2593">
        <f t="shared" si="38"/>
        <v>25000</v>
      </c>
      <c r="G94" s="2592">
        <f t="shared" si="40"/>
        <v>1000</v>
      </c>
      <c r="H94" s="2592">
        <f t="shared" si="41"/>
        <v>24000</v>
      </c>
      <c r="I94" s="2592">
        <f t="shared" si="42"/>
        <v>1000000</v>
      </c>
      <c r="J94" s="2591">
        <f>I94/I98</f>
        <v>0.17123287671232876</v>
      </c>
      <c r="K94" s="2592">
        <f t="shared" si="43"/>
        <v>1000000</v>
      </c>
      <c r="L94" s="2591">
        <f>K94/K98</f>
        <v>0.20661157024793389</v>
      </c>
      <c r="M94" s="2599" t="str">
        <f t="shared" si="44"/>
        <v>2-1단계 KLI 증자</v>
      </c>
    </row>
    <row r="95" spans="2:13" ht="11.25" customHeight="1">
      <c r="B95" s="2527" t="str">
        <f t="shared" si="38"/>
        <v>2종 - KLI(무의결)</v>
      </c>
      <c r="C95" s="2592">
        <f t="shared" si="38"/>
        <v>0</v>
      </c>
      <c r="D95" s="2592">
        <f t="shared" si="38"/>
        <v>25000</v>
      </c>
      <c r="E95" s="2593">
        <f t="shared" si="38"/>
        <v>1000</v>
      </c>
      <c r="F95" s="2593">
        <f t="shared" si="38"/>
        <v>25000</v>
      </c>
      <c r="G95" s="2592">
        <f t="shared" si="40"/>
        <v>1000</v>
      </c>
      <c r="H95" s="2592">
        <f t="shared" si="41"/>
        <v>24000</v>
      </c>
      <c r="I95" s="2592">
        <f t="shared" si="42"/>
        <v>1000000</v>
      </c>
      <c r="J95" s="2591">
        <f>I95/I98</f>
        <v>0.17123287671232876</v>
      </c>
      <c r="K95" s="2592">
        <f t="shared" si="43"/>
        <v>0</v>
      </c>
      <c r="L95" s="2591">
        <f>K95/K98</f>
        <v>0</v>
      </c>
      <c r="M95" s="2599" t="str">
        <f t="shared" si="44"/>
        <v>2-3단계 KIL 증자</v>
      </c>
    </row>
    <row r="96" spans="2:13" ht="11.25" customHeight="1">
      <c r="B96" s="2527" t="str">
        <f t="shared" si="38"/>
        <v>3종 - 외부(무의결)</v>
      </c>
      <c r="C96" s="2592">
        <f t="shared" si="38"/>
        <v>0</v>
      </c>
      <c r="D96" s="2592">
        <v>0</v>
      </c>
      <c r="E96" s="2593">
        <f t="shared" si="38"/>
        <v>1000</v>
      </c>
      <c r="F96" s="2593">
        <f t="shared" si="38"/>
        <v>30000</v>
      </c>
      <c r="G96" s="2592">
        <f t="shared" si="40"/>
        <v>0</v>
      </c>
      <c r="H96" s="2592">
        <f t="shared" si="41"/>
        <v>0</v>
      </c>
      <c r="I96" s="2592">
        <f t="shared" si="42"/>
        <v>0</v>
      </c>
      <c r="J96" s="2591">
        <f>I96/I98</f>
        <v>0</v>
      </c>
      <c r="K96" s="2592">
        <f t="shared" si="43"/>
        <v>0</v>
      </c>
      <c r="L96" s="2591">
        <f>K96/K98</f>
        <v>0</v>
      </c>
      <c r="M96" s="2527" t="s">
        <v>1731</v>
      </c>
    </row>
    <row r="97" spans="2:13" ht="11.25" customHeight="1">
      <c r="B97" s="2527" t="str">
        <f t="shared" si="38"/>
        <v>보통주 - KLI</v>
      </c>
      <c r="C97" s="2592">
        <f t="shared" si="38"/>
        <v>1</v>
      </c>
      <c r="D97" s="2592">
        <f t="shared" si="38"/>
        <v>14400</v>
      </c>
      <c r="E97" s="2593">
        <f t="shared" si="38"/>
        <v>1000</v>
      </c>
      <c r="F97" s="2593">
        <f t="shared" si="38"/>
        <v>5000</v>
      </c>
      <c r="G97" s="2592">
        <f t="shared" si="40"/>
        <v>2880</v>
      </c>
      <c r="H97" s="2592">
        <f t="shared" si="41"/>
        <v>11520</v>
      </c>
      <c r="I97" s="2592">
        <f t="shared" si="42"/>
        <v>2880000</v>
      </c>
      <c r="J97" s="2591">
        <f>I97/I98</f>
        <v>0.49315068493150682</v>
      </c>
      <c r="K97" s="2592">
        <f t="shared" si="43"/>
        <v>2880000</v>
      </c>
      <c r="L97" s="2591">
        <f>K97/K98</f>
        <v>0.5950413223140496</v>
      </c>
    </row>
    <row r="98" spans="2:13" ht="11.25" customHeight="1">
      <c r="B98" s="2597" t="s">
        <v>59</v>
      </c>
      <c r="C98" s="2601"/>
      <c r="D98" s="2601">
        <f>SUM(D90:D97)</f>
        <v>88400</v>
      </c>
      <c r="E98" s="2602"/>
      <c r="F98" s="2602"/>
      <c r="G98" s="2601">
        <f>SUM(G90:G97)</f>
        <v>5840</v>
      </c>
      <c r="H98" s="2601">
        <f>SUM(H90:H97)</f>
        <v>82560</v>
      </c>
      <c r="I98" s="2601">
        <f>SUM(I90:I97)</f>
        <v>5840000</v>
      </c>
      <c r="J98" s="2604">
        <f>I98/I98</f>
        <v>1</v>
      </c>
      <c r="K98" s="2601">
        <f>SUM(K90:K97)</f>
        <v>4840000</v>
      </c>
      <c r="L98" s="2604">
        <f>SUM(L90:L97)</f>
        <v>1</v>
      </c>
      <c r="M98" s="2597"/>
    </row>
    <row r="99" spans="2:13" ht="11.25" customHeight="1">
      <c r="C99" s="2592"/>
      <c r="D99" s="2593"/>
      <c r="E99" s="2593"/>
      <c r="F99" s="2592"/>
      <c r="G99" s="2592" t="b">
        <f>G98&gt;=5000</f>
        <v>1</v>
      </c>
      <c r="H99" s="2592" t="s">
        <v>1714</v>
      </c>
      <c r="I99" s="2605">
        <f>(I98-K98)/I98</f>
        <v>0.17123287671232876</v>
      </c>
      <c r="J99" s="2527" t="b">
        <f>I99&lt;=0.25</f>
        <v>1</v>
      </c>
    </row>
    <row r="100" spans="2:13" ht="11.25" customHeight="1">
      <c r="F100" s="2592"/>
    </row>
    <row r="102" spans="2:13" ht="11.25" customHeight="1">
      <c r="B102" s="2597"/>
      <c r="C102" s="2598" t="s">
        <v>1732</v>
      </c>
      <c r="D102" s="2598" t="s">
        <v>1733</v>
      </c>
      <c r="E102" s="2598" t="s">
        <v>1734</v>
      </c>
      <c r="F102" s="2598" t="s">
        <v>1735</v>
      </c>
      <c r="G102" s="2598" t="s">
        <v>1736</v>
      </c>
      <c r="H102" s="2598" t="s">
        <v>90</v>
      </c>
      <c r="I102" s="2598"/>
    </row>
    <row r="103" spans="2:13" ht="11.25" customHeight="1">
      <c r="B103" s="2622">
        <v>0</v>
      </c>
      <c r="C103" s="2623">
        <f>E103-D103</f>
        <v>0.5950413223140496</v>
      </c>
      <c r="D103" s="2623">
        <v>0</v>
      </c>
      <c r="E103" s="2623">
        <f>L17</f>
        <v>0.5950413223140496</v>
      </c>
      <c r="H103" s="2527" t="s">
        <v>1737</v>
      </c>
    </row>
    <row r="104" spans="2:13" ht="11.25" customHeight="1">
      <c r="B104" s="2622">
        <v>12</v>
      </c>
      <c r="C104" s="2623">
        <f>E104-D104</f>
        <v>6.9342239329786004E-2</v>
      </c>
      <c r="D104" s="2623">
        <f>E11</f>
        <v>0.5950413223140496</v>
      </c>
      <c r="E104" s="2623">
        <f>E20</f>
        <v>0.66438356164383561</v>
      </c>
      <c r="F104" s="2592">
        <f>C104*$C$2</f>
        <v>20663.987320276228</v>
      </c>
      <c r="G104" s="2592">
        <f>F104*$C$3</f>
        <v>454.60772104607702</v>
      </c>
    </row>
    <row r="105" spans="2:13" ht="11.25" customHeight="1">
      <c r="B105" s="2624">
        <v>24</v>
      </c>
      <c r="C105" s="2625">
        <f>E105-D105</f>
        <v>3.2829866058706192E-2</v>
      </c>
      <c r="D105" s="2625">
        <f>E53</f>
        <v>0.80165289256198347</v>
      </c>
      <c r="E105" s="2625">
        <f>E64</f>
        <v>0.83448275862068966</v>
      </c>
      <c r="F105" s="2626">
        <f>C105*$C$2</f>
        <v>9783.3000854944457</v>
      </c>
      <c r="G105" s="2626">
        <f>F105*$C$3</f>
        <v>215.23260188087778</v>
      </c>
      <c r="H105" s="2627"/>
      <c r="I105" s="2627"/>
    </row>
    <row r="106" spans="2:13" ht="11.25" customHeight="1">
      <c r="G106" s="2628">
        <f>SUM(G103:G105)</f>
        <v>669.84032292695474</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736" customWidth="1"/>
    <col min="2" max="4" width="12.25" style="2736" customWidth="1"/>
    <col min="5" max="20" width="5.5" style="2736" customWidth="1"/>
    <col min="21" max="256" width="9" style="2736"/>
    <col min="257" max="257" width="8.25" style="2736" customWidth="1"/>
    <col min="258" max="260" width="12.25" style="2736" customWidth="1"/>
    <col min="261" max="276" width="5.5" style="2736" customWidth="1"/>
    <col min="277" max="512" width="9" style="2736"/>
    <col min="513" max="513" width="8.25" style="2736" customWidth="1"/>
    <col min="514" max="516" width="12.25" style="2736" customWidth="1"/>
    <col min="517" max="532" width="5.5" style="2736" customWidth="1"/>
    <col min="533" max="768" width="9" style="2736"/>
    <col min="769" max="769" width="8.25" style="2736" customWidth="1"/>
    <col min="770" max="772" width="12.25" style="2736" customWidth="1"/>
    <col min="773" max="788" width="5.5" style="2736" customWidth="1"/>
    <col min="789" max="1024" width="9" style="2736"/>
    <col min="1025" max="1025" width="8.25" style="2736" customWidth="1"/>
    <col min="1026" max="1028" width="12.25" style="2736" customWidth="1"/>
    <col min="1029" max="1044" width="5.5" style="2736" customWidth="1"/>
    <col min="1045" max="1280" width="9" style="2736"/>
    <col min="1281" max="1281" width="8.25" style="2736" customWidth="1"/>
    <col min="1282" max="1284" width="12.25" style="2736" customWidth="1"/>
    <col min="1285" max="1300" width="5.5" style="2736" customWidth="1"/>
    <col min="1301" max="1536" width="9" style="2736"/>
    <col min="1537" max="1537" width="8.25" style="2736" customWidth="1"/>
    <col min="1538" max="1540" width="12.25" style="2736" customWidth="1"/>
    <col min="1541" max="1556" width="5.5" style="2736" customWidth="1"/>
    <col min="1557" max="1792" width="9" style="2736"/>
    <col min="1793" max="1793" width="8.25" style="2736" customWidth="1"/>
    <col min="1794" max="1796" width="12.25" style="2736" customWidth="1"/>
    <col min="1797" max="1812" width="5.5" style="2736" customWidth="1"/>
    <col min="1813" max="2048" width="9" style="2736"/>
    <col min="2049" max="2049" width="8.25" style="2736" customWidth="1"/>
    <col min="2050" max="2052" width="12.25" style="2736" customWidth="1"/>
    <col min="2053" max="2068" width="5.5" style="2736" customWidth="1"/>
    <col min="2069" max="2304" width="9" style="2736"/>
    <col min="2305" max="2305" width="8.25" style="2736" customWidth="1"/>
    <col min="2306" max="2308" width="12.25" style="2736" customWidth="1"/>
    <col min="2309" max="2324" width="5.5" style="2736" customWidth="1"/>
    <col min="2325" max="2560" width="9" style="2736"/>
    <col min="2561" max="2561" width="8.25" style="2736" customWidth="1"/>
    <col min="2562" max="2564" width="12.25" style="2736" customWidth="1"/>
    <col min="2565" max="2580" width="5.5" style="2736" customWidth="1"/>
    <col min="2581" max="2816" width="9" style="2736"/>
    <col min="2817" max="2817" width="8.25" style="2736" customWidth="1"/>
    <col min="2818" max="2820" width="12.25" style="2736" customWidth="1"/>
    <col min="2821" max="2836" width="5.5" style="2736" customWidth="1"/>
    <col min="2837" max="3072" width="9" style="2736"/>
    <col min="3073" max="3073" width="8.25" style="2736" customWidth="1"/>
    <col min="3074" max="3076" width="12.25" style="2736" customWidth="1"/>
    <col min="3077" max="3092" width="5.5" style="2736" customWidth="1"/>
    <col min="3093" max="3328" width="9" style="2736"/>
    <col min="3329" max="3329" width="8.25" style="2736" customWidth="1"/>
    <col min="3330" max="3332" width="12.25" style="2736" customWidth="1"/>
    <col min="3333" max="3348" width="5.5" style="2736" customWidth="1"/>
    <col min="3349" max="3584" width="9" style="2736"/>
    <col min="3585" max="3585" width="8.25" style="2736" customWidth="1"/>
    <col min="3586" max="3588" width="12.25" style="2736" customWidth="1"/>
    <col min="3589" max="3604" width="5.5" style="2736" customWidth="1"/>
    <col min="3605" max="3840" width="9" style="2736"/>
    <col min="3841" max="3841" width="8.25" style="2736" customWidth="1"/>
    <col min="3842" max="3844" width="12.25" style="2736" customWidth="1"/>
    <col min="3845" max="3860" width="5.5" style="2736" customWidth="1"/>
    <col min="3861" max="4096" width="9" style="2736"/>
    <col min="4097" max="4097" width="8.25" style="2736" customWidth="1"/>
    <col min="4098" max="4100" width="12.25" style="2736" customWidth="1"/>
    <col min="4101" max="4116" width="5.5" style="2736" customWidth="1"/>
    <col min="4117" max="4352" width="9" style="2736"/>
    <col min="4353" max="4353" width="8.25" style="2736" customWidth="1"/>
    <col min="4354" max="4356" width="12.25" style="2736" customWidth="1"/>
    <col min="4357" max="4372" width="5.5" style="2736" customWidth="1"/>
    <col min="4373" max="4608" width="9" style="2736"/>
    <col min="4609" max="4609" width="8.25" style="2736" customWidth="1"/>
    <col min="4610" max="4612" width="12.25" style="2736" customWidth="1"/>
    <col min="4613" max="4628" width="5.5" style="2736" customWidth="1"/>
    <col min="4629" max="4864" width="9" style="2736"/>
    <col min="4865" max="4865" width="8.25" style="2736" customWidth="1"/>
    <col min="4866" max="4868" width="12.25" style="2736" customWidth="1"/>
    <col min="4869" max="4884" width="5.5" style="2736" customWidth="1"/>
    <col min="4885" max="5120" width="9" style="2736"/>
    <col min="5121" max="5121" width="8.25" style="2736" customWidth="1"/>
    <col min="5122" max="5124" width="12.25" style="2736" customWidth="1"/>
    <col min="5125" max="5140" width="5.5" style="2736" customWidth="1"/>
    <col min="5141" max="5376" width="9" style="2736"/>
    <col min="5377" max="5377" width="8.25" style="2736" customWidth="1"/>
    <col min="5378" max="5380" width="12.25" style="2736" customWidth="1"/>
    <col min="5381" max="5396" width="5.5" style="2736" customWidth="1"/>
    <col min="5397" max="5632" width="9" style="2736"/>
    <col min="5633" max="5633" width="8.25" style="2736" customWidth="1"/>
    <col min="5634" max="5636" width="12.25" style="2736" customWidth="1"/>
    <col min="5637" max="5652" width="5.5" style="2736" customWidth="1"/>
    <col min="5653" max="5888" width="9" style="2736"/>
    <col min="5889" max="5889" width="8.25" style="2736" customWidth="1"/>
    <col min="5890" max="5892" width="12.25" style="2736" customWidth="1"/>
    <col min="5893" max="5908" width="5.5" style="2736" customWidth="1"/>
    <col min="5909" max="6144" width="9" style="2736"/>
    <col min="6145" max="6145" width="8.25" style="2736" customWidth="1"/>
    <col min="6146" max="6148" width="12.25" style="2736" customWidth="1"/>
    <col min="6149" max="6164" width="5.5" style="2736" customWidth="1"/>
    <col min="6165" max="6400" width="9" style="2736"/>
    <col min="6401" max="6401" width="8.25" style="2736" customWidth="1"/>
    <col min="6402" max="6404" width="12.25" style="2736" customWidth="1"/>
    <col min="6405" max="6420" width="5.5" style="2736" customWidth="1"/>
    <col min="6421" max="6656" width="9" style="2736"/>
    <col min="6657" max="6657" width="8.25" style="2736" customWidth="1"/>
    <col min="6658" max="6660" width="12.25" style="2736" customWidth="1"/>
    <col min="6661" max="6676" width="5.5" style="2736" customWidth="1"/>
    <col min="6677" max="6912" width="9" style="2736"/>
    <col min="6913" max="6913" width="8.25" style="2736" customWidth="1"/>
    <col min="6914" max="6916" width="12.25" style="2736" customWidth="1"/>
    <col min="6917" max="6932" width="5.5" style="2736" customWidth="1"/>
    <col min="6933" max="7168" width="9" style="2736"/>
    <col min="7169" max="7169" width="8.25" style="2736" customWidth="1"/>
    <col min="7170" max="7172" width="12.25" style="2736" customWidth="1"/>
    <col min="7173" max="7188" width="5.5" style="2736" customWidth="1"/>
    <col min="7189" max="7424" width="9" style="2736"/>
    <col min="7425" max="7425" width="8.25" style="2736" customWidth="1"/>
    <col min="7426" max="7428" width="12.25" style="2736" customWidth="1"/>
    <col min="7429" max="7444" width="5.5" style="2736" customWidth="1"/>
    <col min="7445" max="7680" width="9" style="2736"/>
    <col min="7681" max="7681" width="8.25" style="2736" customWidth="1"/>
    <col min="7682" max="7684" width="12.25" style="2736" customWidth="1"/>
    <col min="7685" max="7700" width="5.5" style="2736" customWidth="1"/>
    <col min="7701" max="7936" width="9" style="2736"/>
    <col min="7937" max="7937" width="8.25" style="2736" customWidth="1"/>
    <col min="7938" max="7940" width="12.25" style="2736" customWidth="1"/>
    <col min="7941" max="7956" width="5.5" style="2736" customWidth="1"/>
    <col min="7957" max="8192" width="9" style="2736"/>
    <col min="8193" max="8193" width="8.25" style="2736" customWidth="1"/>
    <col min="8194" max="8196" width="12.25" style="2736" customWidth="1"/>
    <col min="8197" max="8212" width="5.5" style="2736" customWidth="1"/>
    <col min="8213" max="8448" width="9" style="2736"/>
    <col min="8449" max="8449" width="8.25" style="2736" customWidth="1"/>
    <col min="8450" max="8452" width="12.25" style="2736" customWidth="1"/>
    <col min="8453" max="8468" width="5.5" style="2736" customWidth="1"/>
    <col min="8469" max="8704" width="9" style="2736"/>
    <col min="8705" max="8705" width="8.25" style="2736" customWidth="1"/>
    <col min="8706" max="8708" width="12.25" style="2736" customWidth="1"/>
    <col min="8709" max="8724" width="5.5" style="2736" customWidth="1"/>
    <col min="8725" max="8960" width="9" style="2736"/>
    <col min="8961" max="8961" width="8.25" style="2736" customWidth="1"/>
    <col min="8962" max="8964" width="12.25" style="2736" customWidth="1"/>
    <col min="8965" max="8980" width="5.5" style="2736" customWidth="1"/>
    <col min="8981" max="9216" width="9" style="2736"/>
    <col min="9217" max="9217" width="8.25" style="2736" customWidth="1"/>
    <col min="9218" max="9220" width="12.25" style="2736" customWidth="1"/>
    <col min="9221" max="9236" width="5.5" style="2736" customWidth="1"/>
    <col min="9237" max="9472" width="9" style="2736"/>
    <col min="9473" max="9473" width="8.25" style="2736" customWidth="1"/>
    <col min="9474" max="9476" width="12.25" style="2736" customWidth="1"/>
    <col min="9477" max="9492" width="5.5" style="2736" customWidth="1"/>
    <col min="9493" max="9728" width="9" style="2736"/>
    <col min="9729" max="9729" width="8.25" style="2736" customWidth="1"/>
    <col min="9730" max="9732" width="12.25" style="2736" customWidth="1"/>
    <col min="9733" max="9748" width="5.5" style="2736" customWidth="1"/>
    <col min="9749" max="9984" width="9" style="2736"/>
    <col min="9985" max="9985" width="8.25" style="2736" customWidth="1"/>
    <col min="9986" max="9988" width="12.25" style="2736" customWidth="1"/>
    <col min="9989" max="10004" width="5.5" style="2736" customWidth="1"/>
    <col min="10005" max="10240" width="9" style="2736"/>
    <col min="10241" max="10241" width="8.25" style="2736" customWidth="1"/>
    <col min="10242" max="10244" width="12.25" style="2736" customWidth="1"/>
    <col min="10245" max="10260" width="5.5" style="2736" customWidth="1"/>
    <col min="10261" max="10496" width="9" style="2736"/>
    <col min="10497" max="10497" width="8.25" style="2736" customWidth="1"/>
    <col min="10498" max="10500" width="12.25" style="2736" customWidth="1"/>
    <col min="10501" max="10516" width="5.5" style="2736" customWidth="1"/>
    <col min="10517" max="10752" width="9" style="2736"/>
    <col min="10753" max="10753" width="8.25" style="2736" customWidth="1"/>
    <col min="10754" max="10756" width="12.25" style="2736" customWidth="1"/>
    <col min="10757" max="10772" width="5.5" style="2736" customWidth="1"/>
    <col min="10773" max="11008" width="9" style="2736"/>
    <col min="11009" max="11009" width="8.25" style="2736" customWidth="1"/>
    <col min="11010" max="11012" width="12.25" style="2736" customWidth="1"/>
    <col min="11013" max="11028" width="5.5" style="2736" customWidth="1"/>
    <col min="11029" max="11264" width="9" style="2736"/>
    <col min="11265" max="11265" width="8.25" style="2736" customWidth="1"/>
    <col min="11266" max="11268" width="12.25" style="2736" customWidth="1"/>
    <col min="11269" max="11284" width="5.5" style="2736" customWidth="1"/>
    <col min="11285" max="11520" width="9" style="2736"/>
    <col min="11521" max="11521" width="8.25" style="2736" customWidth="1"/>
    <col min="11522" max="11524" width="12.25" style="2736" customWidth="1"/>
    <col min="11525" max="11540" width="5.5" style="2736" customWidth="1"/>
    <col min="11541" max="11776" width="9" style="2736"/>
    <col min="11777" max="11777" width="8.25" style="2736" customWidth="1"/>
    <col min="11778" max="11780" width="12.25" style="2736" customWidth="1"/>
    <col min="11781" max="11796" width="5.5" style="2736" customWidth="1"/>
    <col min="11797" max="12032" width="9" style="2736"/>
    <col min="12033" max="12033" width="8.25" style="2736" customWidth="1"/>
    <col min="12034" max="12036" width="12.25" style="2736" customWidth="1"/>
    <col min="12037" max="12052" width="5.5" style="2736" customWidth="1"/>
    <col min="12053" max="12288" width="9" style="2736"/>
    <col min="12289" max="12289" width="8.25" style="2736" customWidth="1"/>
    <col min="12290" max="12292" width="12.25" style="2736" customWidth="1"/>
    <col min="12293" max="12308" width="5.5" style="2736" customWidth="1"/>
    <col min="12309" max="12544" width="9" style="2736"/>
    <col min="12545" max="12545" width="8.25" style="2736" customWidth="1"/>
    <col min="12546" max="12548" width="12.25" style="2736" customWidth="1"/>
    <col min="12549" max="12564" width="5.5" style="2736" customWidth="1"/>
    <col min="12565" max="12800" width="9" style="2736"/>
    <col min="12801" max="12801" width="8.25" style="2736" customWidth="1"/>
    <col min="12802" max="12804" width="12.25" style="2736" customWidth="1"/>
    <col min="12805" max="12820" width="5.5" style="2736" customWidth="1"/>
    <col min="12821" max="13056" width="9" style="2736"/>
    <col min="13057" max="13057" width="8.25" style="2736" customWidth="1"/>
    <col min="13058" max="13060" width="12.25" style="2736" customWidth="1"/>
    <col min="13061" max="13076" width="5.5" style="2736" customWidth="1"/>
    <col min="13077" max="13312" width="9" style="2736"/>
    <col min="13313" max="13313" width="8.25" style="2736" customWidth="1"/>
    <col min="13314" max="13316" width="12.25" style="2736" customWidth="1"/>
    <col min="13317" max="13332" width="5.5" style="2736" customWidth="1"/>
    <col min="13333" max="13568" width="9" style="2736"/>
    <col min="13569" max="13569" width="8.25" style="2736" customWidth="1"/>
    <col min="13570" max="13572" width="12.25" style="2736" customWidth="1"/>
    <col min="13573" max="13588" width="5.5" style="2736" customWidth="1"/>
    <col min="13589" max="13824" width="9" style="2736"/>
    <col min="13825" max="13825" width="8.25" style="2736" customWidth="1"/>
    <col min="13826" max="13828" width="12.25" style="2736" customWidth="1"/>
    <col min="13829" max="13844" width="5.5" style="2736" customWidth="1"/>
    <col min="13845" max="14080" width="9" style="2736"/>
    <col min="14081" max="14081" width="8.25" style="2736" customWidth="1"/>
    <col min="14082" max="14084" width="12.25" style="2736" customWidth="1"/>
    <col min="14085" max="14100" width="5.5" style="2736" customWidth="1"/>
    <col min="14101" max="14336" width="9" style="2736"/>
    <col min="14337" max="14337" width="8.25" style="2736" customWidth="1"/>
    <col min="14338" max="14340" width="12.25" style="2736" customWidth="1"/>
    <col min="14341" max="14356" width="5.5" style="2736" customWidth="1"/>
    <col min="14357" max="14592" width="9" style="2736"/>
    <col min="14593" max="14593" width="8.25" style="2736" customWidth="1"/>
    <col min="14594" max="14596" width="12.25" style="2736" customWidth="1"/>
    <col min="14597" max="14612" width="5.5" style="2736" customWidth="1"/>
    <col min="14613" max="14848" width="9" style="2736"/>
    <col min="14849" max="14849" width="8.25" style="2736" customWidth="1"/>
    <col min="14850" max="14852" width="12.25" style="2736" customWidth="1"/>
    <col min="14853" max="14868" width="5.5" style="2736" customWidth="1"/>
    <col min="14869" max="15104" width="9" style="2736"/>
    <col min="15105" max="15105" width="8.25" style="2736" customWidth="1"/>
    <col min="15106" max="15108" width="12.25" style="2736" customWidth="1"/>
    <col min="15109" max="15124" width="5.5" style="2736" customWidth="1"/>
    <col min="15125" max="15360" width="9" style="2736"/>
    <col min="15361" max="15361" width="8.25" style="2736" customWidth="1"/>
    <col min="15362" max="15364" width="12.25" style="2736" customWidth="1"/>
    <col min="15365" max="15380" width="5.5" style="2736" customWidth="1"/>
    <col min="15381" max="15616" width="9" style="2736"/>
    <col min="15617" max="15617" width="8.25" style="2736" customWidth="1"/>
    <col min="15618" max="15620" width="12.25" style="2736" customWidth="1"/>
    <col min="15621" max="15636" width="5.5" style="2736" customWidth="1"/>
    <col min="15637" max="15872" width="9" style="2736"/>
    <col min="15873" max="15873" width="8.25" style="2736" customWidth="1"/>
    <col min="15874" max="15876" width="12.25" style="2736" customWidth="1"/>
    <col min="15877" max="15892" width="5.5" style="2736" customWidth="1"/>
    <col min="15893" max="16128" width="9" style="2736"/>
    <col min="16129" max="16129" width="8.25" style="2736" customWidth="1"/>
    <col min="16130" max="16132" width="12.25" style="2736" customWidth="1"/>
    <col min="16133" max="16148" width="5.5" style="2736" customWidth="1"/>
    <col min="16149" max="16384" width="9" style="2736"/>
  </cols>
  <sheetData>
    <row r="1" spans="1:20">
      <c r="A1" s="2736" t="s">
        <v>2434</v>
      </c>
      <c r="B1" s="2742">
        <v>46274</v>
      </c>
    </row>
    <row r="3" spans="1:20">
      <c r="A3" s="2737" t="s">
        <v>1900</v>
      </c>
      <c r="B3" s="2737" t="s">
        <v>1901</v>
      </c>
      <c r="C3" s="2737" t="s">
        <v>1902</v>
      </c>
      <c r="D3" s="2737" t="s">
        <v>1903</v>
      </c>
      <c r="E3" s="2737" t="s">
        <v>1904</v>
      </c>
      <c r="F3" s="2737" t="s">
        <v>1905</v>
      </c>
      <c r="G3" s="2737" t="s">
        <v>1906</v>
      </c>
      <c r="H3" s="2737" t="s">
        <v>1907</v>
      </c>
      <c r="I3" s="2737" t="s">
        <v>1908</v>
      </c>
      <c r="J3" s="2737" t="s">
        <v>1909</v>
      </c>
      <c r="K3" s="2737" t="s">
        <v>1910</v>
      </c>
      <c r="L3" s="2737" t="s">
        <v>1911</v>
      </c>
      <c r="M3" s="2737" t="s">
        <v>1912</v>
      </c>
      <c r="N3" s="2737" t="s">
        <v>1913</v>
      </c>
      <c r="O3" s="2737" t="s">
        <v>1914</v>
      </c>
      <c r="P3" s="2737" t="s">
        <v>1915</v>
      </c>
      <c r="Q3" s="2737" t="s">
        <v>1916</v>
      </c>
      <c r="R3" s="2737" t="s">
        <v>1917</v>
      </c>
      <c r="S3" s="2737" t="s">
        <v>1918</v>
      </c>
      <c r="T3" s="2737" t="s">
        <v>1919</v>
      </c>
    </row>
    <row r="4" spans="1:20">
      <c r="A4" s="2842" t="s">
        <v>1920</v>
      </c>
      <c r="B4" s="2738" t="s">
        <v>1921</v>
      </c>
      <c r="C4" s="2738" t="s">
        <v>1922</v>
      </c>
      <c r="D4" s="2738" t="s">
        <v>1923</v>
      </c>
      <c r="E4" s="2738" t="s">
        <v>1924</v>
      </c>
      <c r="F4" s="2738" t="s">
        <v>1925</v>
      </c>
      <c r="G4" s="2738" t="s">
        <v>1926</v>
      </c>
      <c r="H4" s="2738" t="s">
        <v>1927</v>
      </c>
      <c r="I4" s="2738" t="s">
        <v>1928</v>
      </c>
      <c r="J4" s="2738" t="s">
        <v>1929</v>
      </c>
      <c r="K4" s="2738" t="s">
        <v>1930</v>
      </c>
      <c r="L4" s="2738" t="s">
        <v>1931</v>
      </c>
      <c r="M4" s="2738" t="s">
        <v>1932</v>
      </c>
      <c r="N4" s="2738" t="s">
        <v>1933</v>
      </c>
      <c r="O4" s="2738" t="s">
        <v>1934</v>
      </c>
      <c r="P4" s="2738" t="s">
        <v>1935</v>
      </c>
      <c r="Q4" s="2738" t="s">
        <v>1936</v>
      </c>
      <c r="R4" s="2738" t="s">
        <v>1937</v>
      </c>
      <c r="S4" s="2738" t="s">
        <v>1938</v>
      </c>
      <c r="T4" s="2738" t="s">
        <v>1939</v>
      </c>
    </row>
    <row r="5" spans="1:20">
      <c r="A5" s="2842" t="s">
        <v>1920</v>
      </c>
      <c r="B5" s="2738" t="s">
        <v>1940</v>
      </c>
      <c r="C5" s="2738" t="s">
        <v>1249</v>
      </c>
      <c r="D5" s="2738" t="s">
        <v>1923</v>
      </c>
      <c r="E5" s="2738" t="s">
        <v>1941</v>
      </c>
      <c r="F5" s="2738" t="s">
        <v>1942</v>
      </c>
      <c r="G5" s="2738" t="s">
        <v>1943</v>
      </c>
      <c r="H5" s="2738" t="s">
        <v>1944</v>
      </c>
      <c r="I5" s="2738" t="s">
        <v>1945</v>
      </c>
      <c r="J5" s="2738" t="s">
        <v>1946</v>
      </c>
      <c r="K5" s="2738" t="s">
        <v>1947</v>
      </c>
      <c r="L5" s="2738" t="s">
        <v>1948</v>
      </c>
      <c r="M5" s="2738" t="s">
        <v>1949</v>
      </c>
      <c r="N5" s="2738" t="s">
        <v>1950</v>
      </c>
      <c r="O5" s="2738" t="s">
        <v>1951</v>
      </c>
      <c r="P5" s="2738" t="s">
        <v>1952</v>
      </c>
      <c r="Q5" s="2738" t="s">
        <v>1249</v>
      </c>
      <c r="R5" s="2738" t="s">
        <v>1249</v>
      </c>
      <c r="S5" s="2738" t="s">
        <v>1249</v>
      </c>
      <c r="T5" s="2738" t="s">
        <v>1249</v>
      </c>
    </row>
    <row r="6" spans="1:20">
      <c r="A6" s="2842" t="s">
        <v>1920</v>
      </c>
      <c r="B6" s="2738" t="s">
        <v>1953</v>
      </c>
      <c r="C6" s="2738" t="s">
        <v>1954</v>
      </c>
      <c r="D6" s="2738" t="s">
        <v>1923</v>
      </c>
      <c r="E6" s="2738" t="s">
        <v>1955</v>
      </c>
      <c r="F6" s="2738" t="s">
        <v>1956</v>
      </c>
      <c r="G6" s="2738" t="s">
        <v>1957</v>
      </c>
      <c r="H6" s="2738" t="s">
        <v>1958</v>
      </c>
      <c r="I6" s="2738" t="s">
        <v>1959</v>
      </c>
      <c r="J6" s="2738" t="s">
        <v>1960</v>
      </c>
      <c r="K6" s="2738" t="s">
        <v>1961</v>
      </c>
      <c r="L6" s="2738" t="s">
        <v>1962</v>
      </c>
      <c r="M6" s="2738" t="s">
        <v>1963</v>
      </c>
      <c r="N6" s="2738" t="s">
        <v>1964</v>
      </c>
      <c r="O6" s="2738" t="s">
        <v>1249</v>
      </c>
      <c r="P6" s="2738" t="s">
        <v>1249</v>
      </c>
      <c r="Q6" s="2738" t="s">
        <v>1249</v>
      </c>
      <c r="R6" s="2738" t="s">
        <v>1249</v>
      </c>
      <c r="S6" s="2738" t="s">
        <v>1249</v>
      </c>
      <c r="T6" s="2738" t="s">
        <v>1249</v>
      </c>
    </row>
    <row r="7" spans="1:20">
      <c r="A7" s="2842" t="s">
        <v>1965</v>
      </c>
      <c r="B7" s="2738" t="s">
        <v>1966</v>
      </c>
      <c r="C7" s="2738" t="s">
        <v>1249</v>
      </c>
      <c r="D7" s="2738" t="s">
        <v>1923</v>
      </c>
      <c r="E7" s="2738" t="s">
        <v>1967</v>
      </c>
      <c r="F7" s="2738" t="s">
        <v>1968</v>
      </c>
      <c r="G7" s="2738" t="s">
        <v>1969</v>
      </c>
      <c r="H7" s="2738" t="s">
        <v>1970</v>
      </c>
      <c r="I7" s="2738" t="s">
        <v>1971</v>
      </c>
      <c r="J7" s="2738" t="s">
        <v>1972</v>
      </c>
      <c r="K7" s="2738" t="s">
        <v>1973</v>
      </c>
      <c r="L7" s="2738" t="s">
        <v>1974</v>
      </c>
      <c r="M7" s="2738" t="s">
        <v>1975</v>
      </c>
      <c r="N7" s="2738" t="s">
        <v>1976</v>
      </c>
      <c r="O7" s="2738" t="s">
        <v>1977</v>
      </c>
      <c r="P7" s="2738" t="s">
        <v>1249</v>
      </c>
      <c r="Q7" s="2738" t="s">
        <v>1249</v>
      </c>
      <c r="R7" s="2738" t="s">
        <v>1249</v>
      </c>
      <c r="S7" s="2738" t="s">
        <v>1249</v>
      </c>
      <c r="T7" s="2738" t="s">
        <v>1249</v>
      </c>
    </row>
    <row r="8" spans="1:20">
      <c r="A8" s="2842" t="s">
        <v>1965</v>
      </c>
      <c r="B8" s="2738" t="s">
        <v>1978</v>
      </c>
      <c r="C8" s="2738" t="s">
        <v>1979</v>
      </c>
      <c r="D8" s="2738" t="s">
        <v>1923</v>
      </c>
      <c r="E8" s="2738" t="s">
        <v>1967</v>
      </c>
      <c r="F8" s="2738" t="s">
        <v>1968</v>
      </c>
      <c r="G8" s="2738" t="s">
        <v>1969</v>
      </c>
      <c r="H8" s="2738" t="s">
        <v>1980</v>
      </c>
      <c r="I8" s="2738" t="s">
        <v>1971</v>
      </c>
      <c r="J8" s="2738" t="s">
        <v>1981</v>
      </c>
      <c r="K8" s="2738" t="s">
        <v>1973</v>
      </c>
      <c r="L8" s="2738" t="s">
        <v>1974</v>
      </c>
      <c r="M8" s="2738" t="s">
        <v>1975</v>
      </c>
      <c r="N8" s="2738" t="s">
        <v>1976</v>
      </c>
      <c r="O8" s="2738" t="s">
        <v>1249</v>
      </c>
      <c r="P8" s="2738" t="s">
        <v>1249</v>
      </c>
      <c r="Q8" s="2738" t="s">
        <v>1249</v>
      </c>
      <c r="R8" s="2738" t="s">
        <v>1249</v>
      </c>
      <c r="S8" s="2738" t="s">
        <v>1249</v>
      </c>
      <c r="T8" s="2738" t="s">
        <v>1249</v>
      </c>
    </row>
    <row r="9" spans="1:20">
      <c r="A9" s="2842" t="s">
        <v>1982</v>
      </c>
      <c r="B9" s="2842" t="s">
        <v>1983</v>
      </c>
      <c r="C9" s="2738" t="s">
        <v>1984</v>
      </c>
      <c r="D9" s="2738" t="s">
        <v>1923</v>
      </c>
      <c r="E9" s="2738" t="s">
        <v>1985</v>
      </c>
      <c r="F9" s="2738" t="s">
        <v>1986</v>
      </c>
      <c r="G9" s="2738" t="s">
        <v>1987</v>
      </c>
      <c r="H9" s="2738" t="s">
        <v>1988</v>
      </c>
      <c r="I9" s="2738" t="s">
        <v>1989</v>
      </c>
      <c r="J9" s="2738" t="s">
        <v>1990</v>
      </c>
      <c r="K9" s="2738" t="s">
        <v>1991</v>
      </c>
      <c r="L9" s="2738" t="s">
        <v>1992</v>
      </c>
      <c r="M9" s="2738" t="s">
        <v>1993</v>
      </c>
      <c r="N9" s="2738" t="s">
        <v>1994</v>
      </c>
      <c r="O9" s="2738" t="s">
        <v>1976</v>
      </c>
      <c r="P9" s="2738" t="s">
        <v>1995</v>
      </c>
      <c r="Q9" s="2738" t="s">
        <v>1996</v>
      </c>
      <c r="R9" s="2738" t="s">
        <v>1997</v>
      </c>
      <c r="S9" s="2738" t="s">
        <v>1249</v>
      </c>
      <c r="T9" s="2738" t="s">
        <v>1249</v>
      </c>
    </row>
    <row r="10" spans="1:20">
      <c r="A10" s="2842" t="s">
        <v>1982</v>
      </c>
      <c r="B10" s="2842" t="s">
        <v>1983</v>
      </c>
      <c r="C10" s="2738" t="s">
        <v>1998</v>
      </c>
      <c r="D10" s="2738" t="s">
        <v>1923</v>
      </c>
      <c r="E10" s="2738" t="s">
        <v>1999</v>
      </c>
      <c r="F10" s="2738" t="s">
        <v>2000</v>
      </c>
      <c r="G10" s="2738" t="s">
        <v>2001</v>
      </c>
      <c r="H10" s="2738" t="s">
        <v>2002</v>
      </c>
      <c r="I10" s="2738" t="s">
        <v>1973</v>
      </c>
      <c r="J10" s="2738" t="s">
        <v>2003</v>
      </c>
      <c r="K10" s="2738" t="s">
        <v>2004</v>
      </c>
      <c r="L10" s="2738" t="s">
        <v>2005</v>
      </c>
      <c r="M10" s="2738" t="s">
        <v>2006</v>
      </c>
      <c r="N10" s="2738" t="s">
        <v>2007</v>
      </c>
      <c r="O10" s="2738" t="s">
        <v>2008</v>
      </c>
      <c r="P10" s="2738" t="s">
        <v>2009</v>
      </c>
      <c r="Q10" s="2738" t="s">
        <v>2010</v>
      </c>
      <c r="R10" s="2738" t="s">
        <v>2011</v>
      </c>
      <c r="S10" s="2738" t="s">
        <v>2012</v>
      </c>
      <c r="T10" s="2738" t="s">
        <v>1249</v>
      </c>
    </row>
    <row r="11" spans="1:20">
      <c r="A11" s="2842" t="s">
        <v>1982</v>
      </c>
      <c r="B11" s="2842" t="s">
        <v>1983</v>
      </c>
      <c r="C11" s="2738" t="s">
        <v>2013</v>
      </c>
      <c r="D11" s="2738" t="s">
        <v>1923</v>
      </c>
      <c r="E11" s="2738" t="s">
        <v>2014</v>
      </c>
      <c r="F11" s="2738" t="s">
        <v>2015</v>
      </c>
      <c r="G11" s="2738" t="s">
        <v>2016</v>
      </c>
      <c r="H11" s="2738" t="s">
        <v>2017</v>
      </c>
      <c r="I11" s="2738" t="s">
        <v>2018</v>
      </c>
      <c r="J11" s="2738" t="s">
        <v>2019</v>
      </c>
      <c r="K11" s="2738" t="s">
        <v>2020</v>
      </c>
      <c r="L11" s="2738" t="s">
        <v>2021</v>
      </c>
      <c r="M11" s="2738" t="s">
        <v>2022</v>
      </c>
      <c r="N11" s="2738" t="s">
        <v>2023</v>
      </c>
      <c r="O11" s="2738" t="s">
        <v>2024</v>
      </c>
      <c r="P11" s="2738" t="s">
        <v>2025</v>
      </c>
      <c r="Q11" s="2738" t="s">
        <v>2026</v>
      </c>
      <c r="R11" s="2738" t="s">
        <v>2027</v>
      </c>
      <c r="S11" s="2738" t="s">
        <v>1249</v>
      </c>
      <c r="T11" s="2738" t="s">
        <v>1249</v>
      </c>
    </row>
    <row r="12" spans="1:20">
      <c r="A12" s="2842" t="s">
        <v>1982</v>
      </c>
      <c r="B12" s="2842" t="s">
        <v>1983</v>
      </c>
      <c r="C12" s="2738" t="s">
        <v>2028</v>
      </c>
      <c r="D12" s="2738" t="s">
        <v>1923</v>
      </c>
      <c r="E12" s="2738" t="s">
        <v>2029</v>
      </c>
      <c r="F12" s="2738" t="s">
        <v>2030</v>
      </c>
      <c r="G12" s="2738" t="s">
        <v>2031</v>
      </c>
      <c r="H12" s="2738" t="s">
        <v>2032</v>
      </c>
      <c r="I12" s="2738" t="s">
        <v>2033</v>
      </c>
      <c r="J12" s="2738" t="s">
        <v>2034</v>
      </c>
      <c r="K12" s="2738" t="s">
        <v>2035</v>
      </c>
      <c r="L12" s="2738" t="s">
        <v>2036</v>
      </c>
      <c r="M12" s="2738" t="s">
        <v>2037</v>
      </c>
      <c r="N12" s="2738" t="s">
        <v>2038</v>
      </c>
      <c r="O12" s="2738" t="s">
        <v>2039</v>
      </c>
      <c r="P12" s="2738" t="s">
        <v>2040</v>
      </c>
      <c r="Q12" s="2738" t="s">
        <v>2041</v>
      </c>
      <c r="R12" s="2738" t="s">
        <v>2042</v>
      </c>
      <c r="S12" s="2738" t="s">
        <v>1249</v>
      </c>
      <c r="T12" s="2738" t="s">
        <v>1249</v>
      </c>
    </row>
    <row r="13" spans="1:20">
      <c r="A13" s="2842" t="s">
        <v>1982</v>
      </c>
      <c r="B13" s="2738" t="s">
        <v>2043</v>
      </c>
      <c r="C13" s="2738" t="s">
        <v>2044</v>
      </c>
      <c r="D13" s="2738" t="s">
        <v>1923</v>
      </c>
      <c r="E13" s="2738" t="s">
        <v>2045</v>
      </c>
      <c r="F13" s="2738" t="s">
        <v>2046</v>
      </c>
      <c r="G13" s="2738" t="s">
        <v>2047</v>
      </c>
      <c r="H13" s="2738" t="s">
        <v>2048</v>
      </c>
      <c r="I13" s="2738" t="s">
        <v>2049</v>
      </c>
      <c r="J13" s="2738" t="s">
        <v>1974</v>
      </c>
      <c r="K13" s="2738" t="s">
        <v>2050</v>
      </c>
      <c r="L13" s="2738" t="s">
        <v>2051</v>
      </c>
      <c r="M13" s="2738" t="s">
        <v>2052</v>
      </c>
      <c r="N13" s="2738" t="s">
        <v>2053</v>
      </c>
      <c r="O13" s="2738" t="s">
        <v>2054</v>
      </c>
      <c r="P13" s="2738" t="s">
        <v>2055</v>
      </c>
      <c r="Q13" s="2738" t="s">
        <v>2056</v>
      </c>
      <c r="R13" s="2738" t="s">
        <v>2057</v>
      </c>
      <c r="S13" s="2738" t="s">
        <v>2058</v>
      </c>
      <c r="T13" s="2738" t="s">
        <v>1249</v>
      </c>
    </row>
    <row r="14" spans="1:20">
      <c r="A14" s="2738" t="s">
        <v>2059</v>
      </c>
      <c r="B14" s="2738" t="s">
        <v>1249</v>
      </c>
      <c r="C14" s="2738" t="s">
        <v>1249</v>
      </c>
      <c r="D14" s="2738" t="s">
        <v>1923</v>
      </c>
      <c r="E14" s="2738" t="s">
        <v>2060</v>
      </c>
      <c r="F14" s="2738" t="s">
        <v>2061</v>
      </c>
      <c r="G14" s="2738" t="s">
        <v>1967</v>
      </c>
      <c r="H14" s="2738" t="s">
        <v>2062</v>
      </c>
      <c r="I14" s="2738" t="s">
        <v>2063</v>
      </c>
      <c r="J14" s="2738" t="s">
        <v>2064</v>
      </c>
      <c r="K14" s="2738" t="s">
        <v>2065</v>
      </c>
      <c r="L14" s="2738" t="s">
        <v>2066</v>
      </c>
      <c r="M14" s="2738" t="s">
        <v>1249</v>
      </c>
      <c r="N14" s="2738" t="s">
        <v>1249</v>
      </c>
      <c r="O14" s="2738" t="s">
        <v>1249</v>
      </c>
      <c r="P14" s="2738" t="s">
        <v>1249</v>
      </c>
      <c r="Q14" s="2738" t="s">
        <v>1249</v>
      </c>
      <c r="R14" s="2738" t="s">
        <v>1249</v>
      </c>
      <c r="S14" s="2738" t="s">
        <v>1249</v>
      </c>
      <c r="T14" s="2738" t="s">
        <v>1249</v>
      </c>
    </row>
    <row r="15" spans="1:20">
      <c r="A15" s="2738" t="s">
        <v>2067</v>
      </c>
      <c r="B15" s="2738" t="s">
        <v>1249</v>
      </c>
      <c r="C15" s="2738" t="s">
        <v>1998</v>
      </c>
      <c r="D15" s="2738" t="s">
        <v>1923</v>
      </c>
      <c r="E15" s="2738" t="s">
        <v>2068</v>
      </c>
      <c r="F15" s="2738" t="s">
        <v>2069</v>
      </c>
      <c r="G15" s="2738" t="s">
        <v>2070</v>
      </c>
      <c r="H15" s="2738" t="s">
        <v>2071</v>
      </c>
      <c r="I15" s="2738" t="s">
        <v>2049</v>
      </c>
      <c r="J15" s="2738" t="s">
        <v>2072</v>
      </c>
      <c r="K15" s="2738" t="s">
        <v>2073</v>
      </c>
      <c r="L15" s="2738" t="s">
        <v>2074</v>
      </c>
      <c r="M15" s="2738" t="s">
        <v>2075</v>
      </c>
      <c r="N15" s="2738" t="s">
        <v>2076</v>
      </c>
      <c r="O15" s="2738" t="s">
        <v>2077</v>
      </c>
      <c r="P15" s="2738" t="s">
        <v>2078</v>
      </c>
      <c r="Q15" s="2738" t="s">
        <v>2079</v>
      </c>
      <c r="R15" s="2738" t="s">
        <v>2080</v>
      </c>
      <c r="S15" s="2738" t="s">
        <v>1249</v>
      </c>
      <c r="T15" s="2738" t="s">
        <v>1249</v>
      </c>
    </row>
    <row r="16" spans="1:20">
      <c r="A16" s="2842" t="s">
        <v>2081</v>
      </c>
      <c r="B16" s="2842" t="s">
        <v>2082</v>
      </c>
      <c r="C16" s="2738" t="s">
        <v>2083</v>
      </c>
      <c r="D16" s="2738" t="s">
        <v>1923</v>
      </c>
      <c r="E16" s="2738" t="s">
        <v>2084</v>
      </c>
      <c r="F16" s="2738" t="s">
        <v>2085</v>
      </c>
      <c r="G16" s="2738" t="s">
        <v>2086</v>
      </c>
      <c r="H16" s="2738" t="s">
        <v>2001</v>
      </c>
      <c r="I16" s="2738" t="s">
        <v>2087</v>
      </c>
      <c r="J16" s="2738" t="s">
        <v>2088</v>
      </c>
      <c r="K16" s="2738" t="s">
        <v>2089</v>
      </c>
      <c r="L16" s="2738" t="s">
        <v>2090</v>
      </c>
      <c r="M16" s="2738" t="s">
        <v>2091</v>
      </c>
      <c r="N16" s="2738" t="s">
        <v>2092</v>
      </c>
      <c r="O16" s="2738" t="s">
        <v>2093</v>
      </c>
      <c r="P16" s="2738" t="s">
        <v>2094</v>
      </c>
      <c r="Q16" s="2738" t="s">
        <v>2095</v>
      </c>
      <c r="R16" s="2738" t="s">
        <v>2042</v>
      </c>
      <c r="S16" s="2738" t="s">
        <v>1249</v>
      </c>
      <c r="T16" s="2738" t="s">
        <v>1249</v>
      </c>
    </row>
    <row r="17" spans="1:20">
      <c r="A17" s="2842" t="s">
        <v>2081</v>
      </c>
      <c r="B17" s="2842" t="s">
        <v>2082</v>
      </c>
      <c r="C17" s="2738" t="s">
        <v>2096</v>
      </c>
      <c r="D17" s="2738" t="s">
        <v>1923</v>
      </c>
      <c r="E17" s="2738" t="s">
        <v>2084</v>
      </c>
      <c r="F17" s="2738" t="s">
        <v>2085</v>
      </c>
      <c r="G17" s="2738" t="s">
        <v>2086</v>
      </c>
      <c r="H17" s="2738" t="s">
        <v>2001</v>
      </c>
      <c r="I17" s="2738" t="s">
        <v>2087</v>
      </c>
      <c r="J17" s="2738" t="s">
        <v>2088</v>
      </c>
      <c r="K17" s="2738" t="s">
        <v>2089</v>
      </c>
      <c r="L17" s="2738" t="s">
        <v>2090</v>
      </c>
      <c r="M17" s="2738" t="s">
        <v>2097</v>
      </c>
      <c r="N17" s="2738" t="s">
        <v>2098</v>
      </c>
      <c r="O17" s="2738" t="s">
        <v>2099</v>
      </c>
      <c r="P17" s="2738" t="s">
        <v>2100</v>
      </c>
      <c r="Q17" s="2738" t="s">
        <v>2101</v>
      </c>
      <c r="R17" s="2738" t="s">
        <v>2102</v>
      </c>
      <c r="S17" s="2738" t="s">
        <v>1249</v>
      </c>
      <c r="T17" s="2738" t="s">
        <v>1249</v>
      </c>
    </row>
    <row r="18" spans="1:20">
      <c r="A18" s="2842" t="s">
        <v>2081</v>
      </c>
      <c r="B18" s="2842" t="s">
        <v>2082</v>
      </c>
      <c r="C18" s="2738" t="s">
        <v>1998</v>
      </c>
      <c r="D18" s="2738" t="s">
        <v>1923</v>
      </c>
      <c r="E18" s="2738" t="s">
        <v>2103</v>
      </c>
      <c r="F18" s="2738" t="s">
        <v>2104</v>
      </c>
      <c r="G18" s="2738" t="s">
        <v>2105</v>
      </c>
      <c r="H18" s="2738" t="s">
        <v>2106</v>
      </c>
      <c r="I18" s="2738" t="s">
        <v>2107</v>
      </c>
      <c r="J18" s="2739" t="s">
        <v>2003</v>
      </c>
      <c r="K18" s="2738" t="s">
        <v>2108</v>
      </c>
      <c r="L18" s="2738" t="s">
        <v>2109</v>
      </c>
      <c r="M18" s="2738" t="s">
        <v>2110</v>
      </c>
      <c r="N18" s="2738" t="s">
        <v>2111</v>
      </c>
      <c r="O18" s="2738" t="s">
        <v>2112</v>
      </c>
      <c r="P18" s="2738" t="s">
        <v>2113</v>
      </c>
      <c r="Q18" s="2738" t="s">
        <v>2114</v>
      </c>
      <c r="R18" s="2738" t="s">
        <v>2115</v>
      </c>
      <c r="S18" s="2738" t="s">
        <v>1249</v>
      </c>
      <c r="T18" s="2738" t="s">
        <v>1249</v>
      </c>
    </row>
    <row r="19" spans="1:20">
      <c r="A19" s="2842" t="s">
        <v>2081</v>
      </c>
      <c r="B19" s="2842" t="s">
        <v>2082</v>
      </c>
      <c r="C19" s="2738" t="s">
        <v>2028</v>
      </c>
      <c r="D19" s="2738" t="s">
        <v>1923</v>
      </c>
      <c r="E19" s="2738" t="s">
        <v>2116</v>
      </c>
      <c r="F19" s="2738" t="s">
        <v>2117</v>
      </c>
      <c r="G19" s="2738" t="s">
        <v>2118</v>
      </c>
      <c r="H19" s="2738" t="s">
        <v>2003</v>
      </c>
      <c r="I19" s="2738" t="s">
        <v>2119</v>
      </c>
      <c r="J19" s="2738" t="s">
        <v>2120</v>
      </c>
      <c r="K19" s="2738" t="s">
        <v>2121</v>
      </c>
      <c r="L19" s="2738" t="s">
        <v>2122</v>
      </c>
      <c r="M19" s="2738" t="s">
        <v>2123</v>
      </c>
      <c r="N19" s="2738" t="s">
        <v>2124</v>
      </c>
      <c r="O19" s="2738" t="s">
        <v>2125</v>
      </c>
      <c r="P19" s="2738" t="s">
        <v>2126</v>
      </c>
      <c r="Q19" s="2738" t="s">
        <v>2127</v>
      </c>
      <c r="R19" s="2738" t="s">
        <v>2128</v>
      </c>
      <c r="S19" s="2738" t="s">
        <v>1249</v>
      </c>
      <c r="T19" s="2738" t="s">
        <v>1249</v>
      </c>
    </row>
    <row r="20" spans="1:20">
      <c r="A20" s="2842" t="s">
        <v>2081</v>
      </c>
      <c r="B20" s="2842" t="s">
        <v>2082</v>
      </c>
      <c r="C20" s="2738" t="s">
        <v>2129</v>
      </c>
      <c r="D20" s="2738" t="s">
        <v>1923</v>
      </c>
      <c r="E20" s="2738" t="s">
        <v>2063</v>
      </c>
      <c r="F20" s="2738" t="s">
        <v>2130</v>
      </c>
      <c r="G20" s="2738" t="s">
        <v>2131</v>
      </c>
      <c r="H20" s="2738" t="s">
        <v>2132</v>
      </c>
      <c r="I20" s="2738" t="s">
        <v>2133</v>
      </c>
      <c r="J20" s="2738" t="s">
        <v>2134</v>
      </c>
      <c r="K20" s="2738" t="s">
        <v>2135</v>
      </c>
      <c r="L20" s="2738" t="s">
        <v>2136</v>
      </c>
      <c r="M20" s="2738" t="s">
        <v>2137</v>
      </c>
      <c r="N20" s="2738" t="s">
        <v>2138</v>
      </c>
      <c r="O20" s="2738" t="s">
        <v>2139</v>
      </c>
      <c r="P20" s="2738" t="s">
        <v>2140</v>
      </c>
      <c r="Q20" s="2738" t="s">
        <v>2141</v>
      </c>
      <c r="R20" s="2738" t="s">
        <v>2142</v>
      </c>
      <c r="S20" s="2738" t="s">
        <v>1249</v>
      </c>
      <c r="T20" s="2738" t="s">
        <v>1249</v>
      </c>
    </row>
    <row r="21" spans="1:20">
      <c r="A21" s="2842" t="s">
        <v>2143</v>
      </c>
      <c r="B21" s="2842" t="s">
        <v>2082</v>
      </c>
      <c r="C21" s="2738" t="s">
        <v>2013</v>
      </c>
      <c r="D21" s="2738" t="s">
        <v>1923</v>
      </c>
      <c r="E21" s="2738" t="s">
        <v>2144</v>
      </c>
      <c r="F21" s="2738" t="s">
        <v>2145</v>
      </c>
      <c r="G21" s="2738" t="s">
        <v>2146</v>
      </c>
      <c r="H21" s="2738" t="s">
        <v>2147</v>
      </c>
      <c r="I21" s="2738" t="s">
        <v>2148</v>
      </c>
      <c r="J21" s="2738" t="s">
        <v>2149</v>
      </c>
      <c r="K21" s="2738" t="s">
        <v>2150</v>
      </c>
      <c r="L21" s="2738" t="s">
        <v>2151</v>
      </c>
      <c r="M21" s="2738" t="s">
        <v>2054</v>
      </c>
      <c r="N21" s="2738" t="s">
        <v>2112</v>
      </c>
      <c r="O21" s="2738" t="s">
        <v>2152</v>
      </c>
      <c r="P21" s="2738" t="s">
        <v>2153</v>
      </c>
      <c r="Q21" s="2738" t="s">
        <v>1249</v>
      </c>
      <c r="R21" s="2738" t="s">
        <v>1249</v>
      </c>
      <c r="S21" s="2738" t="s">
        <v>1249</v>
      </c>
      <c r="T21" s="2738" t="s">
        <v>1249</v>
      </c>
    </row>
    <row r="22" spans="1:20">
      <c r="A22" s="2842" t="s">
        <v>2143</v>
      </c>
      <c r="B22" s="2842" t="s">
        <v>2082</v>
      </c>
      <c r="C22" s="2738" t="s">
        <v>2154</v>
      </c>
      <c r="D22" s="2738" t="s">
        <v>1923</v>
      </c>
      <c r="E22" s="2738" t="s">
        <v>2155</v>
      </c>
      <c r="F22" s="2738" t="s">
        <v>2156</v>
      </c>
      <c r="G22" s="2738" t="s">
        <v>2157</v>
      </c>
      <c r="H22" s="2738" t="s">
        <v>2158</v>
      </c>
      <c r="I22" s="2738" t="s">
        <v>2159</v>
      </c>
      <c r="J22" s="2738" t="s">
        <v>2160</v>
      </c>
      <c r="K22" s="2738" t="s">
        <v>2022</v>
      </c>
      <c r="L22" s="2738" t="s">
        <v>2161</v>
      </c>
      <c r="M22" s="2738" t="s">
        <v>2162</v>
      </c>
      <c r="N22" s="2738" t="s">
        <v>2163</v>
      </c>
      <c r="O22" s="2738" t="s">
        <v>2164</v>
      </c>
      <c r="P22" s="2738" t="s">
        <v>2165</v>
      </c>
      <c r="Q22" s="2738" t="s">
        <v>1249</v>
      </c>
      <c r="R22" s="2738" t="s">
        <v>1249</v>
      </c>
      <c r="S22" s="2738" t="s">
        <v>1249</v>
      </c>
      <c r="T22" s="2738" t="s">
        <v>1249</v>
      </c>
    </row>
    <row r="23" spans="1:20">
      <c r="A23" s="2842" t="s">
        <v>2143</v>
      </c>
      <c r="B23" s="2842" t="s">
        <v>2082</v>
      </c>
      <c r="C23" s="2738" t="s">
        <v>2166</v>
      </c>
      <c r="D23" s="2738" t="s">
        <v>1923</v>
      </c>
      <c r="E23" s="2738" t="s">
        <v>2167</v>
      </c>
      <c r="F23" s="2738" t="s">
        <v>2168</v>
      </c>
      <c r="G23" s="2738" t="s">
        <v>2169</v>
      </c>
      <c r="H23" s="2738" t="s">
        <v>2170</v>
      </c>
      <c r="I23" s="2738" t="s">
        <v>2171</v>
      </c>
      <c r="J23" s="2738" t="s">
        <v>2172</v>
      </c>
      <c r="K23" s="2738" t="s">
        <v>2173</v>
      </c>
      <c r="L23" s="2738" t="s">
        <v>2174</v>
      </c>
      <c r="M23" s="2738" t="s">
        <v>2175</v>
      </c>
      <c r="N23" s="2738" t="s">
        <v>2176</v>
      </c>
      <c r="O23" s="2738" t="s">
        <v>2177</v>
      </c>
      <c r="P23" s="2738" t="s">
        <v>2178</v>
      </c>
      <c r="Q23" s="2738" t="s">
        <v>1249</v>
      </c>
      <c r="R23" s="2738" t="s">
        <v>1249</v>
      </c>
      <c r="S23" s="2738" t="s">
        <v>1249</v>
      </c>
      <c r="T23" s="2738" t="s">
        <v>1249</v>
      </c>
    </row>
    <row r="24" spans="1:20">
      <c r="A24" s="2842" t="s">
        <v>2143</v>
      </c>
      <c r="B24" s="2842" t="s">
        <v>2082</v>
      </c>
      <c r="C24" s="2738" t="s">
        <v>2129</v>
      </c>
      <c r="D24" s="2738" t="s">
        <v>1923</v>
      </c>
      <c r="E24" s="2738" t="s">
        <v>1947</v>
      </c>
      <c r="F24" s="2738" t="s">
        <v>2179</v>
      </c>
      <c r="G24" s="2738" t="s">
        <v>2132</v>
      </c>
      <c r="H24" s="2738" t="s">
        <v>2098</v>
      </c>
      <c r="I24" s="2738" t="s">
        <v>2180</v>
      </c>
      <c r="J24" s="2738" t="s">
        <v>2136</v>
      </c>
      <c r="K24" s="2738" t="s">
        <v>2181</v>
      </c>
      <c r="L24" s="2738" t="s">
        <v>2182</v>
      </c>
      <c r="M24" s="2738" t="s">
        <v>2183</v>
      </c>
      <c r="N24" s="2738" t="s">
        <v>2184</v>
      </c>
      <c r="O24" s="2738" t="s">
        <v>2185</v>
      </c>
      <c r="P24" s="2738" t="s">
        <v>2186</v>
      </c>
      <c r="Q24" s="2738" t="s">
        <v>1249</v>
      </c>
      <c r="R24" s="2738" t="s">
        <v>1249</v>
      </c>
      <c r="S24" s="2738" t="s">
        <v>1249</v>
      </c>
      <c r="T24" s="2738" t="s">
        <v>1249</v>
      </c>
    </row>
    <row r="25" spans="1:20">
      <c r="A25" s="2842" t="s">
        <v>2143</v>
      </c>
      <c r="B25" s="2842" t="s">
        <v>2082</v>
      </c>
      <c r="C25" s="2738" t="s">
        <v>2187</v>
      </c>
      <c r="D25" s="2738" t="s">
        <v>1923</v>
      </c>
      <c r="E25" s="2738" t="s">
        <v>2188</v>
      </c>
      <c r="F25" s="2738" t="s">
        <v>2163</v>
      </c>
      <c r="G25" s="2738" t="s">
        <v>2189</v>
      </c>
      <c r="H25" s="2738" t="s">
        <v>2190</v>
      </c>
      <c r="I25" s="2738" t="s">
        <v>2191</v>
      </c>
      <c r="J25" s="2738" t="s">
        <v>2192</v>
      </c>
      <c r="K25" s="2738" t="s">
        <v>2193</v>
      </c>
      <c r="L25" s="2738" t="s">
        <v>2194</v>
      </c>
      <c r="M25" s="2738" t="s">
        <v>2195</v>
      </c>
      <c r="N25" s="2738" t="s">
        <v>2196</v>
      </c>
      <c r="O25" s="2738" t="s">
        <v>2197</v>
      </c>
      <c r="P25" s="2738" t="s">
        <v>2198</v>
      </c>
      <c r="Q25" s="2738" t="s">
        <v>1249</v>
      </c>
      <c r="R25" s="2738" t="s">
        <v>1249</v>
      </c>
      <c r="S25" s="2738" t="s">
        <v>1249</v>
      </c>
      <c r="T25" s="2738" t="s">
        <v>1249</v>
      </c>
    </row>
    <row r="26" spans="1:20">
      <c r="A26" s="2842" t="s">
        <v>2143</v>
      </c>
      <c r="B26" s="2842" t="s">
        <v>2082</v>
      </c>
      <c r="C26" s="2738" t="s">
        <v>2199</v>
      </c>
      <c r="D26" s="2738" t="s">
        <v>1923</v>
      </c>
      <c r="E26" s="2738" t="s">
        <v>2200</v>
      </c>
      <c r="F26" s="2738" t="s">
        <v>2201</v>
      </c>
      <c r="G26" s="2738" t="s">
        <v>2202</v>
      </c>
      <c r="H26" s="2738" t="s">
        <v>2203</v>
      </c>
      <c r="I26" s="2738" t="s">
        <v>2204</v>
      </c>
      <c r="J26" s="2738" t="s">
        <v>2205</v>
      </c>
      <c r="K26" s="2738" t="s">
        <v>2206</v>
      </c>
      <c r="L26" s="2738" t="s">
        <v>2207</v>
      </c>
      <c r="M26" s="2738" t="s">
        <v>2208</v>
      </c>
      <c r="N26" s="2738" t="s">
        <v>2209</v>
      </c>
      <c r="O26" s="2738" t="s">
        <v>2210</v>
      </c>
      <c r="P26" s="2738" t="s">
        <v>2211</v>
      </c>
      <c r="Q26" s="2738" t="s">
        <v>1249</v>
      </c>
      <c r="R26" s="2738" t="s">
        <v>1249</v>
      </c>
      <c r="S26" s="2738" t="s">
        <v>1249</v>
      </c>
      <c r="T26" s="2738" t="s">
        <v>1249</v>
      </c>
    </row>
    <row r="27" spans="1:20">
      <c r="A27" s="2842" t="s">
        <v>2143</v>
      </c>
      <c r="B27" s="2842" t="s">
        <v>2082</v>
      </c>
      <c r="C27" s="2738" t="s">
        <v>2212</v>
      </c>
      <c r="D27" s="2738" t="s">
        <v>1923</v>
      </c>
      <c r="E27" s="2738" t="s">
        <v>2213</v>
      </c>
      <c r="F27" s="2738" t="s">
        <v>2214</v>
      </c>
      <c r="G27" s="2738" t="s">
        <v>2215</v>
      </c>
      <c r="H27" s="2738" t="s">
        <v>2216</v>
      </c>
      <c r="I27" s="2738" t="s">
        <v>2217</v>
      </c>
      <c r="J27" s="2738" t="s">
        <v>2218</v>
      </c>
      <c r="K27" s="2738" t="s">
        <v>2219</v>
      </c>
      <c r="L27" s="2738" t="s">
        <v>2220</v>
      </c>
      <c r="M27" s="2738" t="s">
        <v>2221</v>
      </c>
      <c r="N27" s="2738" t="s">
        <v>2222</v>
      </c>
      <c r="O27" s="2738" t="s">
        <v>2223</v>
      </c>
      <c r="P27" s="2738" t="s">
        <v>2224</v>
      </c>
      <c r="Q27" s="2738" t="s">
        <v>1249</v>
      </c>
      <c r="R27" s="2738" t="s">
        <v>1249</v>
      </c>
      <c r="S27" s="2738" t="s">
        <v>1249</v>
      </c>
      <c r="T27" s="2738" t="s">
        <v>1249</v>
      </c>
    </row>
    <row r="28" spans="1:20">
      <c r="A28" s="2842" t="s">
        <v>2225</v>
      </c>
      <c r="B28" s="2842" t="s">
        <v>2226</v>
      </c>
      <c r="C28" s="2738" t="s">
        <v>2227</v>
      </c>
      <c r="D28" s="2738" t="s">
        <v>1923</v>
      </c>
      <c r="E28" s="2738" t="s">
        <v>2228</v>
      </c>
      <c r="F28" s="2738" t="s">
        <v>2229</v>
      </c>
      <c r="G28" s="2738" t="s">
        <v>2048</v>
      </c>
      <c r="H28" s="2738" t="s">
        <v>2230</v>
      </c>
      <c r="I28" s="2738" t="s">
        <v>2231</v>
      </c>
      <c r="J28" s="2738" t="s">
        <v>2232</v>
      </c>
      <c r="K28" s="2738" t="s">
        <v>2233</v>
      </c>
      <c r="L28" s="2738" t="s">
        <v>2234</v>
      </c>
      <c r="M28" s="2738" t="s">
        <v>1249</v>
      </c>
      <c r="N28" s="2738" t="s">
        <v>2099</v>
      </c>
      <c r="O28" s="2738" t="s">
        <v>1249</v>
      </c>
      <c r="P28" s="2738" t="s">
        <v>1249</v>
      </c>
      <c r="Q28" s="2738" t="s">
        <v>1249</v>
      </c>
      <c r="R28" s="2738" t="s">
        <v>1249</v>
      </c>
      <c r="S28" s="2738" t="s">
        <v>1249</v>
      </c>
      <c r="T28" s="2738" t="s">
        <v>1249</v>
      </c>
    </row>
    <row r="29" spans="1:20">
      <c r="A29" s="2842" t="s">
        <v>2225</v>
      </c>
      <c r="B29" s="2842" t="s">
        <v>2226</v>
      </c>
      <c r="C29" s="2738" t="s">
        <v>2235</v>
      </c>
      <c r="D29" s="2738" t="s">
        <v>1923</v>
      </c>
      <c r="E29" s="2738" t="s">
        <v>2029</v>
      </c>
      <c r="F29" s="2738" t="s">
        <v>2236</v>
      </c>
      <c r="G29" s="2738" t="s">
        <v>2031</v>
      </c>
      <c r="H29" s="2738" t="s">
        <v>2237</v>
      </c>
      <c r="I29" s="2738" t="s">
        <v>2238</v>
      </c>
      <c r="J29" s="2738" t="s">
        <v>2239</v>
      </c>
      <c r="K29" s="2738" t="s">
        <v>2240</v>
      </c>
      <c r="L29" s="2738" t="s">
        <v>2241</v>
      </c>
      <c r="M29" s="2738" t="s">
        <v>1249</v>
      </c>
      <c r="N29" s="2738" t="s">
        <v>2133</v>
      </c>
      <c r="O29" s="2738" t="s">
        <v>1249</v>
      </c>
      <c r="P29" s="2738" t="s">
        <v>1249</v>
      </c>
      <c r="Q29" s="2738" t="s">
        <v>1249</v>
      </c>
      <c r="R29" s="2738" t="s">
        <v>1249</v>
      </c>
      <c r="S29" s="2738" t="s">
        <v>1249</v>
      </c>
      <c r="T29" s="2738" t="s">
        <v>1249</v>
      </c>
    </row>
    <row r="30" spans="1:20">
      <c r="A30" s="2842" t="s">
        <v>2225</v>
      </c>
      <c r="B30" s="2842" t="s">
        <v>2226</v>
      </c>
      <c r="C30" s="2738" t="s">
        <v>2242</v>
      </c>
      <c r="D30" s="2738" t="s">
        <v>1923</v>
      </c>
      <c r="E30" s="2738" t="s">
        <v>2243</v>
      </c>
      <c r="F30" s="2738" t="s">
        <v>2244</v>
      </c>
      <c r="G30" s="2738" t="s">
        <v>2245</v>
      </c>
      <c r="H30" s="2738" t="s">
        <v>2246</v>
      </c>
      <c r="I30" s="2738" t="s">
        <v>2247</v>
      </c>
      <c r="J30" s="2738" t="s">
        <v>2248</v>
      </c>
      <c r="K30" s="2738" t="s">
        <v>2249</v>
      </c>
      <c r="L30" s="2738" t="s">
        <v>2250</v>
      </c>
      <c r="M30" s="2738" t="s">
        <v>1249</v>
      </c>
      <c r="N30" s="2738" t="s">
        <v>2251</v>
      </c>
      <c r="O30" s="2738" t="s">
        <v>1249</v>
      </c>
      <c r="P30" s="2738" t="s">
        <v>1249</v>
      </c>
      <c r="Q30" s="2738" t="s">
        <v>1249</v>
      </c>
      <c r="R30" s="2738" t="s">
        <v>1249</v>
      </c>
      <c r="S30" s="2738" t="s">
        <v>1249</v>
      </c>
      <c r="T30" s="2738" t="s">
        <v>1249</v>
      </c>
    </row>
    <row r="31" spans="1:20">
      <c r="A31" s="2842" t="s">
        <v>2225</v>
      </c>
      <c r="B31" s="2842" t="s">
        <v>2226</v>
      </c>
      <c r="C31" s="2738" t="s">
        <v>2252</v>
      </c>
      <c r="D31" s="2738" t="s">
        <v>1923</v>
      </c>
      <c r="E31" s="2738" t="s">
        <v>2253</v>
      </c>
      <c r="F31" s="2738" t="s">
        <v>2254</v>
      </c>
      <c r="G31" s="2738" t="s">
        <v>2255</v>
      </c>
      <c r="H31" s="2738" t="s">
        <v>2256</v>
      </c>
      <c r="I31" s="2738" t="s">
        <v>2257</v>
      </c>
      <c r="J31" s="2738" t="s">
        <v>2258</v>
      </c>
      <c r="K31" s="2738" t="s">
        <v>2259</v>
      </c>
      <c r="L31" s="2738" t="s">
        <v>2260</v>
      </c>
      <c r="M31" s="2738" t="s">
        <v>1249</v>
      </c>
      <c r="N31" s="2738" t="s">
        <v>2261</v>
      </c>
      <c r="O31" s="2738" t="s">
        <v>1249</v>
      </c>
      <c r="P31" s="2738" t="s">
        <v>1249</v>
      </c>
      <c r="Q31" s="2738" t="s">
        <v>1249</v>
      </c>
      <c r="R31" s="2738" t="s">
        <v>1249</v>
      </c>
      <c r="S31" s="2738" t="s">
        <v>1249</v>
      </c>
      <c r="T31" s="2738" t="s">
        <v>1249</v>
      </c>
    </row>
    <row r="32" spans="1:20">
      <c r="A32" s="2842" t="s">
        <v>2225</v>
      </c>
      <c r="B32" s="2842" t="s">
        <v>2082</v>
      </c>
      <c r="C32" s="2738" t="s">
        <v>1998</v>
      </c>
      <c r="D32" s="2738" t="s">
        <v>1923</v>
      </c>
      <c r="E32" s="2738" t="s">
        <v>2262</v>
      </c>
      <c r="F32" s="2738" t="s">
        <v>2263</v>
      </c>
      <c r="G32" s="2738" t="s">
        <v>1981</v>
      </c>
      <c r="H32" s="2738" t="s">
        <v>1931</v>
      </c>
      <c r="I32" s="2738" t="s">
        <v>2264</v>
      </c>
      <c r="J32" s="2738" t="s">
        <v>2265</v>
      </c>
      <c r="K32" s="2738" t="s">
        <v>2266</v>
      </c>
      <c r="L32" s="2738" t="s">
        <v>2267</v>
      </c>
      <c r="M32" s="2738" t="s">
        <v>2268</v>
      </c>
      <c r="N32" s="2738" t="s">
        <v>2269</v>
      </c>
      <c r="O32" s="2738" t="s">
        <v>2270</v>
      </c>
      <c r="P32" s="2738" t="s">
        <v>2271</v>
      </c>
      <c r="Q32" s="2738" t="s">
        <v>1249</v>
      </c>
      <c r="R32" s="2738" t="s">
        <v>1249</v>
      </c>
      <c r="S32" s="2738" t="s">
        <v>1249</v>
      </c>
      <c r="T32" s="2738" t="s">
        <v>1249</v>
      </c>
    </row>
    <row r="33" spans="1:20">
      <c r="A33" s="2842" t="s">
        <v>2225</v>
      </c>
      <c r="B33" s="2842" t="s">
        <v>2082</v>
      </c>
      <c r="C33" s="2738" t="s">
        <v>2013</v>
      </c>
      <c r="D33" s="2738" t="s">
        <v>1923</v>
      </c>
      <c r="E33" s="2738" t="s">
        <v>2272</v>
      </c>
      <c r="F33" s="2738" t="s">
        <v>2273</v>
      </c>
      <c r="G33" s="2738" t="s">
        <v>2274</v>
      </c>
      <c r="H33" s="2738" t="s">
        <v>2275</v>
      </c>
      <c r="I33" s="2738" t="s">
        <v>2276</v>
      </c>
      <c r="J33" s="2738" t="s">
        <v>2277</v>
      </c>
      <c r="K33" s="2738" t="s">
        <v>2278</v>
      </c>
      <c r="L33" s="2738" t="s">
        <v>2279</v>
      </c>
      <c r="M33" s="2738" t="s">
        <v>2280</v>
      </c>
      <c r="N33" s="2738" t="s">
        <v>1952</v>
      </c>
      <c r="O33" s="2738" t="s">
        <v>2281</v>
      </c>
      <c r="P33" s="2738" t="s">
        <v>2282</v>
      </c>
      <c r="Q33" s="2738" t="s">
        <v>1249</v>
      </c>
      <c r="R33" s="2738" t="s">
        <v>1249</v>
      </c>
      <c r="S33" s="2738" t="s">
        <v>1249</v>
      </c>
      <c r="T33" s="2738" t="s">
        <v>1249</v>
      </c>
    </row>
    <row r="34" spans="1:20">
      <c r="A34" s="2842" t="s">
        <v>2225</v>
      </c>
      <c r="B34" s="2842" t="s">
        <v>2082</v>
      </c>
      <c r="C34" s="2738" t="s">
        <v>2154</v>
      </c>
      <c r="D34" s="2738" t="s">
        <v>1923</v>
      </c>
      <c r="E34" s="2738" t="s">
        <v>2283</v>
      </c>
      <c r="F34" s="2738" t="s">
        <v>2284</v>
      </c>
      <c r="G34" s="2738" t="s">
        <v>2285</v>
      </c>
      <c r="H34" s="2738" t="s">
        <v>2286</v>
      </c>
      <c r="I34" s="2738" t="s">
        <v>2287</v>
      </c>
      <c r="J34" s="2738" t="s">
        <v>1994</v>
      </c>
      <c r="K34" s="2738" t="s">
        <v>2288</v>
      </c>
      <c r="L34" s="2738" t="s">
        <v>2289</v>
      </c>
      <c r="M34" s="2738" t="s">
        <v>2290</v>
      </c>
      <c r="N34" s="2738" t="s">
        <v>2291</v>
      </c>
      <c r="O34" s="2738" t="s">
        <v>2292</v>
      </c>
      <c r="P34" s="2738" t="s">
        <v>2293</v>
      </c>
      <c r="Q34" s="2738" t="s">
        <v>1249</v>
      </c>
      <c r="R34" s="2738" t="s">
        <v>1249</v>
      </c>
      <c r="S34" s="2738" t="s">
        <v>1249</v>
      </c>
      <c r="T34" s="2738" t="s">
        <v>1249</v>
      </c>
    </row>
    <row r="35" spans="1:20">
      <c r="A35" s="2842" t="s">
        <v>2225</v>
      </c>
      <c r="B35" s="2842" t="s">
        <v>2082</v>
      </c>
      <c r="C35" s="2738" t="s">
        <v>2166</v>
      </c>
      <c r="D35" s="2738" t="s">
        <v>1923</v>
      </c>
      <c r="E35" s="2738" t="s">
        <v>2294</v>
      </c>
      <c r="F35" s="2738" t="s">
        <v>2295</v>
      </c>
      <c r="G35" s="2738" t="s">
        <v>2296</v>
      </c>
      <c r="H35" s="2738" t="s">
        <v>2297</v>
      </c>
      <c r="I35" s="2738" t="s">
        <v>2298</v>
      </c>
      <c r="J35" s="2738" t="s">
        <v>2299</v>
      </c>
      <c r="K35" s="2738" t="s">
        <v>2300</v>
      </c>
      <c r="L35" s="2738" t="s">
        <v>2162</v>
      </c>
      <c r="M35" s="2738" t="s">
        <v>2301</v>
      </c>
      <c r="N35" s="2738" t="s">
        <v>2302</v>
      </c>
      <c r="O35" s="2738" t="s">
        <v>2303</v>
      </c>
      <c r="P35" s="2738" t="s">
        <v>2304</v>
      </c>
      <c r="Q35" s="2738" t="s">
        <v>1249</v>
      </c>
      <c r="R35" s="2738" t="s">
        <v>1249</v>
      </c>
      <c r="S35" s="2738" t="s">
        <v>1249</v>
      </c>
      <c r="T35" s="2738" t="s">
        <v>1249</v>
      </c>
    </row>
    <row r="36" spans="1:20">
      <c r="A36" s="2842" t="s">
        <v>2225</v>
      </c>
      <c r="B36" s="2842" t="s">
        <v>2082</v>
      </c>
      <c r="C36" s="2738" t="s">
        <v>2129</v>
      </c>
      <c r="D36" s="2738" t="s">
        <v>1923</v>
      </c>
      <c r="E36" s="2738" t="s">
        <v>2305</v>
      </c>
      <c r="F36" s="2738" t="s">
        <v>2306</v>
      </c>
      <c r="G36" s="2738" t="s">
        <v>2276</v>
      </c>
      <c r="H36" s="2738" t="s">
        <v>2091</v>
      </c>
      <c r="I36" s="2738" t="s">
        <v>2099</v>
      </c>
      <c r="J36" s="2738" t="s">
        <v>2307</v>
      </c>
      <c r="K36" s="2738" t="s">
        <v>2308</v>
      </c>
      <c r="L36" s="2738" t="s">
        <v>2309</v>
      </c>
      <c r="M36" s="2738" t="s">
        <v>2310</v>
      </c>
      <c r="N36" s="2738" t="s">
        <v>2311</v>
      </c>
      <c r="O36" s="2738" t="s">
        <v>2312</v>
      </c>
      <c r="P36" s="2738" t="s">
        <v>2313</v>
      </c>
      <c r="Q36" s="2738" t="s">
        <v>1249</v>
      </c>
      <c r="R36" s="2738" t="s">
        <v>1249</v>
      </c>
      <c r="S36" s="2738" t="s">
        <v>1249</v>
      </c>
      <c r="T36" s="2738" t="s">
        <v>1249</v>
      </c>
    </row>
    <row r="37" spans="1:20">
      <c r="A37" s="2842" t="s">
        <v>2225</v>
      </c>
      <c r="B37" s="2842" t="s">
        <v>2082</v>
      </c>
      <c r="C37" s="2738" t="s">
        <v>2187</v>
      </c>
      <c r="D37" s="2738" t="s">
        <v>1923</v>
      </c>
      <c r="E37" s="2738" t="s">
        <v>2314</v>
      </c>
      <c r="F37" s="2738" t="s">
        <v>2315</v>
      </c>
      <c r="G37" s="2738" t="s">
        <v>2316</v>
      </c>
      <c r="H37" s="2738" t="s">
        <v>2317</v>
      </c>
      <c r="I37" s="2738" t="s">
        <v>2318</v>
      </c>
      <c r="J37" s="2738" t="s">
        <v>2319</v>
      </c>
      <c r="K37" s="2738" t="s">
        <v>2320</v>
      </c>
      <c r="L37" s="2738" t="s">
        <v>2321</v>
      </c>
      <c r="M37" s="2738" t="s">
        <v>2322</v>
      </c>
      <c r="N37" s="2738" t="s">
        <v>2323</v>
      </c>
      <c r="O37" s="2738" t="s">
        <v>2324</v>
      </c>
      <c r="P37" s="2738" t="s">
        <v>2325</v>
      </c>
      <c r="Q37" s="2738" t="s">
        <v>1249</v>
      </c>
      <c r="R37" s="2738" t="s">
        <v>1249</v>
      </c>
      <c r="S37" s="2738" t="s">
        <v>1249</v>
      </c>
      <c r="T37" s="2738" t="s">
        <v>1249</v>
      </c>
    </row>
    <row r="38" spans="1:20">
      <c r="A38" s="2842" t="s">
        <v>2225</v>
      </c>
      <c r="B38" s="2842" t="s">
        <v>2082</v>
      </c>
      <c r="C38" s="2738" t="s">
        <v>2199</v>
      </c>
      <c r="D38" s="2738" t="s">
        <v>1923</v>
      </c>
      <c r="E38" s="2738" t="s">
        <v>2326</v>
      </c>
      <c r="F38" s="2738" t="s">
        <v>2006</v>
      </c>
      <c r="G38" s="2738" t="s">
        <v>2327</v>
      </c>
      <c r="H38" s="2738" t="s">
        <v>2328</v>
      </c>
      <c r="I38" s="2738" t="s">
        <v>2329</v>
      </c>
      <c r="J38" s="2738" t="s">
        <v>2330</v>
      </c>
      <c r="K38" s="2738" t="s">
        <v>2331</v>
      </c>
      <c r="L38" s="2738" t="s">
        <v>2332</v>
      </c>
      <c r="M38" s="2738" t="s">
        <v>2333</v>
      </c>
      <c r="N38" s="2738" t="s">
        <v>2334</v>
      </c>
      <c r="O38" s="2738" t="s">
        <v>2335</v>
      </c>
      <c r="P38" s="2738" t="s">
        <v>2336</v>
      </c>
      <c r="Q38" s="2738" t="s">
        <v>1249</v>
      </c>
      <c r="R38" s="2738" t="s">
        <v>1249</v>
      </c>
      <c r="S38" s="2738" t="s">
        <v>1249</v>
      </c>
      <c r="T38" s="2738" t="s">
        <v>1249</v>
      </c>
    </row>
    <row r="39" spans="1:20">
      <c r="A39" s="2842" t="s">
        <v>2225</v>
      </c>
      <c r="B39" s="2842" t="s">
        <v>2082</v>
      </c>
      <c r="C39" s="2738" t="s">
        <v>2337</v>
      </c>
      <c r="D39" s="2738" t="s">
        <v>1923</v>
      </c>
      <c r="E39" s="2738" t="s">
        <v>2338</v>
      </c>
      <c r="F39" s="2738" t="s">
        <v>2339</v>
      </c>
      <c r="G39" s="2738" t="s">
        <v>2340</v>
      </c>
      <c r="H39" s="2738" t="s">
        <v>2341</v>
      </c>
      <c r="I39" s="2738" t="s">
        <v>2342</v>
      </c>
      <c r="J39" s="2738" t="s">
        <v>2343</v>
      </c>
      <c r="K39" s="2738" t="s">
        <v>2344</v>
      </c>
      <c r="L39" s="2738" t="s">
        <v>2345</v>
      </c>
      <c r="M39" s="2738" t="s">
        <v>2346</v>
      </c>
      <c r="N39" s="2738" t="s">
        <v>2347</v>
      </c>
      <c r="O39" s="2738" t="s">
        <v>2348</v>
      </c>
      <c r="P39" s="2738" t="s">
        <v>2349</v>
      </c>
      <c r="Q39" s="2738" t="s">
        <v>1249</v>
      </c>
      <c r="R39" s="2738" t="s">
        <v>1249</v>
      </c>
      <c r="S39" s="2738" t="s">
        <v>1249</v>
      </c>
      <c r="T39" s="2738" t="s">
        <v>1249</v>
      </c>
    </row>
    <row r="40" spans="1:20">
      <c r="A40" s="2842" t="s">
        <v>2225</v>
      </c>
      <c r="B40" s="2842" t="s">
        <v>2082</v>
      </c>
      <c r="C40" s="2738" t="s">
        <v>2350</v>
      </c>
      <c r="D40" s="2738" t="s">
        <v>1923</v>
      </c>
      <c r="E40" s="2738" t="s">
        <v>2351</v>
      </c>
      <c r="F40" s="2738" t="s">
        <v>2352</v>
      </c>
      <c r="G40" s="2738" t="s">
        <v>2353</v>
      </c>
      <c r="H40" s="2738" t="s">
        <v>2354</v>
      </c>
      <c r="I40" s="2738" t="s">
        <v>2355</v>
      </c>
      <c r="J40" s="2738" t="s">
        <v>2356</v>
      </c>
      <c r="K40" s="2738" t="s">
        <v>2357</v>
      </c>
      <c r="L40" s="2738" t="s">
        <v>2358</v>
      </c>
      <c r="M40" s="2738" t="s">
        <v>2359</v>
      </c>
      <c r="N40" s="2738" t="s">
        <v>2360</v>
      </c>
      <c r="O40" s="2738" t="s">
        <v>2361</v>
      </c>
      <c r="P40" s="2738" t="s">
        <v>2362</v>
      </c>
      <c r="Q40" s="2738" t="s">
        <v>1249</v>
      </c>
      <c r="R40" s="2738" t="s">
        <v>1249</v>
      </c>
      <c r="S40" s="2738" t="s">
        <v>1249</v>
      </c>
      <c r="T40" s="2738" t="s">
        <v>1249</v>
      </c>
    </row>
    <row r="41" spans="1:20">
      <c r="A41" s="2842" t="s">
        <v>2225</v>
      </c>
      <c r="B41" s="2842" t="s">
        <v>2082</v>
      </c>
      <c r="C41" s="2738" t="s">
        <v>2363</v>
      </c>
      <c r="D41" s="2738" t="s">
        <v>1923</v>
      </c>
      <c r="E41" s="2738" t="s">
        <v>2364</v>
      </c>
      <c r="F41" s="2738" t="s">
        <v>2365</v>
      </c>
      <c r="G41" s="2738" t="s">
        <v>2366</v>
      </c>
      <c r="H41" s="2738" t="s">
        <v>2367</v>
      </c>
      <c r="I41" s="2738" t="s">
        <v>2368</v>
      </c>
      <c r="J41" s="2738" t="s">
        <v>2369</v>
      </c>
      <c r="K41" s="2738" t="s">
        <v>2370</v>
      </c>
      <c r="L41" s="2738" t="s">
        <v>2371</v>
      </c>
      <c r="M41" s="2738" t="s">
        <v>2372</v>
      </c>
      <c r="N41" s="2738" t="s">
        <v>2373</v>
      </c>
      <c r="O41" s="2738" t="s">
        <v>2374</v>
      </c>
      <c r="P41" s="2738" t="s">
        <v>2375</v>
      </c>
      <c r="Q41" s="2738" t="s">
        <v>1249</v>
      </c>
      <c r="R41" s="2738" t="s">
        <v>1249</v>
      </c>
      <c r="S41" s="2738" t="s">
        <v>1249</v>
      </c>
      <c r="T41" s="2738" t="s">
        <v>1249</v>
      </c>
    </row>
    <row r="42" spans="1:20">
      <c r="A42" s="2842" t="s">
        <v>2376</v>
      </c>
      <c r="B42" s="2842" t="s">
        <v>2082</v>
      </c>
      <c r="C42" s="2738" t="s">
        <v>1998</v>
      </c>
      <c r="D42" s="2738" t="s">
        <v>1923</v>
      </c>
      <c r="E42" s="2738" t="s">
        <v>2377</v>
      </c>
      <c r="F42" s="2738" t="s">
        <v>2378</v>
      </c>
      <c r="G42" s="2738" t="s">
        <v>2379</v>
      </c>
      <c r="H42" s="2738" t="s">
        <v>2380</v>
      </c>
      <c r="I42" s="2738" t="s">
        <v>2381</v>
      </c>
      <c r="J42" s="2738" t="s">
        <v>2382</v>
      </c>
      <c r="K42" s="2738" t="s">
        <v>2077</v>
      </c>
      <c r="L42" s="2738" t="s">
        <v>2383</v>
      </c>
      <c r="M42" s="2738" t="s">
        <v>2384</v>
      </c>
      <c r="N42" s="2738" t="s">
        <v>2385</v>
      </c>
      <c r="O42" s="2738" t="s">
        <v>2386</v>
      </c>
      <c r="P42" s="2738" t="s">
        <v>2387</v>
      </c>
      <c r="Q42" s="2738" t="s">
        <v>1249</v>
      </c>
      <c r="R42" s="2738" t="s">
        <v>1249</v>
      </c>
      <c r="S42" s="2738" t="s">
        <v>1249</v>
      </c>
      <c r="T42" s="2738" t="s">
        <v>1249</v>
      </c>
    </row>
    <row r="43" spans="1:20">
      <c r="A43" s="2842" t="s">
        <v>2376</v>
      </c>
      <c r="B43" s="2842" t="s">
        <v>2082</v>
      </c>
      <c r="C43" s="2738" t="s">
        <v>2028</v>
      </c>
      <c r="D43" s="2738" t="s">
        <v>1923</v>
      </c>
      <c r="E43" s="2738" t="s">
        <v>2388</v>
      </c>
      <c r="F43" s="2738" t="s">
        <v>2389</v>
      </c>
      <c r="G43" s="2738" t="s">
        <v>2390</v>
      </c>
      <c r="H43" s="2738" t="s">
        <v>2391</v>
      </c>
      <c r="I43" s="2738" t="s">
        <v>2392</v>
      </c>
      <c r="J43" s="2738" t="s">
        <v>2393</v>
      </c>
      <c r="K43" s="2738" t="s">
        <v>1997</v>
      </c>
      <c r="L43" s="2738" t="s">
        <v>2394</v>
      </c>
      <c r="M43" s="2738" t="s">
        <v>2395</v>
      </c>
      <c r="N43" s="2738" t="s">
        <v>2396</v>
      </c>
      <c r="O43" s="2738" t="s">
        <v>2258</v>
      </c>
      <c r="P43" s="2738" t="s">
        <v>2397</v>
      </c>
      <c r="Q43" s="2738" t="s">
        <v>1249</v>
      </c>
      <c r="R43" s="2738" t="s">
        <v>1249</v>
      </c>
      <c r="S43" s="2738" t="s">
        <v>1249</v>
      </c>
      <c r="T43" s="2738" t="s">
        <v>1249</v>
      </c>
    </row>
    <row r="44" spans="1:20">
      <c r="A44" s="2842" t="s">
        <v>2376</v>
      </c>
      <c r="B44" s="2842" t="s">
        <v>2082</v>
      </c>
      <c r="C44" s="2738" t="s">
        <v>2129</v>
      </c>
      <c r="D44" s="2738" t="s">
        <v>1923</v>
      </c>
      <c r="E44" s="2738" t="s">
        <v>2398</v>
      </c>
      <c r="F44" s="2738" t="s">
        <v>2399</v>
      </c>
      <c r="G44" s="2738" t="s">
        <v>2400</v>
      </c>
      <c r="H44" s="2738" t="s">
        <v>2401</v>
      </c>
      <c r="I44" s="2738" t="s">
        <v>2402</v>
      </c>
      <c r="J44" s="2738" t="s">
        <v>2403</v>
      </c>
      <c r="K44" s="2738" t="s">
        <v>2404</v>
      </c>
      <c r="L44" s="2738" t="s">
        <v>2405</v>
      </c>
      <c r="M44" s="2738" t="s">
        <v>2406</v>
      </c>
      <c r="N44" s="2738" t="s">
        <v>2407</v>
      </c>
      <c r="O44" s="2738" t="s">
        <v>2408</v>
      </c>
      <c r="P44" s="2738" t="s">
        <v>2409</v>
      </c>
      <c r="Q44" s="2738" t="s">
        <v>1249</v>
      </c>
      <c r="R44" s="2738" t="s">
        <v>1249</v>
      </c>
      <c r="S44" s="2738" t="s">
        <v>1249</v>
      </c>
      <c r="T44" s="2738" t="s">
        <v>1249</v>
      </c>
    </row>
    <row r="45" spans="1:20">
      <c r="A45" s="2842" t="s">
        <v>2376</v>
      </c>
      <c r="B45" s="2842" t="s">
        <v>2082</v>
      </c>
      <c r="C45" s="2738" t="s">
        <v>2187</v>
      </c>
      <c r="D45" s="2738" t="s">
        <v>1923</v>
      </c>
      <c r="E45" s="2738" t="s">
        <v>2410</v>
      </c>
      <c r="F45" s="2738" t="s">
        <v>2411</v>
      </c>
      <c r="G45" s="2738" t="s">
        <v>2412</v>
      </c>
      <c r="H45" s="2738" t="s">
        <v>2413</v>
      </c>
      <c r="I45" s="2738" t="s">
        <v>2414</v>
      </c>
      <c r="J45" s="2738" t="s">
        <v>2415</v>
      </c>
      <c r="K45" s="2738" t="s">
        <v>2416</v>
      </c>
      <c r="L45" s="2738" t="s">
        <v>2417</v>
      </c>
      <c r="M45" s="2738" t="s">
        <v>2418</v>
      </c>
      <c r="N45" s="2738" t="s">
        <v>2419</v>
      </c>
      <c r="O45" s="2738" t="s">
        <v>2420</v>
      </c>
      <c r="P45" s="2738" t="s">
        <v>2421</v>
      </c>
      <c r="Q45" s="2738" t="s">
        <v>1249</v>
      </c>
      <c r="R45" s="2738" t="s">
        <v>1249</v>
      </c>
      <c r="S45" s="2738" t="s">
        <v>1249</v>
      </c>
      <c r="T45" s="2738" t="s">
        <v>1249</v>
      </c>
    </row>
    <row r="46" spans="1:20">
      <c r="A46" s="2842" t="s">
        <v>2376</v>
      </c>
      <c r="B46" s="2842" t="s">
        <v>2082</v>
      </c>
      <c r="C46" s="2738" t="s">
        <v>2199</v>
      </c>
      <c r="D46" s="2738" t="s">
        <v>1923</v>
      </c>
      <c r="E46" s="2738" t="s">
        <v>2422</v>
      </c>
      <c r="F46" s="2738" t="s">
        <v>2423</v>
      </c>
      <c r="G46" s="2738" t="s">
        <v>2424</v>
      </c>
      <c r="H46" s="2738" t="s">
        <v>2425</v>
      </c>
      <c r="I46" s="2738" t="s">
        <v>2426</v>
      </c>
      <c r="J46" s="2738" t="s">
        <v>2427</v>
      </c>
      <c r="K46" s="2738" t="s">
        <v>2428</v>
      </c>
      <c r="L46" s="2738" t="s">
        <v>2429</v>
      </c>
      <c r="M46" s="2738" t="s">
        <v>2430</v>
      </c>
      <c r="N46" s="2738" t="s">
        <v>2431</v>
      </c>
      <c r="O46" s="2738" t="s">
        <v>2432</v>
      </c>
      <c r="P46" s="2738" t="s">
        <v>2433</v>
      </c>
      <c r="Q46" s="2738" t="s">
        <v>1249</v>
      </c>
      <c r="R46" s="2738" t="s">
        <v>1249</v>
      </c>
      <c r="S46" s="2738" t="s">
        <v>1249</v>
      </c>
      <c r="T46" s="2738" t="s">
        <v>1249</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4"/>
    <col min="2" max="2" width="26" style="2314" bestFit="1" customWidth="1"/>
    <col min="3" max="3" width="6.75" style="2314" bestFit="1" customWidth="1"/>
    <col min="4" max="4" width="10.875" style="2314" bestFit="1" customWidth="1"/>
    <col min="5" max="5" width="7" style="2314" bestFit="1" customWidth="1"/>
    <col min="6" max="6" width="7.75" style="2314" bestFit="1" customWidth="1"/>
    <col min="7" max="7" width="10.375" style="2314" bestFit="1" customWidth="1"/>
    <col min="8" max="8" width="6.5" style="2314" bestFit="1" customWidth="1"/>
    <col min="9" max="10" width="8.5" style="2314" bestFit="1" customWidth="1"/>
    <col min="11" max="11" width="9.5" style="2314" customWidth="1"/>
    <col min="12" max="16384" width="9" style="2314"/>
  </cols>
  <sheetData>
    <row r="2" spans="2:14">
      <c r="B2" s="2316" t="s">
        <v>1525</v>
      </c>
      <c r="C2" s="2317"/>
    </row>
    <row r="3" spans="2:14">
      <c r="B3" s="2316" t="s">
        <v>1478</v>
      </c>
      <c r="C3" s="2376">
        <f>'A&amp;R'!P32*1000</f>
        <v>160000000000</v>
      </c>
      <c r="D3" s="2314" t="s">
        <v>1526</v>
      </c>
    </row>
    <row r="4" spans="2:14">
      <c r="B4" s="2316" t="s">
        <v>1527</v>
      </c>
      <c r="C4" s="2375">
        <f>'A&amp;R'!Q32</f>
        <v>4.7750000000000001E-2</v>
      </c>
      <c r="D4" s="2314" t="s">
        <v>1528</v>
      </c>
    </row>
    <row r="5" spans="2:14">
      <c r="B5" s="2316" t="s">
        <v>1529</v>
      </c>
      <c r="C5" s="2318">
        <f>'A&amp;R'!S32</f>
        <v>5.5E-2</v>
      </c>
      <c r="D5" s="2314" t="s">
        <v>1530</v>
      </c>
    </row>
    <row r="6" spans="2:14">
      <c r="B6" s="2316" t="s">
        <v>1531</v>
      </c>
      <c r="C6" s="2377">
        <f>C3*C4</f>
        <v>7640000000</v>
      </c>
      <c r="D6" s="2314" t="s">
        <v>1526</v>
      </c>
    </row>
    <row r="8" spans="2:14">
      <c r="B8" s="2319" t="s">
        <v>1532</v>
      </c>
      <c r="C8" s="2319"/>
      <c r="D8" s="2319"/>
      <c r="E8" s="2319"/>
      <c r="F8" s="2319"/>
      <c r="G8" s="2319"/>
      <c r="H8" s="2319"/>
      <c r="I8" s="2319"/>
      <c r="J8" s="2319"/>
      <c r="K8" s="2319"/>
    </row>
    <row r="9" spans="2:14">
      <c r="B9" s="2320" t="s">
        <v>620</v>
      </c>
      <c r="C9" s="2321" t="s">
        <v>1474</v>
      </c>
      <c r="D9" s="2321" t="s">
        <v>1245</v>
      </c>
      <c r="E9" s="2321">
        <v>1</v>
      </c>
      <c r="F9" s="2321">
        <v>2</v>
      </c>
      <c r="G9" s="2321">
        <v>3</v>
      </c>
      <c r="H9" s="2321">
        <v>4</v>
      </c>
      <c r="I9" s="2321">
        <v>5</v>
      </c>
      <c r="J9" s="2321">
        <v>6</v>
      </c>
      <c r="K9" s="2321">
        <v>7</v>
      </c>
      <c r="L9" s="2314">
        <v>8</v>
      </c>
      <c r="M9" s="2314">
        <v>9</v>
      </c>
      <c r="N9" s="2314">
        <v>10</v>
      </c>
    </row>
    <row r="10" spans="2:14">
      <c r="B10" s="2320" t="s">
        <v>1533</v>
      </c>
      <c r="C10" s="2321">
        <f>SUM(E10:N10)</f>
        <v>150204.86780054579</v>
      </c>
      <c r="D10" s="2321">
        <f>MIN(E10:N10)</f>
        <v>9076.1890386719206</v>
      </c>
      <c r="E10" s="2321">
        <f>IM!C64</f>
        <v>13105.364981746541</v>
      </c>
      <c r="F10" s="2321">
        <f>IM!C65</f>
        <v>13461.7863858647</v>
      </c>
      <c r="G10" s="2321">
        <f>IM!C66</f>
        <v>9076.1890386719206</v>
      </c>
      <c r="H10" s="2321">
        <f>IM!C67</f>
        <v>15215.117979256875</v>
      </c>
      <c r="I10" s="2321">
        <f>IM!C68</f>
        <v>15697.676364089473</v>
      </c>
      <c r="J10" s="2321">
        <f>IM!C69</f>
        <v>16136.820383685998</v>
      </c>
      <c r="K10" s="2321">
        <f>IM!C70</f>
        <v>16586.222341373079</v>
      </c>
      <c r="L10" s="2324">
        <f>IM!C71</f>
        <v>16147.668438126142</v>
      </c>
      <c r="M10" s="2324">
        <f>IM!C72</f>
        <v>17105.485515483077</v>
      </c>
      <c r="N10" s="2324">
        <f>IM!C73</f>
        <v>17672.536372248</v>
      </c>
    </row>
    <row r="11" spans="2:14">
      <c r="B11" s="2320" t="s">
        <v>1534</v>
      </c>
      <c r="C11" s="2378">
        <f>SUM(E11:N11)</f>
        <v>306877</v>
      </c>
      <c r="D11" s="2378">
        <f>MIN(E11:N11)</f>
        <v>7640</v>
      </c>
      <c r="E11" s="2378">
        <f>IM!D64</f>
        <v>7640</v>
      </c>
      <c r="F11" s="2378">
        <f>IM!D65</f>
        <v>7640</v>
      </c>
      <c r="G11" s="2378">
        <f>IM!D66</f>
        <v>10224</v>
      </c>
      <c r="H11" s="2378">
        <f>IM!D67</f>
        <v>10224</v>
      </c>
      <c r="I11" s="2378">
        <f>IM!D68</f>
        <v>10224</v>
      </c>
      <c r="J11" s="2378">
        <f>IM!D69</f>
        <v>9585</v>
      </c>
      <c r="K11" s="2378">
        <f>IM!D70</f>
        <v>9585</v>
      </c>
      <c r="L11" s="2324">
        <f>IM!D71</f>
        <v>9585</v>
      </c>
      <c r="M11" s="2324">
        <f>IM!D72</f>
        <v>9585</v>
      </c>
      <c r="N11" s="2324">
        <f>IM!D73</f>
        <v>222585</v>
      </c>
    </row>
    <row r="12" spans="2:14">
      <c r="B12" s="2320" t="s">
        <v>1479</v>
      </c>
      <c r="C12" s="2379">
        <f>AVERAGE(E12:N12)</f>
        <v>1.4351333779413249</v>
      </c>
      <c r="D12" s="2379">
        <f>MIN(E12:N12)</f>
        <v>7.9396798401725185E-2</v>
      </c>
      <c r="E12" s="2379">
        <f>IM!E64</f>
        <v>1.7153619086055683</v>
      </c>
      <c r="F12" s="2379">
        <f>IM!E65</f>
        <v>1.7620139248514004</v>
      </c>
      <c r="G12" s="2379">
        <f>IM!E66</f>
        <v>0.8877336696666589</v>
      </c>
      <c r="H12" s="2379">
        <f>IM!E67</f>
        <v>1.4881766411636224</v>
      </c>
      <c r="I12" s="2379">
        <f>IM!E68</f>
        <v>1.5353752312294087</v>
      </c>
      <c r="J12" s="2379">
        <f>IM!E69</f>
        <v>1.683549335804486</v>
      </c>
      <c r="K12" s="2379">
        <f>IM!E70</f>
        <v>1.7304352990477911</v>
      </c>
      <c r="L12" s="2380">
        <f>IM!E71</f>
        <v>1.6846811098723153</v>
      </c>
      <c r="M12" s="2380">
        <f>IM!E72</f>
        <v>1.7846098607702741</v>
      </c>
      <c r="N12" s="2380">
        <f>IM!E73</f>
        <v>7.9396798401725185E-2</v>
      </c>
    </row>
    <row r="13" spans="2:14">
      <c r="B13" s="2320"/>
      <c r="C13" s="2323"/>
      <c r="D13" s="2321"/>
      <c r="E13" s="2321"/>
      <c r="F13" s="2321"/>
      <c r="G13" s="2321"/>
      <c r="H13" s="2321"/>
      <c r="I13" s="2321"/>
      <c r="J13" s="2321"/>
      <c r="K13" s="2321"/>
    </row>
    <row r="14" spans="2:14">
      <c r="B14" s="2320" t="s">
        <v>1676</v>
      </c>
      <c r="C14" s="2323"/>
      <c r="D14" s="2321"/>
      <c r="E14" s="2321"/>
      <c r="F14" s="2321"/>
      <c r="G14" s="2321"/>
      <c r="H14" s="2321"/>
      <c r="I14" s="2321"/>
      <c r="J14" s="2321"/>
      <c r="K14" s="2321"/>
    </row>
    <row r="15" spans="2:14">
      <c r="B15" s="2320"/>
      <c r="C15" s="2322"/>
      <c r="D15" s="2322"/>
      <c r="E15" s="2322"/>
      <c r="F15" s="2322"/>
      <c r="G15" s="2322"/>
      <c r="H15" s="2322"/>
      <c r="I15" s="2322"/>
      <c r="J15" s="2322"/>
      <c r="K15" s="2322"/>
    </row>
    <row r="25" spans="2:11" ht="15" customHeight="1"/>
    <row r="26" spans="2:11" ht="15" customHeight="1"/>
    <row r="32" spans="2:11" ht="15" customHeight="1">
      <c r="B32" s="2845"/>
      <c r="C32" s="2845"/>
      <c r="D32" s="2333"/>
      <c r="E32" s="2325"/>
      <c r="G32" s="2843"/>
      <c r="H32" s="2843"/>
      <c r="I32" s="2326"/>
      <c r="J32" s="2327"/>
      <c r="K32" s="2331"/>
    </row>
    <row r="33" spans="2:11" ht="23.25">
      <c r="B33" s="2329"/>
      <c r="C33" s="2334"/>
      <c r="D33" s="2335"/>
      <c r="E33" s="2325"/>
      <c r="G33" s="2843"/>
      <c r="H33" s="2843"/>
      <c r="I33" s="2326"/>
      <c r="J33" s="2328"/>
      <c r="K33" s="2331"/>
    </row>
    <row r="34" spans="2:11" ht="23.25">
      <c r="B34" s="2332"/>
      <c r="C34" s="2334"/>
      <c r="D34" s="2335"/>
      <c r="E34" s="2325"/>
      <c r="G34" s="2844"/>
      <c r="H34" s="2844"/>
      <c r="I34" s="2336"/>
      <c r="J34" s="2337"/>
      <c r="K34" s="2338"/>
    </row>
    <row r="35" spans="2:11" ht="15" customHeight="1">
      <c r="B35" s="2845"/>
      <c r="C35" s="2845"/>
      <c r="D35" s="2333"/>
      <c r="E35" s="2325"/>
    </row>
    <row r="36" spans="2:11" ht="23.25">
      <c r="B36" s="2329"/>
      <c r="C36" s="2330"/>
      <c r="D36" s="2339"/>
      <c r="E36" s="2325"/>
      <c r="H36" s="2340"/>
    </row>
    <row r="37" spans="2:11" ht="23.25">
      <c r="B37" s="2332"/>
      <c r="C37" s="2330"/>
      <c r="D37" s="2341"/>
      <c r="E37" s="2325"/>
      <c r="H37" s="2340"/>
    </row>
    <row r="38" spans="2:11" ht="15" customHeight="1">
      <c r="B38" s="2844"/>
      <c r="C38" s="2844"/>
      <c r="D38" s="2342"/>
      <c r="E38" s="2325"/>
      <c r="H38" s="2340"/>
    </row>
    <row r="39" spans="2:11" ht="15" customHeight="1">
      <c r="B39" s="2843"/>
      <c r="C39" s="2843"/>
      <c r="D39" s="2343"/>
      <c r="E39" s="2325"/>
      <c r="F39" s="2344"/>
    </row>
    <row r="40" spans="2:11" ht="15" customHeight="1">
      <c r="B40" s="2843"/>
      <c r="C40" s="2843"/>
      <c r="D40" s="2343"/>
      <c r="E40" s="2325"/>
      <c r="F40" s="2344"/>
    </row>
    <row r="41" spans="2:11" ht="15" customHeight="1">
      <c r="B41" s="2844"/>
      <c r="C41" s="2844"/>
      <c r="D41" s="2342"/>
      <c r="E41" s="2325"/>
      <c r="F41" s="2337"/>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4" customWidth="1"/>
    <col min="2" max="2" width="9" style="2314"/>
    <col min="3" max="3" width="8.875" style="2314" bestFit="1" customWidth="1"/>
    <col min="4" max="4" width="16.75" style="2314" customWidth="1"/>
    <col min="5" max="5" width="14.875" style="2314" bestFit="1" customWidth="1"/>
    <col min="6" max="7" width="9" style="2314"/>
    <col min="8" max="11" width="8.875" style="2314" customWidth="1"/>
    <col min="12" max="16384" width="9" style="2314"/>
  </cols>
  <sheetData>
    <row r="2" spans="2:16">
      <c r="B2" s="2345" t="s">
        <v>1480</v>
      </c>
      <c r="C2" s="2345"/>
      <c r="D2" s="2345"/>
      <c r="E2" s="2345"/>
      <c r="F2" s="2345"/>
      <c r="G2" s="2345"/>
      <c r="H2" s="2345"/>
      <c r="I2" s="2345"/>
      <c r="J2" s="2345"/>
      <c r="K2" s="2345"/>
      <c r="L2" s="2345"/>
    </row>
    <row r="3" spans="2:16" ht="12" thickBot="1"/>
    <row r="4" spans="2:16">
      <c r="B4" s="2346" t="s">
        <v>1481</v>
      </c>
      <c r="C4" s="2347" t="s">
        <v>1482</v>
      </c>
      <c r="D4" s="2347" t="s">
        <v>1483</v>
      </c>
      <c r="E4" s="2348" t="s">
        <v>1484</v>
      </c>
      <c r="F4" s="2846" t="s">
        <v>1485</v>
      </c>
      <c r="G4" s="2847"/>
      <c r="H4" s="2847"/>
      <c r="I4" s="2847"/>
      <c r="J4" s="2847"/>
      <c r="K4" s="2848"/>
      <c r="L4" s="2349" t="s">
        <v>264</v>
      </c>
      <c r="P4" s="2324"/>
    </row>
    <row r="5" spans="2:16">
      <c r="B5" s="2350"/>
      <c r="C5" s="2351"/>
      <c r="D5" s="2352"/>
      <c r="E5" s="2353"/>
      <c r="F5" s="2354"/>
      <c r="G5" s="2355"/>
      <c r="H5" s="2355"/>
      <c r="I5" s="2356"/>
      <c r="J5" s="2352"/>
      <c r="K5" s="2356"/>
      <c r="L5" s="2357"/>
      <c r="P5" s="2324"/>
    </row>
    <row r="6" spans="2:16">
      <c r="B6" s="2350"/>
      <c r="C6" s="2351"/>
      <c r="D6" s="2358"/>
      <c r="E6" s="2353"/>
      <c r="F6" s="2354"/>
      <c r="G6" s="2355"/>
      <c r="H6" s="2355"/>
      <c r="I6" s="2356"/>
      <c r="J6" s="2356"/>
      <c r="K6" s="2352"/>
      <c r="L6" s="2357"/>
      <c r="P6" s="2324"/>
    </row>
    <row r="7" spans="2:16">
      <c r="B7" s="2350"/>
      <c r="C7" s="2351"/>
      <c r="D7" s="2358"/>
      <c r="E7" s="2359"/>
      <c r="F7" s="2354"/>
      <c r="G7" s="2355"/>
      <c r="H7" s="2355"/>
      <c r="I7" s="2356"/>
      <c r="J7" s="2356"/>
      <c r="K7" s="2352"/>
      <c r="L7" s="2357"/>
      <c r="P7" s="2324"/>
    </row>
    <row r="8" spans="2:16">
      <c r="B8" s="2350"/>
      <c r="C8" s="2352"/>
      <c r="D8" s="2358"/>
      <c r="E8" s="2360"/>
      <c r="F8" s="2354"/>
      <c r="G8" s="2355"/>
      <c r="H8" s="2355"/>
      <c r="I8" s="2356"/>
      <c r="J8" s="2356"/>
      <c r="K8" s="2352"/>
      <c r="L8" s="2361"/>
    </row>
    <row r="9" spans="2:16">
      <c r="B9" s="2350"/>
      <c r="C9" s="2352"/>
      <c r="D9" s="2358"/>
      <c r="E9" s="2360"/>
      <c r="F9" s="2354"/>
      <c r="G9" s="2355"/>
      <c r="H9" s="2355"/>
      <c r="I9" s="2356"/>
      <c r="J9" s="2356"/>
      <c r="K9" s="2352"/>
      <c r="L9" s="2361"/>
      <c r="P9" s="2324"/>
    </row>
    <row r="10" spans="2:16">
      <c r="B10" s="2350"/>
      <c r="C10" s="2352"/>
      <c r="D10" s="2358"/>
      <c r="E10" s="2360"/>
      <c r="F10" s="2354"/>
      <c r="G10" s="2355"/>
      <c r="H10" s="2355"/>
      <c r="I10" s="2356"/>
      <c r="J10" s="2356"/>
      <c r="K10" s="2352"/>
      <c r="L10" s="2361"/>
    </row>
    <row r="11" spans="2:16">
      <c r="B11" s="2350"/>
      <c r="C11" s="2352"/>
      <c r="D11" s="2358"/>
      <c r="E11" s="2360"/>
      <c r="F11" s="2849"/>
      <c r="G11" s="2850"/>
      <c r="H11" s="2850"/>
      <c r="I11" s="2363"/>
      <c r="J11" s="2363"/>
      <c r="K11" s="2358"/>
      <c r="L11" s="2361"/>
    </row>
    <row r="12" spans="2:16">
      <c r="B12" s="2350"/>
      <c r="C12" s="2352"/>
      <c r="D12" s="2358"/>
      <c r="E12" s="2360"/>
      <c r="F12" s="2849"/>
      <c r="G12" s="2850"/>
      <c r="H12" s="2850"/>
      <c r="I12" s="2363"/>
      <c r="J12" s="2363"/>
      <c r="K12" s="2358"/>
      <c r="L12" s="2361"/>
    </row>
    <row r="13" spans="2:16">
      <c r="B13" s="2350"/>
      <c r="C13" s="2352"/>
      <c r="D13" s="2358"/>
      <c r="E13" s="2360"/>
      <c r="F13" s="2851"/>
      <c r="G13" s="2852"/>
      <c r="H13" s="2852"/>
      <c r="I13" s="2356"/>
      <c r="J13" s="2356"/>
      <c r="K13" s="2352"/>
      <c r="L13" s="2361"/>
    </row>
    <row r="14" spans="2:16">
      <c r="B14" s="2350"/>
      <c r="C14" s="2352"/>
      <c r="D14" s="2358"/>
      <c r="E14" s="2364"/>
      <c r="F14" s="2362"/>
      <c r="G14" s="2363"/>
      <c r="H14" s="2363"/>
      <c r="I14" s="2363"/>
      <c r="J14" s="2363"/>
      <c r="K14" s="2358"/>
      <c r="L14" s="2361"/>
      <c r="P14" s="2324"/>
    </row>
    <row r="15" spans="2:16">
      <c r="B15" s="2350"/>
      <c r="C15" s="2352"/>
      <c r="D15" s="2358"/>
      <c r="E15" s="2364"/>
      <c r="F15" s="2362"/>
      <c r="G15" s="2363"/>
      <c r="H15" s="2363"/>
      <c r="I15" s="2363"/>
      <c r="J15" s="2363"/>
      <c r="K15" s="2358"/>
      <c r="L15" s="2361"/>
      <c r="P15" s="2324"/>
    </row>
    <row r="16" spans="2:16">
      <c r="B16" s="2350"/>
      <c r="C16" s="2352"/>
      <c r="D16" s="2358"/>
      <c r="E16" s="2364"/>
      <c r="F16" s="2362"/>
      <c r="G16" s="2363"/>
      <c r="H16" s="2363"/>
      <c r="I16" s="2363"/>
      <c r="J16" s="2363"/>
      <c r="K16" s="2358"/>
      <c r="L16" s="2361"/>
      <c r="P16" s="2324"/>
    </row>
    <row r="17" spans="2:16">
      <c r="B17" s="2350"/>
      <c r="C17" s="2352"/>
      <c r="D17" s="2358"/>
      <c r="E17" s="2364"/>
      <c r="F17" s="2362"/>
      <c r="G17" s="2363"/>
      <c r="H17" s="2363"/>
      <c r="I17" s="2363"/>
      <c r="J17" s="2363"/>
      <c r="K17" s="2358"/>
      <c r="L17" s="2361"/>
    </row>
    <row r="18" spans="2:16">
      <c r="B18" s="2350"/>
      <c r="C18" s="2352"/>
      <c r="D18" s="2358"/>
      <c r="E18" s="2364"/>
      <c r="F18" s="2362"/>
      <c r="G18" s="2363"/>
      <c r="H18" s="2363"/>
      <c r="I18" s="2363"/>
      <c r="J18" s="2363"/>
      <c r="K18" s="2358"/>
      <c r="L18" s="2361"/>
    </row>
    <row r="19" spans="2:16">
      <c r="B19" s="2350"/>
      <c r="C19" s="2352"/>
      <c r="D19" s="2358"/>
      <c r="E19" s="2364"/>
      <c r="F19" s="2362"/>
      <c r="G19" s="2363"/>
      <c r="H19" s="2363"/>
      <c r="I19" s="2363"/>
      <c r="J19" s="2363"/>
      <c r="K19" s="2358"/>
      <c r="L19" s="2361"/>
      <c r="P19" s="2324"/>
    </row>
    <row r="20" spans="2:16">
      <c r="B20" s="2350"/>
      <c r="C20" s="2352"/>
      <c r="D20" s="2358"/>
      <c r="E20" s="2364"/>
      <c r="F20" s="2362"/>
      <c r="G20" s="2363"/>
      <c r="H20" s="2363"/>
      <c r="I20" s="2363"/>
      <c r="J20" s="2363"/>
      <c r="K20" s="2358"/>
      <c r="L20" s="2361"/>
      <c r="P20" s="2324"/>
    </row>
    <row r="21" spans="2:16">
      <c r="B21" s="2350"/>
      <c r="C21" s="2352"/>
      <c r="D21" s="2358"/>
      <c r="E21" s="2364"/>
      <c r="F21" s="2362"/>
      <c r="G21" s="2363"/>
      <c r="H21" s="2363"/>
      <c r="I21" s="2363"/>
      <c r="J21" s="2363"/>
      <c r="K21" s="2358"/>
      <c r="L21" s="2361"/>
      <c r="P21" s="2324"/>
    </row>
    <row r="22" spans="2:16">
      <c r="B22" s="2350"/>
      <c r="C22" s="2352"/>
      <c r="D22" s="2358"/>
      <c r="E22" s="2364"/>
      <c r="F22" s="2362"/>
      <c r="G22" s="2363"/>
      <c r="H22" s="2363"/>
      <c r="I22" s="2363"/>
      <c r="J22" s="2363"/>
      <c r="K22" s="2358"/>
      <c r="L22" s="2361"/>
    </row>
    <row r="23" spans="2:16" ht="12" thickBot="1">
      <c r="B23" s="2365"/>
      <c r="C23" s="2366"/>
      <c r="D23" s="2367"/>
      <c r="E23" s="2368"/>
      <c r="F23" s="2369"/>
      <c r="G23" s="2370"/>
      <c r="H23" s="2370"/>
      <c r="I23" s="2370"/>
      <c r="J23" s="2370"/>
      <c r="K23" s="2367"/>
      <c r="L23" s="2371"/>
    </row>
    <row r="24" spans="2:16">
      <c r="P24" s="2324"/>
    </row>
    <row r="25" spans="2:16">
      <c r="P25" s="2324"/>
    </row>
    <row r="26" spans="2:16">
      <c r="P26" s="2324"/>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8" customWidth="1"/>
    <col min="2" max="2" width="17.5" style="2198" customWidth="1"/>
    <col min="3" max="3" width="19.25" style="2198" customWidth="1"/>
    <col min="4" max="4" width="21" style="2198" customWidth="1"/>
    <col min="5" max="5" width="15.75" style="2198" customWidth="1"/>
    <col min="6" max="6" width="19.25" style="2198" customWidth="1"/>
    <col min="7" max="7" width="14" style="2198" customWidth="1"/>
    <col min="8" max="8" width="15.75" style="2198" customWidth="1"/>
    <col min="9" max="16384" width="7.625" style="2198"/>
  </cols>
  <sheetData>
    <row r="1" spans="1:8" ht="25.5" customHeight="1">
      <c r="A1" s="2863" t="s">
        <v>1280</v>
      </c>
      <c r="B1" s="2863"/>
      <c r="C1" s="2863"/>
      <c r="D1" s="2863"/>
      <c r="E1" s="2863"/>
      <c r="F1" s="2863"/>
      <c r="G1" s="2863"/>
      <c r="H1" s="2863"/>
    </row>
    <row r="2" spans="1:8" ht="13.5" customHeight="1">
      <c r="A2" s="2864" t="s">
        <v>1281</v>
      </c>
      <c r="B2" s="2864"/>
      <c r="C2" s="2864"/>
      <c r="D2" s="2864"/>
      <c r="E2" s="2864"/>
      <c r="F2" s="2864"/>
      <c r="G2" s="2864"/>
      <c r="H2" s="2864"/>
    </row>
    <row r="3" spans="1:8" ht="13.5" customHeight="1">
      <c r="A3" s="2865" t="s">
        <v>1282</v>
      </c>
      <c r="B3" s="2865"/>
      <c r="C3" s="2865"/>
      <c r="D3" s="2865"/>
      <c r="E3" s="2865"/>
      <c r="F3" s="2865"/>
      <c r="G3" s="2865"/>
      <c r="H3" s="2865"/>
    </row>
    <row r="5" spans="1:8" ht="19.5" customHeight="1">
      <c r="A5" s="2856" t="s">
        <v>1283</v>
      </c>
      <c r="B5" s="2856"/>
      <c r="C5" s="2856"/>
      <c r="D5" s="2856"/>
      <c r="E5" s="2856"/>
      <c r="F5" s="2856"/>
      <c r="G5" s="2856"/>
      <c r="H5" s="2856"/>
    </row>
    <row r="6" spans="1:8" ht="15" customHeight="1">
      <c r="A6" s="2199" t="s">
        <v>620</v>
      </c>
      <c r="B6" s="2199" t="s">
        <v>1284</v>
      </c>
      <c r="C6" s="2199" t="s">
        <v>1285</v>
      </c>
      <c r="D6" s="2199" t="s">
        <v>264</v>
      </c>
    </row>
    <row r="7" spans="1:8" ht="15" customHeight="1">
      <c r="A7" s="2200" t="s">
        <v>1286</v>
      </c>
      <c r="B7" s="2201">
        <v>160000</v>
      </c>
      <c r="C7" s="2202" t="s">
        <v>1287</v>
      </c>
      <c r="D7" s="2203" t="s">
        <v>1288</v>
      </c>
    </row>
    <row r="8" spans="1:8" ht="15" customHeight="1">
      <c r="A8" s="2200" t="s">
        <v>1289</v>
      </c>
      <c r="B8" s="2204">
        <v>24</v>
      </c>
      <c r="C8" s="2202" t="s">
        <v>1290</v>
      </c>
      <c r="D8" s="2203" t="s">
        <v>1291</v>
      </c>
    </row>
    <row r="9" spans="1:8" ht="15" customHeight="1">
      <c r="A9" s="2200" t="s">
        <v>1292</v>
      </c>
      <c r="B9" s="2205">
        <v>0.5</v>
      </c>
      <c r="C9" s="2206" t="s">
        <v>1293</v>
      </c>
      <c r="D9" s="2200" t="s">
        <v>1294</v>
      </c>
    </row>
    <row r="10" spans="1:8" ht="15" customHeight="1">
      <c r="A10" s="2200" t="s">
        <v>1295</v>
      </c>
      <c r="B10" s="2207">
        <v>5.5E-2</v>
      </c>
      <c r="C10" s="2206" t="s">
        <v>1293</v>
      </c>
      <c r="D10" s="2203" t="s">
        <v>1296</v>
      </c>
    </row>
    <row r="11" spans="1:8" ht="15" customHeight="1">
      <c r="A11" s="2200" t="s">
        <v>1297</v>
      </c>
      <c r="B11" s="2208">
        <v>1.5</v>
      </c>
      <c r="C11" s="2202" t="s">
        <v>1290</v>
      </c>
      <c r="D11" s="2203" t="s">
        <v>1298</v>
      </c>
    </row>
    <row r="13" spans="1:8" ht="19.5" customHeight="1">
      <c r="A13" s="2856" t="s">
        <v>1299</v>
      </c>
      <c r="B13" s="2856"/>
      <c r="C13" s="2856"/>
      <c r="D13" s="2856"/>
      <c r="E13" s="2856"/>
      <c r="F13" s="2856"/>
      <c r="G13" s="2856"/>
      <c r="H13" s="2856"/>
    </row>
    <row r="14" spans="1:8" ht="30" customHeight="1">
      <c r="A14" s="2209" t="s">
        <v>620</v>
      </c>
      <c r="B14" s="2209" t="s">
        <v>1300</v>
      </c>
      <c r="C14" s="2210" t="s">
        <v>1301</v>
      </c>
      <c r="D14" s="2210" t="s">
        <v>1302</v>
      </c>
      <c r="E14" s="2210" t="s">
        <v>1303</v>
      </c>
      <c r="F14" s="2209" t="s">
        <v>264</v>
      </c>
    </row>
    <row r="15" spans="1:8" ht="15" customHeight="1">
      <c r="A15" s="2211" t="s">
        <v>1304</v>
      </c>
      <c r="B15" s="2207">
        <v>5.5E-2</v>
      </c>
      <c r="C15" s="2207">
        <v>5.6000000000000001E-2</v>
      </c>
      <c r="D15" s="2207">
        <v>5.6000000000000001E-2</v>
      </c>
      <c r="E15" s="2206" t="s">
        <v>1249</v>
      </c>
      <c r="F15" s="2212" t="s">
        <v>1305</v>
      </c>
    </row>
    <row r="16" spans="1:8" ht="15" customHeight="1">
      <c r="A16" s="2211" t="s">
        <v>1306</v>
      </c>
      <c r="B16" s="2207">
        <v>0.05</v>
      </c>
      <c r="C16" s="2207">
        <v>0.05</v>
      </c>
      <c r="D16" s="2207">
        <v>0.05</v>
      </c>
      <c r="E16" s="2206" t="s">
        <v>1249</v>
      </c>
      <c r="F16" s="2212" t="s">
        <v>1307</v>
      </c>
    </row>
    <row r="17" spans="1:8" ht="15" customHeight="1">
      <c r="A17" s="2211" t="s">
        <v>1308</v>
      </c>
      <c r="B17" s="2206" t="s">
        <v>1249</v>
      </c>
      <c r="C17" s="2207">
        <v>4.9000000000000002E-2</v>
      </c>
      <c r="D17" s="2207">
        <v>5.0500000000000003E-2</v>
      </c>
      <c r="E17" s="2213">
        <f t="shared" ref="E17:E24" si="0">C17-D17</f>
        <v>-1.5000000000000013E-3</v>
      </c>
      <c r="F17" s="2214" t="s">
        <v>1309</v>
      </c>
    </row>
    <row r="18" spans="1:8" ht="15" customHeight="1">
      <c r="A18" s="2211" t="s">
        <v>1310</v>
      </c>
      <c r="B18" s="2206" t="s">
        <v>1249</v>
      </c>
      <c r="C18" s="2207">
        <v>4.2999999999999997E-2</v>
      </c>
      <c r="D18" s="2207">
        <v>4.5499999999999999E-2</v>
      </c>
      <c r="E18" s="2213">
        <f t="shared" si="0"/>
        <v>-2.5000000000000022E-3</v>
      </c>
      <c r="F18" s="2212" t="s">
        <v>1311</v>
      </c>
    </row>
    <row r="19" spans="1:8" ht="15" customHeight="1">
      <c r="A19" s="2215" t="s">
        <v>1312</v>
      </c>
      <c r="B19" s="2216">
        <f>B15</f>
        <v>5.5E-2</v>
      </c>
      <c r="C19" s="2216">
        <f>C15*$B$9+C17*(1-$B$9)</f>
        <v>5.2500000000000005E-2</v>
      </c>
      <c r="D19" s="2216">
        <f>D15*$B$9+D17*(1-$B$9)</f>
        <v>5.3250000000000006E-2</v>
      </c>
      <c r="E19" s="2216">
        <f t="shared" si="0"/>
        <v>-7.5000000000000067E-4</v>
      </c>
      <c r="F19" s="2217" t="s">
        <v>1313</v>
      </c>
    </row>
    <row r="20" spans="1:8" ht="15" customHeight="1">
      <c r="A20" s="2211" t="s">
        <v>1314</v>
      </c>
      <c r="B20" s="2213">
        <f>B16</f>
        <v>0.05</v>
      </c>
      <c r="C20" s="2213">
        <f>C16*$B$9+C18*(1-$B$9)</f>
        <v>4.65E-2</v>
      </c>
      <c r="D20" s="2213">
        <f>D16*$B$9+D18*(1-$B$9)</f>
        <v>4.7750000000000001E-2</v>
      </c>
      <c r="E20" s="2213">
        <f t="shared" si="0"/>
        <v>-1.2500000000000011E-3</v>
      </c>
      <c r="F20" s="2212" t="s">
        <v>1315</v>
      </c>
    </row>
    <row r="21" spans="1:8" ht="15" customHeight="1">
      <c r="A21" s="2211" t="s">
        <v>1316</v>
      </c>
      <c r="B21" s="2206" t="s">
        <v>1249</v>
      </c>
      <c r="C21" s="2218">
        <f>(C19-$B$10)*10000</f>
        <v>-24.999999999999954</v>
      </c>
      <c r="D21" s="2218">
        <f>(D19-$B$10)*10000</f>
        <v>-17.499999999999947</v>
      </c>
      <c r="E21" s="2219">
        <f t="shared" si="0"/>
        <v>-7.5000000000000071</v>
      </c>
      <c r="F21" s="2214" t="s">
        <v>1317</v>
      </c>
    </row>
    <row r="22" spans="1:8" ht="15" customHeight="1">
      <c r="A22" s="2211" t="s">
        <v>1318</v>
      </c>
      <c r="B22" s="2220">
        <f>$B$7*B19</f>
        <v>8800</v>
      </c>
      <c r="C22" s="2220">
        <f>$B$7*C19</f>
        <v>8400</v>
      </c>
      <c r="D22" s="2220">
        <f>$B$7*D19</f>
        <v>8520</v>
      </c>
      <c r="E22" s="2220">
        <f t="shared" si="0"/>
        <v>-120</v>
      </c>
      <c r="F22" s="2212" t="s">
        <v>1287</v>
      </c>
    </row>
    <row r="23" spans="1:8" ht="15" customHeight="1">
      <c r="A23" s="2211" t="s">
        <v>1319</v>
      </c>
      <c r="B23" s="2220">
        <f>B22*$B$8/12</f>
        <v>17600</v>
      </c>
      <c r="C23" s="2220">
        <f>C22*$B$8/12</f>
        <v>16800</v>
      </c>
      <c r="D23" s="2220">
        <f>D22*$B$8/12</f>
        <v>17040</v>
      </c>
      <c r="E23" s="2220">
        <f t="shared" si="0"/>
        <v>-240</v>
      </c>
      <c r="F23" s="2212" t="s">
        <v>1287</v>
      </c>
    </row>
    <row r="24" spans="1:8" ht="15" customHeight="1">
      <c r="A24" s="2215" t="s">
        <v>1320</v>
      </c>
      <c r="B24" s="2221" t="s">
        <v>1249</v>
      </c>
      <c r="C24" s="2222">
        <f>$B$23-C23</f>
        <v>800</v>
      </c>
      <c r="D24" s="2222">
        <f>$B$23-D23</f>
        <v>560</v>
      </c>
      <c r="E24" s="2222">
        <f t="shared" si="0"/>
        <v>240</v>
      </c>
      <c r="F24" s="2217" t="s">
        <v>1321</v>
      </c>
    </row>
    <row r="26" spans="1:8" ht="19.5" customHeight="1">
      <c r="A26" s="2856" t="s">
        <v>1322</v>
      </c>
      <c r="B26" s="2856"/>
      <c r="C26" s="2856"/>
      <c r="D26" s="2856"/>
      <c r="E26" s="2856"/>
      <c r="F26" s="2856"/>
      <c r="G26" s="2856"/>
      <c r="H26" s="2856"/>
    </row>
    <row r="27" spans="1:8" ht="15" customHeight="1">
      <c r="A27" s="2199" t="s">
        <v>620</v>
      </c>
      <c r="B27" s="2223" t="s">
        <v>1323</v>
      </c>
      <c r="C27" s="2223" t="s">
        <v>1324</v>
      </c>
      <c r="D27" s="2861" t="s">
        <v>1325</v>
      </c>
      <c r="E27" s="2861"/>
      <c r="F27" s="2861"/>
    </row>
    <row r="28" spans="1:8" ht="15" customHeight="1">
      <c r="A28" s="2211" t="s">
        <v>1326</v>
      </c>
      <c r="B28" s="2219">
        <f>(C16-C18)*10000</f>
        <v>70.000000000000057</v>
      </c>
      <c r="C28" s="2219">
        <f>(D16-D18)*10000</f>
        <v>45.000000000000043</v>
      </c>
      <c r="D28" s="2854" t="s">
        <v>1327</v>
      </c>
      <c r="E28" s="2854"/>
      <c r="F28" s="2854"/>
    </row>
    <row r="29" spans="1:8" ht="15" customHeight="1">
      <c r="A29" s="2211" t="s">
        <v>1328</v>
      </c>
      <c r="B29" s="2218">
        <f>($B$10-C19)/(1-$B$9)*10000</f>
        <v>49.999999999999908</v>
      </c>
      <c r="C29" s="2218">
        <f>($B$10-D19)/(1-$B$9)*10000</f>
        <v>34.999999999999893</v>
      </c>
      <c r="D29" s="2853" t="s">
        <v>1329</v>
      </c>
      <c r="E29" s="2853"/>
      <c r="F29" s="2853"/>
    </row>
    <row r="30" spans="1:8" ht="15" customHeight="1">
      <c r="A30" s="2224" t="s">
        <v>1330</v>
      </c>
      <c r="B30" s="2866" t="str">
        <f>"CD 상승폭이 금융채 상승폭보다 "&amp;TEXT((D19-C19)/(1-$B$9)*10000,"0")&amp;"bp 이상 클 때"</f>
        <v>CD 상승폭이 금융채 상승폭보다 15bp 이상 클 때</v>
      </c>
      <c r="C30" s="2866"/>
      <c r="D30" s="2853" t="s">
        <v>1331</v>
      </c>
      <c r="E30" s="2853"/>
      <c r="F30" s="2853"/>
    </row>
    <row r="31" spans="1:8" ht="29.25" customHeight="1">
      <c r="A31" s="2211" t="s">
        <v>1332</v>
      </c>
      <c r="B31" s="2216">
        <f>($B$10-C17)/(C15-C17)</f>
        <v>0.85714285714285698</v>
      </c>
      <c r="C31" s="2216">
        <f>($B$10-D17)/(D15-D17)</f>
        <v>0.8181818181818179</v>
      </c>
      <c r="D31" s="2857" t="s">
        <v>1333</v>
      </c>
      <c r="E31" s="2857"/>
      <c r="F31" s="2857"/>
    </row>
    <row r="33" spans="1:8" ht="19.5" customHeight="1">
      <c r="A33" s="2856" t="s">
        <v>1334</v>
      </c>
      <c r="B33" s="2856"/>
      <c r="C33" s="2856"/>
      <c r="D33" s="2856"/>
      <c r="E33" s="2856"/>
      <c r="F33" s="2856"/>
      <c r="G33" s="2856"/>
      <c r="H33" s="2856"/>
    </row>
    <row r="34" spans="1:8" ht="13.5" customHeight="1">
      <c r="A34" s="2855" t="s">
        <v>1335</v>
      </c>
      <c r="B34" s="2855"/>
      <c r="C34" s="2855"/>
      <c r="D34" s="2855"/>
      <c r="E34" s="2855"/>
      <c r="F34" s="2855"/>
      <c r="G34" s="2855"/>
      <c r="H34" s="2855"/>
    </row>
    <row r="35" spans="1:8" ht="30" customHeight="1">
      <c r="A35" s="2209" t="s">
        <v>1336</v>
      </c>
      <c r="B35" s="2210" t="s">
        <v>1337</v>
      </c>
      <c r="C35" s="2210" t="s">
        <v>1338</v>
      </c>
      <c r="D35" s="2209" t="s">
        <v>1339</v>
      </c>
      <c r="E35" s="2209" t="s">
        <v>1340</v>
      </c>
    </row>
    <row r="36" spans="1:8" ht="15" customHeight="1">
      <c r="A36" s="2207">
        <v>2.5000000000000001E-3</v>
      </c>
      <c r="B36" s="2219">
        <f>A36*$B$11/12*10000</f>
        <v>3.125</v>
      </c>
      <c r="C36" s="2219">
        <f>(D18-C18)*10000</f>
        <v>25.000000000000021</v>
      </c>
      <c r="D36" s="2218">
        <f>B36-C36</f>
        <v>-21.875000000000021</v>
      </c>
      <c r="E36" s="2225" t="str">
        <f>IF(ROUND(D36,1)=0,"손익분기",IF(D36&gt;0,"2안 우위","1안 우위"))</f>
        <v>1안 우위</v>
      </c>
      <c r="F36" s="2212" t="s">
        <v>1341</v>
      </c>
    </row>
    <row r="37" spans="1:8" ht="15" customHeight="1">
      <c r="A37" s="2207">
        <v>5.0000000000000001E-3</v>
      </c>
      <c r="B37" s="2219">
        <f>A37*$B$11/12*10000</f>
        <v>6.25</v>
      </c>
      <c r="C37" s="2219">
        <f>(D18-C18)*10000</f>
        <v>25.000000000000021</v>
      </c>
      <c r="D37" s="2218">
        <f>B37-C37</f>
        <v>-18.750000000000021</v>
      </c>
      <c r="E37" s="2225" t="str">
        <f>IF(ROUND(D37,1)=0,"손익분기",IF(D37&gt;0,"2안 우위","1안 우위"))</f>
        <v>1안 우위</v>
      </c>
      <c r="F37" s="2212"/>
    </row>
    <row r="38" spans="1:8" ht="15" customHeight="1">
      <c r="A38" s="2207">
        <v>7.4999999999999997E-3</v>
      </c>
      <c r="B38" s="2219">
        <f>A38*$B$11/12*10000</f>
        <v>9.375</v>
      </c>
      <c r="C38" s="2219">
        <f>(D18-C18)*10000</f>
        <v>25.000000000000021</v>
      </c>
      <c r="D38" s="2218">
        <f>B38-C38</f>
        <v>-15.625000000000021</v>
      </c>
      <c r="E38" s="2225" t="str">
        <f>IF(ROUND(D38,1)=0,"손익분기",IF(D38&gt;0,"2안 우위","1안 우위"))</f>
        <v>1안 우위</v>
      </c>
      <c r="F38" s="2212"/>
    </row>
    <row r="39" spans="1:8" ht="15" customHeight="1">
      <c r="A39" s="2207">
        <v>0.01</v>
      </c>
      <c r="B39" s="2219">
        <f>A39*$B$11/12*10000</f>
        <v>12.5</v>
      </c>
      <c r="C39" s="2219">
        <f>(D18-C18)*10000</f>
        <v>25.000000000000021</v>
      </c>
      <c r="D39" s="2218">
        <f>B39-C39</f>
        <v>-12.500000000000021</v>
      </c>
      <c r="E39" s="2225" t="str">
        <f>IF(ROUND(D39,1)=0,"손익분기",IF(D39&gt;0,"2안 우위","1안 우위"))</f>
        <v>1안 우위</v>
      </c>
      <c r="F39" s="2212"/>
    </row>
    <row r="40" spans="1:8" ht="15" customHeight="1">
      <c r="A40" s="2207">
        <v>0.02</v>
      </c>
      <c r="B40" s="2219">
        <f>A40*$B$11/12*10000</f>
        <v>25</v>
      </c>
      <c r="C40" s="2219">
        <f>(D18-C18)*10000</f>
        <v>25.000000000000021</v>
      </c>
      <c r="D40" s="2218">
        <f>B40-C40</f>
        <v>0</v>
      </c>
      <c r="E40" s="2225" t="str">
        <f>IF(ROUND(D40,1)=0,"손익분기",IF(D40&gt;0,"2안 우위","1안 우위"))</f>
        <v>손익분기</v>
      </c>
      <c r="F40" s="2212" t="s">
        <v>1342</v>
      </c>
    </row>
    <row r="41" spans="1:8" ht="13.5" customHeight="1">
      <c r="A41" s="2855" t="s">
        <v>1343</v>
      </c>
      <c r="B41" s="2855"/>
      <c r="C41" s="2855"/>
      <c r="D41" s="2855"/>
      <c r="E41" s="2855"/>
      <c r="F41" s="2855"/>
      <c r="G41" s="2855"/>
      <c r="H41" s="2855"/>
    </row>
    <row r="43" spans="1:8" ht="19.5" customHeight="1">
      <c r="A43" s="2856" t="s">
        <v>1344</v>
      </c>
      <c r="B43" s="2856"/>
      <c r="C43" s="2856"/>
      <c r="D43" s="2856"/>
      <c r="E43" s="2856"/>
      <c r="F43" s="2856"/>
      <c r="G43" s="2856"/>
      <c r="H43" s="2856"/>
    </row>
    <row r="44" spans="1:8" ht="31.5" customHeight="1">
      <c r="A44" s="2209" t="s">
        <v>1345</v>
      </c>
      <c r="B44" s="2209" t="s">
        <v>1346</v>
      </c>
      <c r="C44" s="2209" t="s">
        <v>1347</v>
      </c>
      <c r="D44" s="2210" t="s">
        <v>1348</v>
      </c>
      <c r="E44" s="2210" t="s">
        <v>1349</v>
      </c>
      <c r="F44" s="2209" t="s">
        <v>1300</v>
      </c>
      <c r="G44" s="2209" t="s">
        <v>1350</v>
      </c>
      <c r="H44" s="2210" t="s">
        <v>1351</v>
      </c>
    </row>
    <row r="45" spans="1:8" ht="15" customHeight="1">
      <c r="A45" s="2200" t="s">
        <v>1352</v>
      </c>
      <c r="B45" s="2207">
        <v>-2.5000000000000001E-3</v>
      </c>
      <c r="C45" s="2207">
        <v>-2.5000000000000001E-3</v>
      </c>
      <c r="D45" s="2213">
        <f>$C$19+(1-$B$9)*B45</f>
        <v>5.1250000000000004E-2</v>
      </c>
      <c r="E45" s="2213">
        <f>$D$19+(1-$B$9)*(B45-C45*$B$11/12)</f>
        <v>5.2156250000000008E-2</v>
      </c>
      <c r="F45" s="2213">
        <f>$B$10</f>
        <v>5.5E-2</v>
      </c>
      <c r="G45" s="2225" t="str">
        <f>IF(D45&lt;E45,"1안","2안")</f>
        <v>1안</v>
      </c>
      <c r="H45" s="2220">
        <f>($F45-D45)*$B$7*$B$8/12</f>
        <v>1199.9999999999989</v>
      </c>
    </row>
    <row r="46" spans="1:8" ht="15" customHeight="1">
      <c r="A46" s="2200" t="s">
        <v>1353</v>
      </c>
      <c r="B46" s="2207">
        <v>0</v>
      </c>
      <c r="C46" s="2207">
        <v>0</v>
      </c>
      <c r="D46" s="2213">
        <f>$C$19+(1-$B$9)*B46</f>
        <v>5.2500000000000005E-2</v>
      </c>
      <c r="E46" s="2213">
        <f>$D$19+(1-$B$9)*(B46-C46*$B$11/12)</f>
        <v>5.3250000000000006E-2</v>
      </c>
      <c r="F46" s="2213">
        <f>$B$10</f>
        <v>5.5E-2</v>
      </c>
      <c r="G46" s="2225" t="str">
        <f>IF(D46&lt;E46,"1안","2안")</f>
        <v>1안</v>
      </c>
      <c r="H46" s="2220">
        <f>($F46-D46)*$B$7*$B$8/12</f>
        <v>799.99999999999852</v>
      </c>
    </row>
    <row r="47" spans="1:8" ht="15" customHeight="1">
      <c r="A47" s="2200" t="s">
        <v>1354</v>
      </c>
      <c r="B47" s="2207">
        <v>1E-3</v>
      </c>
      <c r="C47" s="2207">
        <v>1.5E-3</v>
      </c>
      <c r="D47" s="2213">
        <f>$C$19+(1-$B$9)*B47</f>
        <v>5.3000000000000005E-2</v>
      </c>
      <c r="E47" s="2213">
        <f>$D$19+(1-$B$9)*(B47-C47*$B$11/12)</f>
        <v>5.3656250000000003E-2</v>
      </c>
      <c r="F47" s="2213">
        <f>$B$10</f>
        <v>5.5E-2</v>
      </c>
      <c r="G47" s="2225" t="str">
        <f>IF(D47&lt;E47,"1안","2안")</f>
        <v>1안</v>
      </c>
      <c r="H47" s="2220">
        <f>($F47-D47)*$B$7*$B$8/12</f>
        <v>639.99999999999829</v>
      </c>
    </row>
    <row r="48" spans="1:8" ht="15" customHeight="1">
      <c r="A48" s="2200" t="s">
        <v>1355</v>
      </c>
      <c r="B48" s="2207">
        <v>3.0000000000000001E-3</v>
      </c>
      <c r="C48" s="2207">
        <v>3.5000000000000001E-3</v>
      </c>
      <c r="D48" s="2213">
        <f>$C$19+(1-$B$9)*B48</f>
        <v>5.4000000000000006E-2</v>
      </c>
      <c r="E48" s="2213">
        <f>$D$19+(1-$B$9)*(B48-C48*$B$11/12)</f>
        <v>5.4531250000000003E-2</v>
      </c>
      <c r="F48" s="2213">
        <f>$B$10</f>
        <v>5.5E-2</v>
      </c>
      <c r="G48" s="2225" t="str">
        <f>IF(D48&lt;E48,"1안","2안")</f>
        <v>1안</v>
      </c>
      <c r="H48" s="2220">
        <f>($F48-D48)*$B$7*$B$8/12</f>
        <v>319.99999999999807</v>
      </c>
    </row>
    <row r="49" spans="1:8" ht="15" customHeight="1">
      <c r="A49" s="2200" t="s">
        <v>1356</v>
      </c>
      <c r="B49" s="2207">
        <v>6.0000000000000001E-3</v>
      </c>
      <c r="C49" s="2207">
        <v>7.0000000000000001E-3</v>
      </c>
      <c r="D49" s="2213">
        <f>$C$19+(1-$B$9)*B49</f>
        <v>5.5500000000000008E-2</v>
      </c>
      <c r="E49" s="2213">
        <f>$D$19+(1-$B$9)*(B49-C49*$B$11/12)</f>
        <v>5.5812500000000008E-2</v>
      </c>
      <c r="F49" s="2213">
        <f>$B$10</f>
        <v>5.5E-2</v>
      </c>
      <c r="G49" s="2225" t="str">
        <f>IF(D49&lt;E49,"1안","2안")</f>
        <v>1안</v>
      </c>
      <c r="H49" s="2220">
        <f>($F49-D49)*$B$7*$B$8/12</f>
        <v>-160.00000000000236</v>
      </c>
    </row>
    <row r="50" spans="1:8" ht="13.5" customHeight="1">
      <c r="A50" s="2860" t="s">
        <v>1357</v>
      </c>
      <c r="B50" s="2860"/>
      <c r="C50" s="2860"/>
      <c r="D50" s="2860"/>
      <c r="E50" s="2860"/>
      <c r="F50" s="2860"/>
      <c r="G50" s="2860"/>
      <c r="H50" s="2860"/>
    </row>
    <row r="52" spans="1:8" ht="19.5" customHeight="1">
      <c r="A52" s="2856" t="s">
        <v>1358</v>
      </c>
      <c r="B52" s="2856"/>
      <c r="C52" s="2856"/>
      <c r="D52" s="2856"/>
      <c r="E52" s="2856"/>
      <c r="F52" s="2856"/>
      <c r="G52" s="2856"/>
      <c r="H52" s="2856"/>
    </row>
    <row r="53" spans="1:8" ht="15" customHeight="1">
      <c r="A53" s="2209" t="s">
        <v>1359</v>
      </c>
      <c r="B53" s="2210" t="s">
        <v>1360</v>
      </c>
      <c r="C53" s="2210" t="s">
        <v>1361</v>
      </c>
      <c r="D53" s="2210" t="s">
        <v>1362</v>
      </c>
      <c r="E53" s="2210" t="s">
        <v>1363</v>
      </c>
      <c r="F53" s="2209" t="s">
        <v>264</v>
      </c>
    </row>
    <row r="54" spans="1:8" ht="15" customHeight="1">
      <c r="A54" s="2207">
        <v>0.5</v>
      </c>
      <c r="B54" s="2213">
        <f>$C$15*A54+$C$17*(1-A54)</f>
        <v>5.2500000000000005E-2</v>
      </c>
      <c r="C54" s="2213">
        <f>$D$15*A54+$D$17*(1-A54)</f>
        <v>5.3250000000000006E-2</v>
      </c>
      <c r="D54" s="2219">
        <f t="shared" ref="D54:E58" si="1">(B54-$B$10)*10000</f>
        <v>-24.999999999999954</v>
      </c>
      <c r="E54" s="2219">
        <f t="shared" si="1"/>
        <v>-17.499999999999947</v>
      </c>
      <c r="F54" s="2212" t="s">
        <v>1364</v>
      </c>
    </row>
    <row r="55" spans="1:8" ht="15" customHeight="1">
      <c r="A55" s="2207">
        <v>0.6</v>
      </c>
      <c r="B55" s="2213">
        <f>$C$15*A55+$C$17*(1-A55)</f>
        <v>5.3199999999999997E-2</v>
      </c>
      <c r="C55" s="2213">
        <f>$D$15*A55+$D$17*(1-A55)</f>
        <v>5.3800000000000001E-2</v>
      </c>
      <c r="D55" s="2219">
        <f t="shared" si="1"/>
        <v>-18.000000000000028</v>
      </c>
      <c r="E55" s="2219">
        <f t="shared" si="1"/>
        <v>-11.999999999999996</v>
      </c>
      <c r="F55" s="2212"/>
    </row>
    <row r="56" spans="1:8" ht="15" customHeight="1">
      <c r="A56" s="2207">
        <v>0.7</v>
      </c>
      <c r="B56" s="2213">
        <f>$C$15*A56+$C$17*(1-A56)</f>
        <v>5.3900000000000003E-2</v>
      </c>
      <c r="C56" s="2213">
        <f>$D$15*A56+$D$17*(1-A56)</f>
        <v>5.4350000000000002E-2</v>
      </c>
      <c r="D56" s="2219">
        <f t="shared" si="1"/>
        <v>-10.999999999999968</v>
      </c>
      <c r="E56" s="2219">
        <f t="shared" si="1"/>
        <v>-6.4999999999999778</v>
      </c>
      <c r="F56" s="2212" t="s">
        <v>1365</v>
      </c>
    </row>
    <row r="57" spans="1:8" ht="15" customHeight="1">
      <c r="A57" s="2207">
        <v>0.8</v>
      </c>
      <c r="B57" s="2213">
        <f>$C$15*A57+$C$17*(1-A57)</f>
        <v>5.4600000000000003E-2</v>
      </c>
      <c r="C57" s="2213">
        <f>$D$15*A57+$D$17*(1-A57)</f>
        <v>5.4900000000000004E-2</v>
      </c>
      <c r="D57" s="2219">
        <f t="shared" si="1"/>
        <v>-3.999999999999976</v>
      </c>
      <c r="E57" s="2219">
        <f t="shared" si="1"/>
        <v>-0.99999999999995925</v>
      </c>
      <c r="F57" s="2212"/>
    </row>
    <row r="58" spans="1:8" ht="15" customHeight="1">
      <c r="A58" s="2207">
        <v>0.9</v>
      </c>
      <c r="B58" s="2213">
        <f>$C$15*A58+$C$17*(1-A58)</f>
        <v>5.5300000000000002E-2</v>
      </c>
      <c r="C58" s="2213">
        <f>$D$15*A58+$D$17*(1-A58)</f>
        <v>5.5449999999999999E-2</v>
      </c>
      <c r="D58" s="2219">
        <f t="shared" si="1"/>
        <v>3.0000000000000164</v>
      </c>
      <c r="E58" s="2219">
        <f t="shared" si="1"/>
        <v>4.4999999999999902</v>
      </c>
      <c r="F58" s="2214" t="s">
        <v>1366</v>
      </c>
    </row>
    <row r="60" spans="1:8" ht="19.5" customHeight="1">
      <c r="A60" s="2856" t="s">
        <v>1367</v>
      </c>
      <c r="B60" s="2856"/>
      <c r="C60" s="2856"/>
      <c r="D60" s="2856"/>
      <c r="E60" s="2856"/>
      <c r="F60" s="2856"/>
      <c r="G60" s="2856"/>
      <c r="H60" s="2856"/>
    </row>
    <row r="61" spans="1:8" ht="15" customHeight="1">
      <c r="A61" s="2199" t="s">
        <v>1368</v>
      </c>
      <c r="B61" s="2861" t="s">
        <v>669</v>
      </c>
      <c r="C61" s="2861"/>
      <c r="D61" s="2861"/>
      <c r="E61" s="2861"/>
      <c r="F61" s="2862"/>
      <c r="G61" s="2862"/>
      <c r="H61" s="2862"/>
    </row>
    <row r="62" spans="1:8" ht="25.5" customHeight="1">
      <c r="A62" s="2211" t="s">
        <v>1369</v>
      </c>
      <c r="B62" s="2854" t="s">
        <v>1370</v>
      </c>
      <c r="C62" s="2854"/>
      <c r="D62" s="2854"/>
      <c r="E62" s="2854"/>
      <c r="F62" s="2859" t="s">
        <v>1371</v>
      </c>
      <c r="G62" s="2859"/>
      <c r="H62" s="2859"/>
    </row>
    <row r="63" spans="1:8" ht="25.5" customHeight="1">
      <c r="A63" s="2224" t="s">
        <v>1372</v>
      </c>
      <c r="B63" s="2854" t="s">
        <v>1373</v>
      </c>
      <c r="C63" s="2854"/>
      <c r="D63" s="2854"/>
      <c r="E63" s="2854"/>
      <c r="F63" s="2859" t="s">
        <v>1371</v>
      </c>
      <c r="G63" s="2859"/>
      <c r="H63" s="2859"/>
    </row>
    <row r="64" spans="1:8" ht="25.5" customHeight="1">
      <c r="A64" s="2211" t="s">
        <v>1374</v>
      </c>
      <c r="B64" s="2854" t="s">
        <v>1375</v>
      </c>
      <c r="C64" s="2854"/>
      <c r="D64" s="2854"/>
      <c r="E64" s="2854"/>
      <c r="F64" s="2858" t="s">
        <v>1376</v>
      </c>
      <c r="G64" s="2858"/>
      <c r="H64" s="2858"/>
    </row>
    <row r="65" spans="1:8" ht="25.5" customHeight="1">
      <c r="A65" s="2211" t="s">
        <v>1377</v>
      </c>
      <c r="B65" s="2854" t="s">
        <v>1378</v>
      </c>
      <c r="C65" s="2854"/>
      <c r="D65" s="2854"/>
      <c r="E65" s="2854"/>
      <c r="F65" s="2859" t="s">
        <v>1379</v>
      </c>
      <c r="G65" s="2859"/>
      <c r="H65" s="2859"/>
    </row>
    <row r="66" spans="1:8" ht="25.5" customHeight="1">
      <c r="A66" s="2211" t="s">
        <v>1380</v>
      </c>
      <c r="B66" s="2854" t="s">
        <v>1381</v>
      </c>
      <c r="C66" s="2854"/>
      <c r="D66" s="2854"/>
      <c r="E66" s="2854"/>
      <c r="F66" s="2858" t="s">
        <v>1382</v>
      </c>
      <c r="G66" s="2858"/>
      <c r="H66" s="2858"/>
    </row>
    <row r="67" spans="1:8" ht="25.5" customHeight="1">
      <c r="A67" s="2224" t="s">
        <v>1383</v>
      </c>
      <c r="B67" s="2854" t="s">
        <v>1384</v>
      </c>
      <c r="C67" s="2854"/>
      <c r="D67" s="2854"/>
      <c r="E67" s="2854"/>
      <c r="F67" s="2858" t="s">
        <v>1385</v>
      </c>
      <c r="G67" s="2858"/>
      <c r="H67" s="2858"/>
    </row>
    <row r="68" spans="1:8" ht="25.5" customHeight="1">
      <c r="A68" s="2211" t="s">
        <v>1386</v>
      </c>
      <c r="B68" s="2854" t="s">
        <v>1387</v>
      </c>
      <c r="C68" s="2854"/>
      <c r="D68" s="2854"/>
      <c r="E68" s="2854"/>
      <c r="F68" s="2859" t="s">
        <v>1388</v>
      </c>
      <c r="G68" s="2859"/>
      <c r="H68" s="2859"/>
    </row>
    <row r="69" spans="1:8" ht="25.5" customHeight="1">
      <c r="A69" s="2211" t="s">
        <v>1389</v>
      </c>
      <c r="B69" s="2854" t="s">
        <v>1390</v>
      </c>
      <c r="C69" s="2854"/>
      <c r="D69" s="2854"/>
      <c r="E69" s="2854"/>
      <c r="F69" s="2858" t="s">
        <v>1391</v>
      </c>
      <c r="G69" s="2858"/>
      <c r="H69" s="2858"/>
    </row>
    <row r="71" spans="1:8" ht="19.5" customHeight="1">
      <c r="A71" s="2856" t="s">
        <v>1392</v>
      </c>
      <c r="B71" s="2856"/>
      <c r="C71" s="2856"/>
      <c r="D71" s="2856"/>
      <c r="E71" s="2856"/>
      <c r="F71" s="2856"/>
      <c r="G71" s="2856"/>
      <c r="H71" s="2856"/>
    </row>
    <row r="72" spans="1:8" ht="15" customHeight="1">
      <c r="A72" s="2209" t="s">
        <v>1368</v>
      </c>
      <c r="B72" s="2210" t="s">
        <v>1393</v>
      </c>
      <c r="C72" s="2210" t="s">
        <v>1394</v>
      </c>
      <c r="D72" s="2209" t="s">
        <v>1395</v>
      </c>
      <c r="E72" s="2209" t="s">
        <v>264</v>
      </c>
    </row>
    <row r="73" spans="1:8" ht="15" customHeight="1">
      <c r="A73" s="2211" t="s">
        <v>1396</v>
      </c>
      <c r="B73" s="2213">
        <f>$B$10</f>
        <v>5.5E-2</v>
      </c>
      <c r="C73" s="2213">
        <f>$C$19</f>
        <v>5.2500000000000005E-2</v>
      </c>
      <c r="D73" s="2219">
        <f>(C73-B73)*10000</f>
        <v>-24.999999999999954</v>
      </c>
      <c r="E73" s="2214" t="s">
        <v>1397</v>
      </c>
    </row>
    <row r="74" spans="1:8" ht="15" customHeight="1">
      <c r="A74" s="2211" t="s">
        <v>1398</v>
      </c>
      <c r="B74" s="2220">
        <f>$B$22</f>
        <v>8800</v>
      </c>
      <c r="C74" s="2220">
        <f>$C$22</f>
        <v>8400</v>
      </c>
      <c r="D74" s="2220">
        <f>C74-B74</f>
        <v>-400</v>
      </c>
      <c r="E74" s="2212" t="s">
        <v>1399</v>
      </c>
    </row>
    <row r="75" spans="1:8" ht="15" customHeight="1">
      <c r="A75" s="2224" t="s">
        <v>1400</v>
      </c>
      <c r="B75" s="2226">
        <v>2.31</v>
      </c>
      <c r="C75" s="2227" t="s">
        <v>1401</v>
      </c>
      <c r="D75" s="2227" t="s">
        <v>1402</v>
      </c>
      <c r="E75" s="2214" t="s">
        <v>1403</v>
      </c>
    </row>
    <row r="76" spans="1:8" ht="15" customHeight="1">
      <c r="A76" s="2224" t="s">
        <v>1404</v>
      </c>
      <c r="B76" s="2226">
        <v>1.29</v>
      </c>
      <c r="C76" s="2227" t="s">
        <v>1405</v>
      </c>
      <c r="D76" s="2227" t="s">
        <v>1406</v>
      </c>
      <c r="E76" s="2214" t="s">
        <v>1407</v>
      </c>
    </row>
    <row r="77" spans="1:8" ht="15" customHeight="1">
      <c r="A77" s="2211" t="s">
        <v>1408</v>
      </c>
      <c r="B77" s="2207">
        <v>0.126</v>
      </c>
      <c r="C77" s="2227" t="s">
        <v>1409</v>
      </c>
      <c r="D77" s="2227" t="s">
        <v>1410</v>
      </c>
      <c r="E77" s="2214" t="s">
        <v>1411</v>
      </c>
    </row>
    <row r="78" spans="1:8" ht="15" customHeight="1">
      <c r="A78" s="2215" t="s">
        <v>1412</v>
      </c>
      <c r="B78" s="2221" t="s">
        <v>1249</v>
      </c>
      <c r="C78" s="2222">
        <f>$C$24</f>
        <v>800</v>
      </c>
      <c r="D78" s="2228" t="s">
        <v>1413</v>
      </c>
      <c r="E78" s="2229" t="s">
        <v>1414</v>
      </c>
    </row>
    <row r="80" spans="1:8" ht="19.5" customHeight="1">
      <c r="A80" s="2856" t="s">
        <v>1415</v>
      </c>
      <c r="B80" s="2856"/>
      <c r="C80" s="2856"/>
      <c r="D80" s="2856"/>
      <c r="E80" s="2856"/>
      <c r="F80" s="2856"/>
      <c r="G80" s="2856"/>
      <c r="H80" s="2856"/>
    </row>
    <row r="81" spans="1:8" ht="31.5" customHeight="1">
      <c r="A81" s="2215" t="s">
        <v>1416</v>
      </c>
      <c r="B81" s="2857" t="s">
        <v>1417</v>
      </c>
      <c r="C81" s="2857"/>
      <c r="D81" s="2857"/>
      <c r="E81" s="2857"/>
      <c r="F81" s="2857"/>
      <c r="G81" s="2857"/>
      <c r="H81" s="2857"/>
    </row>
    <row r="82" spans="1:8" ht="27.75" customHeight="1">
      <c r="A82" s="2211" t="s">
        <v>1418</v>
      </c>
      <c r="B82" s="2854" t="s">
        <v>1419</v>
      </c>
      <c r="C82" s="2854"/>
      <c r="D82" s="2854"/>
      <c r="E82" s="2854"/>
      <c r="F82" s="2854"/>
      <c r="G82" s="2854"/>
      <c r="H82" s="2854"/>
    </row>
    <row r="83" spans="1:8" ht="27.75" customHeight="1">
      <c r="A83" s="2211" t="s">
        <v>1420</v>
      </c>
      <c r="B83" s="2853" t="s">
        <v>1421</v>
      </c>
      <c r="C83" s="2853"/>
      <c r="D83" s="2853"/>
      <c r="E83" s="2853"/>
      <c r="F83" s="2853"/>
      <c r="G83" s="2853"/>
      <c r="H83" s="2853"/>
    </row>
    <row r="84" spans="1:8" ht="27.75" customHeight="1">
      <c r="A84" s="2211" t="s">
        <v>1422</v>
      </c>
      <c r="B84" s="2853" t="s">
        <v>1423</v>
      </c>
      <c r="C84" s="2853"/>
      <c r="D84" s="2853"/>
      <c r="E84" s="2853"/>
      <c r="F84" s="2853"/>
      <c r="G84" s="2853"/>
      <c r="H84" s="2853"/>
    </row>
    <row r="85" spans="1:8" ht="27.75" customHeight="1">
      <c r="A85" s="2211" t="s">
        <v>1424</v>
      </c>
      <c r="B85" s="2853" t="s">
        <v>1425</v>
      </c>
      <c r="C85" s="2853"/>
      <c r="D85" s="2853"/>
      <c r="E85" s="2853"/>
      <c r="F85" s="2853"/>
      <c r="G85" s="2853"/>
      <c r="H85" s="2853"/>
    </row>
    <row r="86" spans="1:8" ht="27.75" customHeight="1">
      <c r="A86" s="2211" t="s">
        <v>1426</v>
      </c>
      <c r="B86" s="2853" t="s">
        <v>1427</v>
      </c>
      <c r="C86" s="2853"/>
      <c r="D86" s="2853"/>
      <c r="E86" s="2853"/>
      <c r="F86" s="2853"/>
      <c r="G86" s="2853"/>
      <c r="H86" s="2853"/>
    </row>
    <row r="87" spans="1:8" ht="27.75" customHeight="1">
      <c r="A87" s="2224" t="s">
        <v>1428</v>
      </c>
      <c r="B87" s="2854" t="s">
        <v>1429</v>
      </c>
      <c r="C87" s="2854"/>
      <c r="D87" s="2854"/>
      <c r="E87" s="2854"/>
      <c r="F87" s="2854"/>
      <c r="G87" s="2854"/>
      <c r="H87" s="2854"/>
    </row>
    <row r="89" spans="1:8" ht="13.5" customHeight="1">
      <c r="A89" s="2855" t="s">
        <v>1430</v>
      </c>
      <c r="B89" s="2855"/>
      <c r="C89" s="2855"/>
      <c r="D89" s="2855"/>
      <c r="E89" s="2855"/>
      <c r="F89" s="2855"/>
      <c r="G89" s="2855"/>
      <c r="H89" s="2855"/>
    </row>
  </sheetData>
  <mergeCells count="47">
    <mergeCell ref="D31:F31"/>
    <mergeCell ref="A1:H1"/>
    <mergeCell ref="A2:H2"/>
    <mergeCell ref="A3:H3"/>
    <mergeCell ref="A5:H5"/>
    <mergeCell ref="A13:H13"/>
    <mergeCell ref="A26:H26"/>
    <mergeCell ref="D27:F27"/>
    <mergeCell ref="D28:F28"/>
    <mergeCell ref="D29:F29"/>
    <mergeCell ref="B30:C30"/>
    <mergeCell ref="D30:F30"/>
    <mergeCell ref="B63:E63"/>
    <mergeCell ref="F63:H63"/>
    <mergeCell ref="A33:H33"/>
    <mergeCell ref="A34:H34"/>
    <mergeCell ref="A41:H41"/>
    <mergeCell ref="A43:H43"/>
    <mergeCell ref="A50:H50"/>
    <mergeCell ref="A52:H52"/>
    <mergeCell ref="A60:H60"/>
    <mergeCell ref="B61:E61"/>
    <mergeCell ref="F61:H61"/>
    <mergeCell ref="B62:E62"/>
    <mergeCell ref="F62:H62"/>
    <mergeCell ref="B64:E64"/>
    <mergeCell ref="F64:H64"/>
    <mergeCell ref="B65:E65"/>
    <mergeCell ref="F65:H65"/>
    <mergeCell ref="B66:E66"/>
    <mergeCell ref="F66:H66"/>
    <mergeCell ref="B67:E67"/>
    <mergeCell ref="F67:H67"/>
    <mergeCell ref="B68:E68"/>
    <mergeCell ref="F68:H68"/>
    <mergeCell ref="B69:E69"/>
    <mergeCell ref="F69:H69"/>
    <mergeCell ref="B85:H85"/>
    <mergeCell ref="B86:H86"/>
    <mergeCell ref="B87:H87"/>
    <mergeCell ref="A89:H89"/>
    <mergeCell ref="A71:H71"/>
    <mergeCell ref="A80:H80"/>
    <mergeCell ref="B81:H81"/>
    <mergeCell ref="B82:H82"/>
    <mergeCell ref="B83:H83"/>
    <mergeCell ref="B84:H84"/>
  </mergeCells>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9" customWidth="1"/>
    <col min="2" max="2" width="1.5" style="1979" customWidth="1"/>
    <col min="3" max="4" width="14.375" style="1979" customWidth="1"/>
    <col min="5" max="6" width="14.375" style="2030" customWidth="1"/>
    <col min="7" max="20" width="14.375" style="1979" customWidth="1"/>
    <col min="21" max="22" width="14.375" style="2030" customWidth="1"/>
    <col min="23" max="23" width="14.375" style="1979" customWidth="1"/>
    <col min="24" max="25" width="14.375" style="2030" customWidth="1"/>
    <col min="26" max="26" width="14.375" style="1979" customWidth="1"/>
    <col min="27" max="27" width="14.375" style="2030" customWidth="1"/>
    <col min="28" max="28" width="2.75" style="1979" customWidth="1"/>
    <col min="29" max="97" width="0" style="1979" hidden="1" customWidth="1"/>
    <col min="98" max="16384" width="15.5" style="1979" hidden="1"/>
  </cols>
  <sheetData>
    <row r="1" spans="1:27" s="1972" customFormat="1" ht="11.25" customHeight="1">
      <c r="A1" s="1970"/>
      <c r="B1" s="1971"/>
      <c r="C1" s="1971"/>
      <c r="E1" s="1970"/>
      <c r="F1" s="1970"/>
      <c r="G1" s="1970"/>
      <c r="H1" s="1970"/>
      <c r="I1" s="1970"/>
      <c r="J1" s="1970"/>
      <c r="K1" s="1970"/>
      <c r="L1" s="1970"/>
      <c r="M1" s="1970"/>
      <c r="N1" s="1970"/>
      <c r="O1" s="1970"/>
      <c r="P1" s="1970"/>
      <c r="Q1" s="1970"/>
      <c r="R1" s="1970"/>
      <c r="S1" s="1970"/>
      <c r="T1" s="1970"/>
      <c r="U1" s="1973"/>
      <c r="V1" s="1973"/>
      <c r="W1" s="1970"/>
      <c r="X1" s="1973"/>
      <c r="Y1" s="1973"/>
      <c r="Z1" s="1970"/>
      <c r="AA1" s="1973"/>
    </row>
    <row r="2" spans="1:27" s="1972" customFormat="1" ht="11.25" customHeight="1">
      <c r="A2" s="1970"/>
      <c r="B2" s="1971" t="s">
        <v>1152</v>
      </c>
      <c r="C2" s="1971"/>
      <c r="E2" s="1970"/>
      <c r="F2" s="1970"/>
      <c r="G2" s="1970"/>
      <c r="H2" s="1970"/>
      <c r="I2" s="1970"/>
      <c r="J2" s="1970"/>
      <c r="K2" s="1970"/>
      <c r="L2" s="1970"/>
      <c r="M2" s="1970"/>
      <c r="N2" s="1970"/>
      <c r="O2" s="1970"/>
      <c r="P2" s="1970"/>
      <c r="Q2" s="1970"/>
      <c r="R2" s="1970"/>
      <c r="S2" s="1970"/>
      <c r="T2" s="1970"/>
      <c r="U2" s="1973"/>
      <c r="V2" s="1973"/>
      <c r="W2" s="1970"/>
      <c r="X2" s="1973"/>
      <c r="Y2" s="1973"/>
      <c r="Z2" s="1970"/>
      <c r="AA2" s="1973"/>
    </row>
    <row r="3" spans="1:27" s="1976" customFormat="1" ht="11.25" customHeight="1">
      <c r="A3" s="1974"/>
      <c r="B3" s="1975">
        <v>46204</v>
      </c>
      <c r="C3" s="2109">
        <v>46204</v>
      </c>
      <c r="E3" s="1977"/>
      <c r="F3" s="1977"/>
      <c r="H3" s="1978"/>
      <c r="U3" s="1977"/>
      <c r="V3" s="1977"/>
      <c r="X3" s="1977"/>
      <c r="Y3" s="1977"/>
      <c r="AA3" s="1977"/>
    </row>
    <row r="4" spans="1:27" ht="11.25" customHeight="1">
      <c r="C4" s="1980">
        <v>46204</v>
      </c>
      <c r="D4" s="1981"/>
      <c r="E4" s="1982"/>
      <c r="F4" s="1982"/>
      <c r="G4" s="1981"/>
      <c r="H4" s="1983"/>
      <c r="I4" s="1983"/>
      <c r="J4" s="1981"/>
      <c r="K4" s="1981"/>
      <c r="L4" s="1981"/>
      <c r="M4" s="1984"/>
      <c r="N4" s="1985"/>
      <c r="O4" s="1986"/>
      <c r="P4" s="1987"/>
      <c r="Q4" s="1981"/>
      <c r="R4" s="1981"/>
      <c r="S4" s="1981"/>
      <c r="T4" s="1981"/>
      <c r="U4" s="1982"/>
      <c r="V4" s="1982"/>
      <c r="W4" s="1981"/>
      <c r="X4" s="1982"/>
      <c r="Y4" s="1982"/>
      <c r="Z4" s="1981"/>
      <c r="AA4" s="1982"/>
    </row>
    <row r="5" spans="1:27" s="1988" customFormat="1" ht="11.25" customHeight="1">
      <c r="C5" s="2868" t="s">
        <v>1153</v>
      </c>
      <c r="D5" s="2868" t="s">
        <v>1154</v>
      </c>
      <c r="E5" s="2868" t="s">
        <v>1155</v>
      </c>
      <c r="F5" s="2868" t="s">
        <v>1156</v>
      </c>
      <c r="G5" s="2876" t="s">
        <v>1157</v>
      </c>
      <c r="H5" s="2877"/>
      <c r="I5" s="2868" t="s">
        <v>1158</v>
      </c>
      <c r="J5" s="2869"/>
      <c r="K5" s="2869"/>
      <c r="L5" s="2878" t="s">
        <v>1159</v>
      </c>
      <c r="M5" s="2879"/>
      <c r="N5" s="2879"/>
      <c r="O5" s="2880" t="s">
        <v>1160</v>
      </c>
      <c r="P5" s="2881"/>
      <c r="Q5" s="2881"/>
      <c r="R5" s="2878" t="s">
        <v>1161</v>
      </c>
      <c r="S5" s="2879"/>
      <c r="T5" s="2879"/>
      <c r="U5" s="2878" t="s">
        <v>1162</v>
      </c>
      <c r="V5" s="2879"/>
      <c r="W5" s="2879"/>
      <c r="X5" s="2878" t="s">
        <v>1163</v>
      </c>
      <c r="Y5" s="2879"/>
      <c r="Z5" s="2879"/>
      <c r="AA5" s="1989" t="s">
        <v>1164</v>
      </c>
    </row>
    <row r="6" spans="1:27" s="1988" customFormat="1" ht="11.25" customHeight="1">
      <c r="C6" s="2869"/>
      <c r="D6" s="2869"/>
      <c r="E6" s="2869"/>
      <c r="F6" s="2869"/>
      <c r="G6" s="1990" t="s">
        <v>283</v>
      </c>
      <c r="H6" s="1990" t="s">
        <v>1165</v>
      </c>
      <c r="I6" s="1991" t="s">
        <v>1166</v>
      </c>
      <c r="J6" s="1991" t="s">
        <v>1167</v>
      </c>
      <c r="K6" s="1992" t="s">
        <v>1168</v>
      </c>
      <c r="L6" s="1990" t="s">
        <v>1169</v>
      </c>
      <c r="M6" s="1990" t="s">
        <v>1170</v>
      </c>
      <c r="N6" s="1990" t="s">
        <v>640</v>
      </c>
      <c r="O6" s="1990" t="s">
        <v>1171</v>
      </c>
      <c r="P6" s="1990" t="s">
        <v>1172</v>
      </c>
      <c r="Q6" s="1990" t="s">
        <v>1173</v>
      </c>
      <c r="R6" s="1990" t="s">
        <v>1171</v>
      </c>
      <c r="S6" s="1990" t="s">
        <v>1172</v>
      </c>
      <c r="T6" s="1990" t="s">
        <v>1173</v>
      </c>
      <c r="U6" s="1990" t="s">
        <v>1174</v>
      </c>
      <c r="V6" s="1990" t="s">
        <v>1175</v>
      </c>
      <c r="W6" s="1990" t="s">
        <v>1176</v>
      </c>
      <c r="X6" s="1990" t="s">
        <v>1177</v>
      </c>
      <c r="Y6" s="1990" t="s">
        <v>1178</v>
      </c>
      <c r="Z6" s="1990" t="s">
        <v>1179</v>
      </c>
      <c r="AA6" s="1990" t="s">
        <v>1180</v>
      </c>
    </row>
    <row r="7" spans="1:27" s="1993" customFormat="1" ht="11.25" customHeight="1">
      <c r="B7" s="1994"/>
      <c r="C7" s="1995" t="s">
        <v>1181</v>
      </c>
      <c r="D7" s="1996">
        <v>8</v>
      </c>
      <c r="E7" s="1997" t="s">
        <v>1182</v>
      </c>
      <c r="F7" s="1998" t="s">
        <v>1183</v>
      </c>
      <c r="G7" s="1999">
        <v>479.39</v>
      </c>
      <c r="H7" s="1999">
        <v>1584.75</v>
      </c>
      <c r="I7" s="2000">
        <v>45658</v>
      </c>
      <c r="J7" s="2000">
        <v>47483</v>
      </c>
      <c r="K7" s="2001">
        <f>DATEDIF($C$3,J7,"D")/365</f>
        <v>3.504109589041096</v>
      </c>
      <c r="L7" s="2002">
        <f>+N7/$G7</f>
        <v>208598.42716785916</v>
      </c>
      <c r="M7" s="2002">
        <f>+N7/$H7</f>
        <v>63101.435557658937</v>
      </c>
      <c r="N7" s="2003">
        <v>100000000</v>
      </c>
      <c r="O7" s="2002">
        <f>+Q7/$G7</f>
        <v>40999.732994013226</v>
      </c>
      <c r="P7" s="2002">
        <f>+Q7/$H7</f>
        <v>12402.500078876794</v>
      </c>
      <c r="Q7" s="2004">
        <v>19654862</v>
      </c>
      <c r="R7" s="2002">
        <f>+T7/$G7</f>
        <v>3074.9807046454871</v>
      </c>
      <c r="S7" s="2002">
        <f>+T7/$H7</f>
        <v>930.18772677078402</v>
      </c>
      <c r="T7" s="2004">
        <v>1474115</v>
      </c>
      <c r="U7" s="2005">
        <v>2.5000000000000001E-2</v>
      </c>
      <c r="V7" s="2006" t="s">
        <v>1184</v>
      </c>
      <c r="W7" s="2007">
        <v>46388</v>
      </c>
      <c r="X7" s="2005">
        <v>2.5000000000000001E-2</v>
      </c>
      <c r="Y7" s="2006" t="s">
        <v>1184</v>
      </c>
      <c r="Z7" s="2007">
        <v>46388</v>
      </c>
      <c r="AA7" s="2008">
        <v>8</v>
      </c>
    </row>
    <row r="8" spans="1:27" s="1993" customFormat="1" ht="11.25" customHeight="1">
      <c r="B8" s="1994"/>
      <c r="C8" s="1995" t="s">
        <v>1181</v>
      </c>
      <c r="D8" s="1996">
        <v>8</v>
      </c>
      <c r="E8" s="2009" t="s">
        <v>1185</v>
      </c>
      <c r="F8" s="2010" t="s">
        <v>1186</v>
      </c>
      <c r="G8" s="1999">
        <v>207.4</v>
      </c>
      <c r="H8" s="1999">
        <v>685.62</v>
      </c>
      <c r="I8" s="2000">
        <v>45413</v>
      </c>
      <c r="J8" s="2000">
        <v>49064</v>
      </c>
      <c r="K8" s="2001">
        <f t="shared" ref="K8:K22" si="0">DATEDIF($C$3,J8,"D")/365</f>
        <v>7.8356164383561646</v>
      </c>
      <c r="L8" s="2002">
        <f t="shared" ref="L8:L22" si="1">+N8/$G8</f>
        <v>218999.07425265189</v>
      </c>
      <c r="M8" s="2002">
        <f t="shared" ref="M8:M22" si="2">+N8/$H8</f>
        <v>66247.203990548704</v>
      </c>
      <c r="N8" s="2003">
        <v>45420408</v>
      </c>
      <c r="O8" s="2002">
        <f t="shared" ref="O8:O22" si="3">+Q8/$G8</f>
        <v>38347.651880424302</v>
      </c>
      <c r="P8" s="2002">
        <f t="shared" ref="P8:P22" si="4">+Q8/$H8</f>
        <v>11600.161897260874</v>
      </c>
      <c r="Q8" s="2004">
        <v>7953303</v>
      </c>
      <c r="R8" s="2002">
        <f t="shared" ref="R8:R22" si="5">+T8/$G8</f>
        <v>2626.5573770491801</v>
      </c>
      <c r="S8" s="2002">
        <f t="shared" ref="S8:S22" si="6">+T8/$H8</f>
        <v>794.53341501123066</v>
      </c>
      <c r="T8" s="2011">
        <v>544748</v>
      </c>
      <c r="U8" s="2005">
        <v>2.5000000000000001E-2</v>
      </c>
      <c r="V8" s="2006" t="s">
        <v>1184</v>
      </c>
      <c r="W8" s="2007">
        <v>46508</v>
      </c>
      <c r="X8" s="2005">
        <v>2.5000000000000001E-2</v>
      </c>
      <c r="Y8" s="2006" t="s">
        <v>1184</v>
      </c>
      <c r="Z8" s="2007">
        <v>46508</v>
      </c>
      <c r="AA8" s="2008">
        <v>5</v>
      </c>
    </row>
    <row r="9" spans="1:27" s="1993" customFormat="1" ht="11.25" customHeight="1">
      <c r="B9" s="1994"/>
      <c r="C9" s="1995" t="s">
        <v>1181</v>
      </c>
      <c r="D9" s="1996">
        <v>8</v>
      </c>
      <c r="E9" s="2010" t="s">
        <v>1187</v>
      </c>
      <c r="F9" s="2012" t="s">
        <v>1186</v>
      </c>
      <c r="G9" s="2013">
        <v>63.86</v>
      </c>
      <c r="H9" s="2013">
        <v>211.10051054977646</v>
      </c>
      <c r="I9" s="2014" t="s">
        <v>1188</v>
      </c>
      <c r="J9" s="2014" t="s">
        <v>1188</v>
      </c>
      <c r="K9" s="1999" t="s">
        <v>1188</v>
      </c>
      <c r="L9" s="2002">
        <f t="shared" si="1"/>
        <v>0</v>
      </c>
      <c r="M9" s="2002">
        <f t="shared" si="2"/>
        <v>0</v>
      </c>
      <c r="N9" s="2006">
        <v>0</v>
      </c>
      <c r="O9" s="2002">
        <f t="shared" si="3"/>
        <v>0</v>
      </c>
      <c r="P9" s="2002">
        <f t="shared" si="4"/>
        <v>0</v>
      </c>
      <c r="Q9" s="2015">
        <v>0</v>
      </c>
      <c r="R9" s="2002">
        <f t="shared" si="5"/>
        <v>0</v>
      </c>
      <c r="S9" s="2002">
        <f t="shared" si="6"/>
        <v>0</v>
      </c>
      <c r="T9" s="2015">
        <v>0</v>
      </c>
      <c r="U9" s="2016" t="s">
        <v>1188</v>
      </c>
      <c r="V9" s="2016" t="s">
        <v>1188</v>
      </c>
      <c r="W9" s="2016" t="s">
        <v>1188</v>
      </c>
      <c r="X9" s="2016" t="s">
        <v>1188</v>
      </c>
      <c r="Y9" s="2016" t="s">
        <v>1188</v>
      </c>
      <c r="Z9" s="2016" t="s">
        <v>1188</v>
      </c>
      <c r="AA9" s="2017" t="s">
        <v>1188</v>
      </c>
    </row>
    <row r="10" spans="1:27" s="1993" customFormat="1" ht="11.25" customHeight="1">
      <c r="B10" s="1994"/>
      <c r="C10" s="1995" t="s">
        <v>1181</v>
      </c>
      <c r="D10" s="1996">
        <v>8</v>
      </c>
      <c r="E10" s="2010" t="s">
        <v>1187</v>
      </c>
      <c r="F10" s="2012" t="s">
        <v>1189</v>
      </c>
      <c r="G10" s="2013">
        <v>78.09</v>
      </c>
      <c r="H10" s="2013">
        <v>258.11296460098453</v>
      </c>
      <c r="I10" s="2014" t="s">
        <v>1188</v>
      </c>
      <c r="J10" s="2014" t="s">
        <v>1188</v>
      </c>
      <c r="K10" s="1999" t="s">
        <v>1188</v>
      </c>
      <c r="L10" s="2002">
        <f t="shared" si="1"/>
        <v>0</v>
      </c>
      <c r="M10" s="2002">
        <f t="shared" si="2"/>
        <v>0</v>
      </c>
      <c r="N10" s="2006">
        <v>0</v>
      </c>
      <c r="O10" s="2002">
        <f t="shared" si="3"/>
        <v>0</v>
      </c>
      <c r="P10" s="2002">
        <f t="shared" si="4"/>
        <v>0</v>
      </c>
      <c r="Q10" s="2015">
        <v>0</v>
      </c>
      <c r="R10" s="2002">
        <f t="shared" si="5"/>
        <v>0</v>
      </c>
      <c r="S10" s="2002">
        <f t="shared" si="6"/>
        <v>0</v>
      </c>
      <c r="T10" s="2015">
        <v>0</v>
      </c>
      <c r="U10" s="2016" t="s">
        <v>1188</v>
      </c>
      <c r="V10" s="2016" t="s">
        <v>1188</v>
      </c>
      <c r="W10" s="2016" t="s">
        <v>1188</v>
      </c>
      <c r="X10" s="2016" t="s">
        <v>1188</v>
      </c>
      <c r="Y10" s="2016" t="s">
        <v>1188</v>
      </c>
      <c r="Z10" s="2016" t="s">
        <v>1188</v>
      </c>
      <c r="AA10" s="2017" t="s">
        <v>1188</v>
      </c>
    </row>
    <row r="11" spans="1:27" s="1993" customFormat="1" ht="11.25" customHeight="1">
      <c r="B11" s="1994"/>
      <c r="C11" s="1995" t="s">
        <v>1181</v>
      </c>
      <c r="D11" s="1996">
        <v>7</v>
      </c>
      <c r="E11" s="2009" t="s">
        <v>1185</v>
      </c>
      <c r="F11" s="2010" t="s">
        <v>1186</v>
      </c>
      <c r="G11" s="1999">
        <v>1550.42</v>
      </c>
      <c r="H11" s="1999">
        <v>5125.3489047433195</v>
      </c>
      <c r="I11" s="2000">
        <v>45323</v>
      </c>
      <c r="J11" s="2000">
        <v>49064</v>
      </c>
      <c r="K11" s="2001">
        <f t="shared" si="0"/>
        <v>7.8356164383561646</v>
      </c>
      <c r="L11" s="2002">
        <f t="shared" si="1"/>
        <v>360000</v>
      </c>
      <c r="M11" s="2002">
        <f t="shared" si="2"/>
        <v>108900.13740985552</v>
      </c>
      <c r="N11" s="2003">
        <v>558151200</v>
      </c>
      <c r="O11" s="2002">
        <f t="shared" si="3"/>
        <v>63037.500161246629</v>
      </c>
      <c r="P11" s="2002">
        <f t="shared" si="4"/>
        <v>19068.867859815411</v>
      </c>
      <c r="Q11" s="2004">
        <v>97734601</v>
      </c>
      <c r="R11" s="2002">
        <f t="shared" si="5"/>
        <v>3151.8756207995252</v>
      </c>
      <c r="S11" s="2002">
        <f t="shared" si="6"/>
        <v>953.44357834400546</v>
      </c>
      <c r="T11" s="2004">
        <v>4886731</v>
      </c>
      <c r="U11" s="2005">
        <v>2.5000000000000001E-2</v>
      </c>
      <c r="V11" s="2006" t="s">
        <v>1184</v>
      </c>
      <c r="W11" s="2007">
        <v>46419</v>
      </c>
      <c r="X11" s="2005">
        <v>2.5000000000000001E-2</v>
      </c>
      <c r="Y11" s="2006" t="s">
        <v>1184</v>
      </c>
      <c r="Z11" s="2007">
        <v>46419</v>
      </c>
      <c r="AA11" s="2008">
        <v>5</v>
      </c>
    </row>
    <row r="12" spans="1:27" s="1993" customFormat="1" ht="11.25" customHeight="1">
      <c r="B12" s="1994"/>
      <c r="C12" s="1995" t="s">
        <v>1181</v>
      </c>
      <c r="D12" s="1996">
        <v>6</v>
      </c>
      <c r="E12" s="2009" t="s">
        <v>1185</v>
      </c>
      <c r="F12" s="2010" t="s">
        <v>1186</v>
      </c>
      <c r="G12" s="1999">
        <v>2187.87</v>
      </c>
      <c r="H12" s="1999">
        <v>7232.6196497370329</v>
      </c>
      <c r="I12" s="2000">
        <v>45323</v>
      </c>
      <c r="J12" s="2000">
        <v>49064</v>
      </c>
      <c r="K12" s="2001">
        <f t="shared" si="0"/>
        <v>7.8356164383561646</v>
      </c>
      <c r="L12" s="2002">
        <f t="shared" si="1"/>
        <v>360000</v>
      </c>
      <c r="M12" s="2002">
        <f t="shared" si="2"/>
        <v>108900.12722135017</v>
      </c>
      <c r="N12" s="2003">
        <v>787633200</v>
      </c>
      <c r="O12" s="2002">
        <f t="shared" si="3"/>
        <v>63037.499942866809</v>
      </c>
      <c r="P12" s="2002">
        <f t="shared" si="4"/>
        <v>19068.866009705693</v>
      </c>
      <c r="Q12" s="2004">
        <v>137917855</v>
      </c>
      <c r="R12" s="2002">
        <f t="shared" si="5"/>
        <v>3151.8751114097277</v>
      </c>
      <c r="S12" s="2002">
        <f t="shared" si="6"/>
        <v>953.44333505090708</v>
      </c>
      <c r="T12" s="2004">
        <v>6895893</v>
      </c>
      <c r="U12" s="2005">
        <v>2.5000000000000001E-2</v>
      </c>
      <c r="V12" s="2006" t="s">
        <v>1184</v>
      </c>
      <c r="W12" s="2007">
        <v>46419</v>
      </c>
      <c r="X12" s="2005">
        <v>2.5000000000000001E-2</v>
      </c>
      <c r="Y12" s="2006" t="s">
        <v>1184</v>
      </c>
      <c r="Z12" s="2007">
        <v>46419</v>
      </c>
      <c r="AA12" s="2008">
        <v>5</v>
      </c>
    </row>
    <row r="13" spans="1:27" s="1993" customFormat="1" ht="11.25" customHeight="1">
      <c r="B13" s="1994"/>
      <c r="C13" s="1995" t="s">
        <v>1181</v>
      </c>
      <c r="D13" s="1996">
        <v>5</v>
      </c>
      <c r="E13" s="2009" t="s">
        <v>1185</v>
      </c>
      <c r="F13" s="2010" t="s">
        <v>1186</v>
      </c>
      <c r="G13" s="1999">
        <v>2185.56</v>
      </c>
      <c r="H13" s="1999">
        <v>7224.9899694741771</v>
      </c>
      <c r="I13" s="2000">
        <v>45323</v>
      </c>
      <c r="J13" s="2000">
        <v>49064</v>
      </c>
      <c r="K13" s="2001">
        <f t="shared" si="0"/>
        <v>7.8356164383561646</v>
      </c>
      <c r="L13" s="2002">
        <f t="shared" si="1"/>
        <v>360000</v>
      </c>
      <c r="M13" s="2002">
        <f t="shared" si="2"/>
        <v>108900.02661931199</v>
      </c>
      <c r="N13" s="2003">
        <v>786801600</v>
      </c>
      <c r="O13" s="2002">
        <f t="shared" si="3"/>
        <v>63037.500228774319</v>
      </c>
      <c r="P13" s="2002">
        <f t="shared" si="4"/>
        <v>19068.84848035669</v>
      </c>
      <c r="Q13" s="2004">
        <v>137772239</v>
      </c>
      <c r="R13" s="2002">
        <f t="shared" si="5"/>
        <v>3151.8750343161478</v>
      </c>
      <c r="S13" s="2002">
        <f t="shared" si="6"/>
        <v>953.44243093825935</v>
      </c>
      <c r="T13" s="2004">
        <v>6888612</v>
      </c>
      <c r="U13" s="2005">
        <v>2.5000000000000001E-2</v>
      </c>
      <c r="V13" s="2006" t="s">
        <v>1184</v>
      </c>
      <c r="W13" s="2007">
        <v>46419</v>
      </c>
      <c r="X13" s="2005">
        <v>2.5000000000000001E-2</v>
      </c>
      <c r="Y13" s="2006" t="s">
        <v>1184</v>
      </c>
      <c r="Z13" s="2007">
        <v>46419</v>
      </c>
      <c r="AA13" s="2008">
        <v>5</v>
      </c>
    </row>
    <row r="14" spans="1:27" s="1993" customFormat="1" ht="11.25" customHeight="1">
      <c r="B14" s="1994"/>
      <c r="C14" s="1995" t="s">
        <v>1181</v>
      </c>
      <c r="D14" s="1996">
        <v>4</v>
      </c>
      <c r="E14" s="2009" t="s">
        <v>1185</v>
      </c>
      <c r="F14" s="2010" t="s">
        <v>1186</v>
      </c>
      <c r="G14" s="1999">
        <v>2185.56</v>
      </c>
      <c r="H14" s="1999">
        <v>7224.9899694741771</v>
      </c>
      <c r="I14" s="2000">
        <v>45413</v>
      </c>
      <c r="J14" s="2000">
        <v>49064</v>
      </c>
      <c r="K14" s="2001">
        <f t="shared" si="0"/>
        <v>7.8356164383561646</v>
      </c>
      <c r="L14" s="2002">
        <f t="shared" si="1"/>
        <v>360000</v>
      </c>
      <c r="M14" s="2002">
        <f t="shared" si="2"/>
        <v>108900.02661931199</v>
      </c>
      <c r="N14" s="2003">
        <v>786801600</v>
      </c>
      <c r="O14" s="2002">
        <f t="shared" si="3"/>
        <v>63037.500228774319</v>
      </c>
      <c r="P14" s="2002">
        <f t="shared" si="4"/>
        <v>19068.84848035669</v>
      </c>
      <c r="Q14" s="2004">
        <v>137772239</v>
      </c>
      <c r="R14" s="2002">
        <f t="shared" si="5"/>
        <v>3151.8750343161478</v>
      </c>
      <c r="S14" s="2002">
        <f t="shared" si="6"/>
        <v>953.44243093825935</v>
      </c>
      <c r="T14" s="2004">
        <v>6888612</v>
      </c>
      <c r="U14" s="2005">
        <v>2.5000000000000001E-2</v>
      </c>
      <c r="V14" s="2006" t="s">
        <v>1184</v>
      </c>
      <c r="W14" s="2007">
        <v>46508</v>
      </c>
      <c r="X14" s="2005">
        <v>2.5000000000000001E-2</v>
      </c>
      <c r="Y14" s="2006" t="s">
        <v>1184</v>
      </c>
      <c r="Z14" s="2007">
        <v>46508</v>
      </c>
      <c r="AA14" s="2008">
        <v>5</v>
      </c>
    </row>
    <row r="15" spans="1:27" s="1993" customFormat="1" ht="11.25" customHeight="1">
      <c r="B15" s="1994"/>
      <c r="C15" s="1995" t="s">
        <v>1181</v>
      </c>
      <c r="D15" s="1996">
        <v>3</v>
      </c>
      <c r="E15" s="2009" t="s">
        <v>1190</v>
      </c>
      <c r="F15" s="2010" t="s">
        <v>1186</v>
      </c>
      <c r="G15" s="1999">
        <v>2185.56</v>
      </c>
      <c r="H15" s="1999">
        <v>7224.9899694741771</v>
      </c>
      <c r="I15" s="2000">
        <v>45503</v>
      </c>
      <c r="J15" s="2000">
        <v>47328</v>
      </c>
      <c r="K15" s="2001">
        <f t="shared" si="0"/>
        <v>3.0794520547945203</v>
      </c>
      <c r="L15" s="2002">
        <f t="shared" si="1"/>
        <v>293998.79207159724</v>
      </c>
      <c r="M15" s="2002">
        <f t="shared" si="2"/>
        <v>88934.656340673624</v>
      </c>
      <c r="N15" s="2003">
        <v>642552000</v>
      </c>
      <c r="O15" s="2002">
        <f t="shared" si="3"/>
        <v>48999.798678599538</v>
      </c>
      <c r="P15" s="2002">
        <f t="shared" si="4"/>
        <v>14822.442723445605</v>
      </c>
      <c r="Q15" s="2004">
        <v>107092000</v>
      </c>
      <c r="R15" s="2002">
        <f t="shared" si="5"/>
        <v>2999.6888669265545</v>
      </c>
      <c r="S15" s="2002">
        <f t="shared" si="6"/>
        <v>907.4061040498766</v>
      </c>
      <c r="T15" s="2004">
        <v>6556000</v>
      </c>
      <c r="U15" s="2005">
        <v>0</v>
      </c>
      <c r="V15" s="2005" t="s">
        <v>1188</v>
      </c>
      <c r="W15" s="2005" t="s">
        <v>1188</v>
      </c>
      <c r="X15" s="2005">
        <v>0</v>
      </c>
      <c r="Y15" s="2005" t="s">
        <v>1188</v>
      </c>
      <c r="Z15" s="2005" t="s">
        <v>1188</v>
      </c>
      <c r="AA15" s="2018" t="s">
        <v>1188</v>
      </c>
    </row>
    <row r="16" spans="1:27" s="1993" customFormat="1" ht="11.25" customHeight="1">
      <c r="B16" s="1994"/>
      <c r="C16" s="1995" t="s">
        <v>1181</v>
      </c>
      <c r="D16" s="1996">
        <v>2</v>
      </c>
      <c r="E16" s="2009" t="s">
        <v>1185</v>
      </c>
      <c r="F16" s="2010" t="s">
        <v>1186</v>
      </c>
      <c r="G16" s="1999">
        <v>2185.56</v>
      </c>
      <c r="H16" s="1999">
        <v>7224.9899694741771</v>
      </c>
      <c r="I16" s="2000">
        <v>45658</v>
      </c>
      <c r="J16" s="2000">
        <v>49064</v>
      </c>
      <c r="K16" s="2001">
        <f t="shared" si="0"/>
        <v>7.8356164383561646</v>
      </c>
      <c r="L16" s="2002">
        <f t="shared" si="1"/>
        <v>360000</v>
      </c>
      <c r="M16" s="2002">
        <f t="shared" si="2"/>
        <v>108900.02661931199</v>
      </c>
      <c r="N16" s="2003">
        <v>786801600</v>
      </c>
      <c r="O16" s="2002">
        <f t="shared" si="3"/>
        <v>61500</v>
      </c>
      <c r="P16" s="2002">
        <f t="shared" si="4"/>
        <v>18603.754547465796</v>
      </c>
      <c r="Q16" s="2004">
        <v>134411940</v>
      </c>
      <c r="R16" s="2002">
        <f t="shared" si="5"/>
        <v>3075</v>
      </c>
      <c r="S16" s="2002">
        <f t="shared" si="6"/>
        <v>930.18772737328993</v>
      </c>
      <c r="T16" s="2004">
        <v>6720597</v>
      </c>
      <c r="U16" s="2005">
        <v>2.5000000000000001E-2</v>
      </c>
      <c r="V16" s="2006" t="s">
        <v>1184</v>
      </c>
      <c r="W16" s="2007">
        <v>46388</v>
      </c>
      <c r="X16" s="2005">
        <v>2.5000000000000001E-2</v>
      </c>
      <c r="Y16" s="2006" t="s">
        <v>1184</v>
      </c>
      <c r="Z16" s="2007">
        <v>46388</v>
      </c>
      <c r="AA16" s="2008">
        <v>9.3000000000000007</v>
      </c>
    </row>
    <row r="17" spans="1:27" s="1993" customFormat="1" ht="11.25" customHeight="1">
      <c r="B17" s="1994"/>
      <c r="C17" s="1995" t="s">
        <v>1181</v>
      </c>
      <c r="D17" s="1996">
        <v>1</v>
      </c>
      <c r="E17" s="2019" t="s">
        <v>1191</v>
      </c>
      <c r="F17" s="2010" t="s">
        <v>1186</v>
      </c>
      <c r="G17" s="1999">
        <v>1092.94</v>
      </c>
      <c r="H17" s="1999">
        <v>3613.0124798410602</v>
      </c>
      <c r="I17" s="2000">
        <v>45689</v>
      </c>
      <c r="J17" s="2000">
        <v>49340</v>
      </c>
      <c r="K17" s="2001">
        <f t="shared" si="0"/>
        <v>8.5917808219178085</v>
      </c>
      <c r="L17" s="2002">
        <f t="shared" si="1"/>
        <v>359998.52599410759</v>
      </c>
      <c r="M17" s="2002">
        <f t="shared" si="2"/>
        <v>108899.92525497962</v>
      </c>
      <c r="N17" s="2003">
        <v>393456789</v>
      </c>
      <c r="O17" s="2002">
        <f t="shared" si="3"/>
        <v>61499.748385089755</v>
      </c>
      <c r="P17" s="2002">
        <f t="shared" si="4"/>
        <v>18603.737289874203</v>
      </c>
      <c r="Q17" s="2004">
        <v>67215535</v>
      </c>
      <c r="R17" s="2002">
        <f t="shared" si="5"/>
        <v>3074.9876479953155</v>
      </c>
      <c r="S17" s="2002">
        <f t="shared" si="6"/>
        <v>930.18693368804634</v>
      </c>
      <c r="T17" s="2004">
        <v>3360777</v>
      </c>
      <c r="U17" s="2005">
        <v>2.5000000000000001E-2</v>
      </c>
      <c r="V17" s="2006" t="s">
        <v>1184</v>
      </c>
      <c r="W17" s="2007">
        <v>46419</v>
      </c>
      <c r="X17" s="2005">
        <v>2.5000000000000001E-2</v>
      </c>
      <c r="Y17" s="2006" t="s">
        <v>1184</v>
      </c>
      <c r="Z17" s="2007">
        <v>46419</v>
      </c>
      <c r="AA17" s="2008">
        <v>15</v>
      </c>
    </row>
    <row r="18" spans="1:27" s="1993" customFormat="1" ht="11.25" customHeight="1">
      <c r="B18" s="1994"/>
      <c r="C18" s="1995" t="s">
        <v>1181</v>
      </c>
      <c r="D18" s="1996">
        <v>1</v>
      </c>
      <c r="E18" s="2019" t="s">
        <v>1192</v>
      </c>
      <c r="F18" s="2010" t="s">
        <v>1186</v>
      </c>
      <c r="G18" s="1999">
        <v>856.05</v>
      </c>
      <c r="H18" s="1999">
        <v>2829.9275201589408</v>
      </c>
      <c r="I18" s="2000">
        <v>45612</v>
      </c>
      <c r="J18" s="2000">
        <v>47514</v>
      </c>
      <c r="K18" s="2001">
        <f t="shared" si="0"/>
        <v>3.5890410958904111</v>
      </c>
      <c r="L18" s="2002">
        <f t="shared" si="1"/>
        <v>360000</v>
      </c>
      <c r="M18" s="2002">
        <f t="shared" si="2"/>
        <v>108899.60884322981</v>
      </c>
      <c r="N18" s="2003">
        <v>308178000</v>
      </c>
      <c r="O18" s="2002">
        <f t="shared" si="3"/>
        <v>61500</v>
      </c>
      <c r="P18" s="2002">
        <f t="shared" si="4"/>
        <v>18603.683177385094</v>
      </c>
      <c r="Q18" s="2004">
        <v>52647075</v>
      </c>
      <c r="R18" s="2002">
        <f t="shared" si="5"/>
        <v>3075.0002920390166</v>
      </c>
      <c r="S18" s="2002">
        <f t="shared" si="6"/>
        <v>930.18424721073984</v>
      </c>
      <c r="T18" s="2004">
        <v>2632354</v>
      </c>
      <c r="U18" s="2005">
        <v>2.5000000000000001E-2</v>
      </c>
      <c r="V18" s="2006" t="s">
        <v>1184</v>
      </c>
      <c r="W18" s="2007">
        <v>46342</v>
      </c>
      <c r="X18" s="2005">
        <v>2.5000000000000001E-2</v>
      </c>
      <c r="Y18" s="2006" t="s">
        <v>1184</v>
      </c>
      <c r="Z18" s="2007">
        <v>46342</v>
      </c>
      <c r="AA18" s="2008">
        <v>7.5</v>
      </c>
    </row>
    <row r="19" spans="1:27" s="1993" customFormat="1" ht="11.25" customHeight="1">
      <c r="B19" s="1994"/>
      <c r="C19" s="1995" t="s">
        <v>1181</v>
      </c>
      <c r="D19" s="1996">
        <v>1</v>
      </c>
      <c r="E19" s="2009" t="s">
        <v>1193</v>
      </c>
      <c r="F19" s="2010" t="s">
        <v>1194</v>
      </c>
      <c r="G19" s="1999">
        <v>17.29</v>
      </c>
      <c r="H19" s="1999">
        <v>57.15</v>
      </c>
      <c r="I19" s="2000">
        <v>45778</v>
      </c>
      <c r="J19" s="2000">
        <v>47603</v>
      </c>
      <c r="K19" s="2001">
        <f t="shared" si="0"/>
        <v>3.8328767123287673</v>
      </c>
      <c r="L19" s="2002">
        <f t="shared" si="1"/>
        <v>360000</v>
      </c>
      <c r="M19" s="2002">
        <f t="shared" si="2"/>
        <v>108913.38582677166</v>
      </c>
      <c r="N19" s="2003">
        <v>6224400</v>
      </c>
      <c r="O19" s="2002">
        <f t="shared" si="3"/>
        <v>61500</v>
      </c>
      <c r="P19" s="2002">
        <f t="shared" si="4"/>
        <v>18606.036745406826</v>
      </c>
      <c r="Q19" s="2004">
        <v>1063335</v>
      </c>
      <c r="R19" s="2002">
        <f t="shared" si="5"/>
        <v>3075.0144592249858</v>
      </c>
      <c r="S19" s="2002">
        <f t="shared" si="6"/>
        <v>930.3062117235346</v>
      </c>
      <c r="T19" s="2004">
        <v>53167</v>
      </c>
      <c r="U19" s="2005">
        <v>2.5000000000000001E-2</v>
      </c>
      <c r="V19" s="2006" t="s">
        <v>1184</v>
      </c>
      <c r="W19" s="2007">
        <v>46508</v>
      </c>
      <c r="X19" s="2005">
        <v>2.5000000000000001E-2</v>
      </c>
      <c r="Y19" s="2006" t="s">
        <v>1184</v>
      </c>
      <c r="Z19" s="2007">
        <v>46508</v>
      </c>
      <c r="AA19" s="2008">
        <v>7.5</v>
      </c>
    </row>
    <row r="20" spans="1:27" s="2022" customFormat="1" ht="11.25" customHeight="1">
      <c r="B20" s="2020"/>
      <c r="C20" s="1995" t="s">
        <v>1181</v>
      </c>
      <c r="D20" s="2021">
        <v>1</v>
      </c>
      <c r="E20" s="2012" t="s">
        <v>1187</v>
      </c>
      <c r="F20" s="2010" t="s">
        <v>1194</v>
      </c>
      <c r="G20" s="2013">
        <f>G44-G19</f>
        <v>141.01000000000002</v>
      </c>
      <c r="H20" s="2013">
        <f t="shared" ref="H20" si="7">H44-H19</f>
        <v>466.14419780996116</v>
      </c>
      <c r="I20" s="2014" t="s">
        <v>1188</v>
      </c>
      <c r="J20" s="2014" t="s">
        <v>1188</v>
      </c>
      <c r="K20" s="1999" t="s">
        <v>1188</v>
      </c>
      <c r="L20" s="2002">
        <f t="shared" si="1"/>
        <v>0</v>
      </c>
      <c r="M20" s="2002">
        <f t="shared" si="2"/>
        <v>0</v>
      </c>
      <c r="N20" s="2006">
        <v>0</v>
      </c>
      <c r="O20" s="2002">
        <f t="shared" si="3"/>
        <v>0</v>
      </c>
      <c r="P20" s="2002">
        <f t="shared" si="4"/>
        <v>0</v>
      </c>
      <c r="Q20" s="2015">
        <v>0</v>
      </c>
      <c r="R20" s="2002">
        <f t="shared" si="5"/>
        <v>0</v>
      </c>
      <c r="S20" s="2002">
        <f t="shared" si="6"/>
        <v>0</v>
      </c>
      <c r="T20" s="2015">
        <v>0</v>
      </c>
      <c r="U20" s="2016" t="s">
        <v>1188</v>
      </c>
      <c r="V20" s="2016" t="s">
        <v>1188</v>
      </c>
      <c r="W20" s="2016" t="s">
        <v>1188</v>
      </c>
      <c r="X20" s="2016" t="s">
        <v>1188</v>
      </c>
      <c r="Y20" s="2016" t="s">
        <v>1188</v>
      </c>
      <c r="Z20" s="2016" t="s">
        <v>1188</v>
      </c>
      <c r="AA20" s="2017" t="s">
        <v>1188</v>
      </c>
    </row>
    <row r="21" spans="1:27" s="1993" customFormat="1" ht="11.25" customHeight="1">
      <c r="B21" s="1994"/>
      <c r="C21" s="1995" t="s">
        <v>1181</v>
      </c>
      <c r="D21" s="1996" t="s">
        <v>1195</v>
      </c>
      <c r="E21" s="2009" t="s">
        <v>1196</v>
      </c>
      <c r="F21" s="2010" t="s">
        <v>1186</v>
      </c>
      <c r="G21" s="1999">
        <v>2745.32</v>
      </c>
      <c r="H21" s="1999">
        <v>9075.4522996857431</v>
      </c>
      <c r="I21" s="2000">
        <v>45748</v>
      </c>
      <c r="J21" s="2000">
        <v>49064</v>
      </c>
      <c r="K21" s="2001">
        <f t="shared" si="0"/>
        <v>7.8356164383561646</v>
      </c>
      <c r="L21" s="2002">
        <f t="shared" si="1"/>
        <v>360000</v>
      </c>
      <c r="M21" s="2002">
        <f t="shared" si="2"/>
        <v>108899.82861066026</v>
      </c>
      <c r="N21" s="2006">
        <v>988315200</v>
      </c>
      <c r="O21" s="2002">
        <f t="shared" si="3"/>
        <v>61499.999999999993</v>
      </c>
      <c r="P21" s="2002">
        <f t="shared" si="4"/>
        <v>18603.720720987796</v>
      </c>
      <c r="Q21" s="2011">
        <v>168837180</v>
      </c>
      <c r="R21" s="2002">
        <f t="shared" si="5"/>
        <v>3075</v>
      </c>
      <c r="S21" s="2002">
        <f t="shared" si="6"/>
        <v>930.18603604938983</v>
      </c>
      <c r="T21" s="2011">
        <v>8441859</v>
      </c>
      <c r="U21" s="2005">
        <v>2.5000000000000001E-2</v>
      </c>
      <c r="V21" s="2006" t="s">
        <v>1184</v>
      </c>
      <c r="W21" s="2007">
        <v>46478</v>
      </c>
      <c r="X21" s="2005">
        <v>2.5000000000000001E-2</v>
      </c>
      <c r="Y21" s="2006" t="s">
        <v>1184</v>
      </c>
      <c r="Z21" s="2007">
        <v>46478</v>
      </c>
      <c r="AA21" s="2023">
        <v>9.1</v>
      </c>
    </row>
    <row r="22" spans="1:27" s="2022" customFormat="1" ht="11.25" customHeight="1">
      <c r="B22" s="1994"/>
      <c r="C22" s="1995" t="s">
        <v>1181</v>
      </c>
      <c r="D22" s="2021" t="s">
        <v>1197</v>
      </c>
      <c r="E22" s="2024" t="s">
        <v>1198</v>
      </c>
      <c r="F22" s="2010" t="s">
        <v>1186</v>
      </c>
      <c r="G22" s="2013">
        <v>2728.21</v>
      </c>
      <c r="H22" s="2013">
        <v>9018.8871730013507</v>
      </c>
      <c r="I22" s="2014">
        <v>45992</v>
      </c>
      <c r="J22" s="2014">
        <v>49064</v>
      </c>
      <c r="K22" s="2001">
        <f t="shared" si="0"/>
        <v>7.8356164383561646</v>
      </c>
      <c r="L22" s="2002">
        <f t="shared" si="1"/>
        <v>360000</v>
      </c>
      <c r="M22" s="2002">
        <f t="shared" si="2"/>
        <v>108899.86548896512</v>
      </c>
      <c r="N22" s="2006">
        <v>982155600</v>
      </c>
      <c r="O22" s="2002">
        <f t="shared" si="3"/>
        <v>60000</v>
      </c>
      <c r="P22" s="2002">
        <f t="shared" si="4"/>
        <v>18149.977581494186</v>
      </c>
      <c r="Q22" s="2015">
        <v>163692600</v>
      </c>
      <c r="R22" s="2002">
        <f t="shared" si="5"/>
        <v>3000</v>
      </c>
      <c r="S22" s="2002">
        <f t="shared" si="6"/>
        <v>907.49887907470929</v>
      </c>
      <c r="T22" s="2015">
        <v>8184630</v>
      </c>
      <c r="U22" s="2005">
        <v>2.5000000000000001E-2</v>
      </c>
      <c r="V22" s="2006" t="s">
        <v>1184</v>
      </c>
      <c r="W22" s="2007">
        <v>46357</v>
      </c>
      <c r="X22" s="2005">
        <v>2.5000000000000001E-2</v>
      </c>
      <c r="Y22" s="2006" t="s">
        <v>1184</v>
      </c>
      <c r="Z22" s="2007">
        <v>46357</v>
      </c>
      <c r="AA22" s="2023">
        <v>8.4</v>
      </c>
    </row>
    <row r="23" spans="1:27" s="2025" customFormat="1" ht="11.25" customHeight="1">
      <c r="C23" s="2867" t="s">
        <v>1199</v>
      </c>
      <c r="D23" s="2867"/>
      <c r="E23" s="2867"/>
      <c r="F23" s="2867"/>
      <c r="G23" s="2026">
        <f>+SUM(G7:G22)</f>
        <v>20890.09</v>
      </c>
      <c r="H23" s="2026">
        <f>+SUM(H7:H22)</f>
        <v>69058.085578024882</v>
      </c>
      <c r="I23" s="2027"/>
      <c r="J23" s="2027"/>
      <c r="K23" s="2028">
        <f>+SUMPRODUCT(K7:K22,G7:G22)/SUM(G21:G22,G11:G19,G7:G8)</f>
        <v>7.0907572760642248</v>
      </c>
      <c r="L23" s="2027">
        <f>+N23/G23</f>
        <v>343344.21713836561</v>
      </c>
      <c r="M23" s="2027">
        <f>+N23/H23</f>
        <v>103861.72070895597</v>
      </c>
      <c r="N23" s="2027">
        <f>+SUM(N7:N22)</f>
        <v>7172491597</v>
      </c>
      <c r="O23" s="2027">
        <f>+Q23/G23</f>
        <v>59059.810848110275</v>
      </c>
      <c r="P23" s="2027">
        <f>+Q23/H23</f>
        <v>17865.609127059248</v>
      </c>
      <c r="Q23" s="2027">
        <f>+SUM(Q7:Q22)</f>
        <v>1233764764</v>
      </c>
      <c r="R23" s="2027">
        <f>+T23/G23</f>
        <v>3041.0637292610995</v>
      </c>
      <c r="S23" s="2027">
        <f>T23/H23</f>
        <v>919.92261975208021</v>
      </c>
      <c r="T23" s="2027">
        <f>+SUM(T7:T22)</f>
        <v>63528095</v>
      </c>
      <c r="U23" s="2027"/>
      <c r="V23" s="2027"/>
      <c r="W23" s="2027"/>
      <c r="X23" s="2027"/>
      <c r="Y23" s="2027"/>
      <c r="Z23" s="2027"/>
      <c r="AA23" s="2027"/>
    </row>
    <row r="24" spans="1:27" s="2022" customFormat="1" ht="11.25" customHeight="1">
      <c r="C24" s="2029"/>
      <c r="D24" s="1979"/>
      <c r="E24" s="2030"/>
      <c r="F24" s="2030"/>
      <c r="G24" s="1979"/>
      <c r="H24" s="1979"/>
      <c r="I24" s="1979"/>
      <c r="J24" s="1979"/>
      <c r="K24" s="1979"/>
      <c r="L24" s="1979"/>
      <c r="M24" s="1979"/>
      <c r="N24" s="1979"/>
      <c r="O24" s="1979"/>
      <c r="P24" s="1979"/>
      <c r="Q24" s="1979"/>
      <c r="R24" s="1979"/>
      <c r="S24" s="1979"/>
      <c r="T24" s="1979"/>
      <c r="U24" s="2030"/>
      <c r="V24" s="2030"/>
      <c r="W24" s="1979"/>
      <c r="X24" s="2030"/>
      <c r="Y24" s="2030"/>
      <c r="Z24" s="1979"/>
      <c r="AA24" s="2030"/>
    </row>
    <row r="27" spans="1:27" ht="11.25" customHeight="1">
      <c r="C27" s="2174" t="s">
        <v>1268</v>
      </c>
    </row>
    <row r="29" spans="1:27" ht="11.25" customHeight="1">
      <c r="C29" s="2884" t="s">
        <v>1250</v>
      </c>
      <c r="D29" s="2884" t="s">
        <v>1251</v>
      </c>
      <c r="E29" s="2884" t="s">
        <v>1252</v>
      </c>
      <c r="F29" s="2884" t="s">
        <v>1253</v>
      </c>
      <c r="G29" s="2882" t="s">
        <v>1254</v>
      </c>
      <c r="H29" s="2883"/>
      <c r="I29" s="2884" t="s">
        <v>1255</v>
      </c>
      <c r="J29" s="2885"/>
      <c r="K29" s="2885"/>
      <c r="L29" s="2870" t="s">
        <v>1256</v>
      </c>
      <c r="M29" s="2871"/>
      <c r="N29" s="2871"/>
      <c r="O29" s="2887" t="s">
        <v>1257</v>
      </c>
      <c r="P29" s="2888"/>
      <c r="Q29" s="2888"/>
      <c r="R29" s="2870" t="s">
        <v>1258</v>
      </c>
      <c r="S29" s="2871"/>
      <c r="T29" s="2871"/>
      <c r="U29" s="2872" t="s">
        <v>1257</v>
      </c>
      <c r="V29" s="2873"/>
      <c r="W29" s="2873"/>
      <c r="X29" s="2874" t="s">
        <v>1258</v>
      </c>
      <c r="Y29" s="2875"/>
      <c r="Z29" s="2875"/>
      <c r="AA29" s="2139" t="s">
        <v>1164</v>
      </c>
    </row>
    <row r="30" spans="1:27" ht="11.25" customHeight="1">
      <c r="C30" s="2885"/>
      <c r="D30" s="2885"/>
      <c r="E30" s="2885"/>
      <c r="F30" s="2885"/>
      <c r="G30" s="2140" t="s">
        <v>283</v>
      </c>
      <c r="H30" s="2140" t="s">
        <v>1165</v>
      </c>
      <c r="I30" s="2138" t="s">
        <v>1261</v>
      </c>
      <c r="J30" s="2138" t="s">
        <v>1262</v>
      </c>
      <c r="K30" s="2141" t="s">
        <v>1263</v>
      </c>
      <c r="L30" s="2140" t="s">
        <v>1169</v>
      </c>
      <c r="M30" s="2140" t="s">
        <v>1170</v>
      </c>
      <c r="N30" s="2140" t="s">
        <v>640</v>
      </c>
      <c r="O30" s="2140" t="s">
        <v>1171</v>
      </c>
      <c r="P30" s="2140" t="s">
        <v>1172</v>
      </c>
      <c r="Q30" s="2140" t="s">
        <v>1173</v>
      </c>
      <c r="R30" s="2140" t="s">
        <v>1171</v>
      </c>
      <c r="S30" s="2140" t="s">
        <v>1172</v>
      </c>
      <c r="T30" s="2140" t="s">
        <v>1173</v>
      </c>
      <c r="U30" s="2175" t="s">
        <v>1171</v>
      </c>
      <c r="V30" s="2175" t="s">
        <v>1172</v>
      </c>
      <c r="W30" s="2175" t="s">
        <v>1173</v>
      </c>
      <c r="X30" s="2175" t="s">
        <v>1171</v>
      </c>
      <c r="Y30" s="2175" t="s">
        <v>1172</v>
      </c>
      <c r="Z30" s="2175" t="s">
        <v>1173</v>
      </c>
      <c r="AA30" s="2140" t="s">
        <v>1180</v>
      </c>
    </row>
    <row r="31" spans="1:27" ht="11.25" customHeight="1">
      <c r="A31" s="2031">
        <f>G31-G7</f>
        <v>-9.9999999999909051E-3</v>
      </c>
      <c r="C31" s="2142" t="s">
        <v>1181</v>
      </c>
      <c r="D31" s="2143">
        <v>8</v>
      </c>
      <c r="E31" s="1997" t="s">
        <v>1182</v>
      </c>
      <c r="F31" s="2144" t="s">
        <v>1183</v>
      </c>
      <c r="G31" s="2145">
        <f>'Rentroll(개시시점 기준)'!I49</f>
        <v>479.38</v>
      </c>
      <c r="H31" s="2145">
        <f>'Rentroll(개시시점 기준)'!H49</f>
        <v>1584.75</v>
      </c>
      <c r="I31" s="2146">
        <f>'Rentroll(개시시점 기준)'!V49</f>
        <v>45658</v>
      </c>
      <c r="J31" s="2146">
        <f>'Rentroll(개시시점 기준)'!W49</f>
        <v>47483</v>
      </c>
      <c r="K31" s="2147">
        <f>DATEDIF(TIC!$M$4,J31,"D")/365</f>
        <v>3.1698630136986301</v>
      </c>
      <c r="L31" s="2148">
        <f t="shared" ref="L31:L42" si="8">N31/G31</f>
        <v>208602.77858901082</v>
      </c>
      <c r="M31" s="2148">
        <f t="shared" ref="M31:M42" si="9">N31/H31</f>
        <v>63101.435557658937</v>
      </c>
      <c r="N31" s="2149">
        <f>'Rentroll(개시시점 기준)'!O49</f>
        <v>100000000</v>
      </c>
      <c r="O31" s="2148">
        <f t="shared" ref="O31:O42" si="10">Q31/G31</f>
        <v>40000.573657641122</v>
      </c>
      <c r="P31" s="2148">
        <f t="shared" ref="P31:P42" si="11">Q31/H31</f>
        <v>12100</v>
      </c>
      <c r="Q31" s="2150">
        <f>'Rentroll(개시시점 기준)'!Q49</f>
        <v>19175475</v>
      </c>
      <c r="R31" s="2148">
        <f t="shared" ref="R31:R42" si="12">T31/G31</f>
        <v>3000.0438065835037</v>
      </c>
      <c r="S31" s="2148">
        <f t="shared" ref="S31:S42" si="13">T31/H31</f>
        <v>907.50023663038337</v>
      </c>
      <c r="T31" s="2150">
        <f>'Rentroll(개시시점 기준)'!T49</f>
        <v>1438161</v>
      </c>
      <c r="U31" s="2176">
        <f>IFERROR(O31*(1+$U7)^ROUNDDOWN((DATEDIF($I31-1,$C$3+1,"M")/12),),)</f>
        <v>41000.587999082149</v>
      </c>
      <c r="V31" s="2178" t="b">
        <f>ABS(U31-O7)&lt;2</f>
        <v>1</v>
      </c>
      <c r="W31" s="2153"/>
      <c r="X31" s="2176">
        <f>IFERROR(R31*(1+$X7)^ROUNDDOWN((DATEDIF($I31-1,$C$3+1,"M")/12),),)</f>
        <v>3075.044901748091</v>
      </c>
      <c r="Y31" s="2152" t="b">
        <f>ABS(X31-R7)&lt;2</f>
        <v>1</v>
      </c>
      <c r="Z31" s="2153"/>
      <c r="AA31" s="2154"/>
    </row>
    <row r="32" spans="1:27" ht="11.25" customHeight="1">
      <c r="A32" s="2031">
        <f t="shared" ref="A32:A46" si="14">G32-G8</f>
        <v>0</v>
      </c>
      <c r="C32" s="2142" t="s">
        <v>1181</v>
      </c>
      <c r="D32" s="2143">
        <v>8</v>
      </c>
      <c r="E32" s="2155" t="s">
        <v>1264</v>
      </c>
      <c r="F32" s="2156" t="s">
        <v>1186</v>
      </c>
      <c r="G32" s="2145">
        <f>'Rentroll(개시시점 기준)'!I61</f>
        <v>207.4</v>
      </c>
      <c r="H32" s="2145">
        <f>'Rentroll(개시시점 기준)'!H61</f>
        <v>685.62</v>
      </c>
      <c r="I32" s="2146">
        <f>'Rentroll(개시시점 기준)'!V61</f>
        <v>45413</v>
      </c>
      <c r="J32" s="2146">
        <f>'Rentroll(개시시점 기준)'!W61</f>
        <v>49064</v>
      </c>
      <c r="K32" s="2147">
        <f>DATEDIF(TIC!$M$4,J32,"D")/365</f>
        <v>7.5013698630136982</v>
      </c>
      <c r="L32" s="2148">
        <f t="shared" si="8"/>
        <v>218999.07425265189</v>
      </c>
      <c r="M32" s="2148">
        <f t="shared" si="9"/>
        <v>66247.203990548704</v>
      </c>
      <c r="N32" s="2149">
        <f>'Rentroll(개시시점 기준)'!O61</f>
        <v>45420408</v>
      </c>
      <c r="O32" s="2148">
        <f t="shared" si="10"/>
        <v>36499.845708775312</v>
      </c>
      <c r="P32" s="2148">
        <f t="shared" si="11"/>
        <v>11041.20066509145</v>
      </c>
      <c r="Q32" s="2150">
        <f>'Rentroll(개시시점 기준)'!Q61</f>
        <v>7570068</v>
      </c>
      <c r="R32" s="2148">
        <f t="shared" si="12"/>
        <v>2499.990356798457</v>
      </c>
      <c r="S32" s="2148">
        <f t="shared" si="13"/>
        <v>756.24690061550132</v>
      </c>
      <c r="T32" s="2157">
        <f>'Rentroll(개시시점 기준)'!T61</f>
        <v>518498</v>
      </c>
      <c r="U32" s="2176">
        <f t="shared" ref="U32:U46" si="15">IFERROR(O32*(1+$U8)^ROUNDDOWN((DATEDIF($I32-1,$C$3+1,"M")/12),),)</f>
        <v>38347.650397782061</v>
      </c>
      <c r="V32" s="2178" t="b">
        <f t="shared" ref="V32:V46" si="16">ABS(U32-O8)&lt;2</f>
        <v>1</v>
      </c>
      <c r="W32" s="2153"/>
      <c r="X32" s="2176">
        <f t="shared" ref="X32:X46" si="17">IFERROR(R32*(1+$X8)^ROUNDDOWN((DATEDIF($I32-1,$C$3+1,"M")/12),),)</f>
        <v>2626.5523686113788</v>
      </c>
      <c r="Y32" s="2152" t="b">
        <f t="shared" ref="Y32:Y46" si="18">ABS(X32-R8)&lt;2</f>
        <v>1</v>
      </c>
      <c r="Z32" s="2153"/>
      <c r="AA32" s="2154"/>
    </row>
    <row r="33" spans="1:27" ht="11.25" customHeight="1">
      <c r="A33" s="2031">
        <f t="shared" si="14"/>
        <v>0</v>
      </c>
      <c r="C33" s="2142" t="s">
        <v>1181</v>
      </c>
      <c r="D33" s="2143">
        <v>8</v>
      </c>
      <c r="E33" s="2156" t="s">
        <v>1187</v>
      </c>
      <c r="F33" s="2158" t="s">
        <v>1186</v>
      </c>
      <c r="G33" s="2159">
        <f>'Rentroll(개시시점 기준)'!I60</f>
        <v>63.86</v>
      </c>
      <c r="H33" s="2159">
        <f>'Rentroll(개시시점 기준)'!H60</f>
        <v>211.10051054977646</v>
      </c>
      <c r="I33" s="2160" t="s">
        <v>1249</v>
      </c>
      <c r="J33" s="2160" t="s">
        <v>1249</v>
      </c>
      <c r="K33" s="2145"/>
      <c r="L33" s="2148">
        <f t="shared" si="8"/>
        <v>0</v>
      </c>
      <c r="M33" s="2148">
        <f t="shared" si="9"/>
        <v>0</v>
      </c>
      <c r="N33" s="2152">
        <f>'Rentroll(개시시점 기준)'!O60</f>
        <v>0</v>
      </c>
      <c r="O33" s="2148">
        <f t="shared" si="10"/>
        <v>0</v>
      </c>
      <c r="P33" s="2148">
        <f t="shared" si="11"/>
        <v>0</v>
      </c>
      <c r="Q33" s="2161">
        <f>'Rentroll(개시시점 기준)'!Q60</f>
        <v>0</v>
      </c>
      <c r="R33" s="2148">
        <f t="shared" si="12"/>
        <v>0</v>
      </c>
      <c r="S33" s="2148">
        <f t="shared" si="13"/>
        <v>0</v>
      </c>
      <c r="T33" s="2161">
        <f>'Rentroll(개시시점 기준)'!T60</f>
        <v>0</v>
      </c>
      <c r="U33" s="2177">
        <f t="shared" si="15"/>
        <v>0</v>
      </c>
      <c r="V33" s="2177" t="b">
        <f t="shared" si="16"/>
        <v>1</v>
      </c>
      <c r="W33" s="2162"/>
      <c r="X33" s="2177">
        <f t="shared" si="17"/>
        <v>0</v>
      </c>
      <c r="Y33" s="2162" t="b">
        <f t="shared" si="18"/>
        <v>1</v>
      </c>
      <c r="Z33" s="2162"/>
      <c r="AA33" s="2163"/>
    </row>
    <row r="34" spans="1:27" ht="11.25" customHeight="1">
      <c r="A34" s="2031">
        <f t="shared" si="14"/>
        <v>0</v>
      </c>
      <c r="C34" s="2142" t="s">
        <v>1181</v>
      </c>
      <c r="D34" s="2143">
        <v>8</v>
      </c>
      <c r="E34" s="2156" t="s">
        <v>1187</v>
      </c>
      <c r="F34" s="2158" t="s">
        <v>1189</v>
      </c>
      <c r="G34" s="2159">
        <f>SUM('Rentroll(개시시점 기준)'!I39:I48)</f>
        <v>78.09</v>
      </c>
      <c r="H34" s="2159">
        <f>SUM('Rentroll(개시시점 기준)'!H39:H48)</f>
        <v>258.11296460098453</v>
      </c>
      <c r="I34" s="2160" t="s">
        <v>1249</v>
      </c>
      <c r="J34" s="2160" t="s">
        <v>1249</v>
      </c>
      <c r="K34" s="2145"/>
      <c r="L34" s="2148">
        <f t="shared" si="8"/>
        <v>0</v>
      </c>
      <c r="M34" s="2148">
        <f t="shared" si="9"/>
        <v>0</v>
      </c>
      <c r="N34" s="2152">
        <f>SUM('Rentroll(개시시점 기준)'!O39:O48)</f>
        <v>0</v>
      </c>
      <c r="O34" s="2148">
        <f t="shared" si="10"/>
        <v>0</v>
      </c>
      <c r="P34" s="2148">
        <f t="shared" si="11"/>
        <v>0</v>
      </c>
      <c r="Q34" s="2161">
        <f>SUM('Rentroll(개시시점 기준)'!Q39:Q48)</f>
        <v>0</v>
      </c>
      <c r="R34" s="2148">
        <f t="shared" si="12"/>
        <v>0</v>
      </c>
      <c r="S34" s="2148">
        <f t="shared" si="13"/>
        <v>0</v>
      </c>
      <c r="T34" s="2161">
        <f>SUM('Rentroll(개시시점 기준)'!T39:T48)</f>
        <v>0</v>
      </c>
      <c r="U34" s="2177">
        <f t="shared" si="15"/>
        <v>0</v>
      </c>
      <c r="V34" s="2177" t="b">
        <f t="shared" si="16"/>
        <v>1</v>
      </c>
      <c r="W34" s="2162"/>
      <c r="X34" s="2177">
        <f t="shared" si="17"/>
        <v>0</v>
      </c>
      <c r="Y34" s="2162" t="b">
        <f t="shared" si="18"/>
        <v>1</v>
      </c>
      <c r="Z34" s="2162"/>
      <c r="AA34" s="2163"/>
    </row>
    <row r="35" spans="1:27" ht="11.25" customHeight="1">
      <c r="A35" s="2031">
        <f t="shared" si="14"/>
        <v>0</v>
      </c>
      <c r="C35" s="2142" t="s">
        <v>1181</v>
      </c>
      <c r="D35" s="2143">
        <v>7</v>
      </c>
      <c r="E35" s="2155" t="s">
        <v>1264</v>
      </c>
      <c r="F35" s="2156" t="s">
        <v>1186</v>
      </c>
      <c r="G35" s="2145">
        <f>'Rentroll(개시시점 기준)'!I62</f>
        <v>1550.42</v>
      </c>
      <c r="H35" s="2145">
        <f>'Rentroll(개시시점 기준)'!H62</f>
        <v>5125.3489047433195</v>
      </c>
      <c r="I35" s="2146">
        <f>'Rentroll(개시시점 기준)'!V62</f>
        <v>45323</v>
      </c>
      <c r="J35" s="2146">
        <f>'Rentroll(개시시점 기준)'!W62</f>
        <v>49064</v>
      </c>
      <c r="K35" s="2147">
        <f>DATEDIF(TIC!$M$4,J35,"D")/365</f>
        <v>7.5013698630136982</v>
      </c>
      <c r="L35" s="2148">
        <f t="shared" si="8"/>
        <v>360000</v>
      </c>
      <c r="M35" s="2148">
        <f t="shared" si="9"/>
        <v>108900.13740985552</v>
      </c>
      <c r="N35" s="2149">
        <f>'Rentroll(개시시점 기준)'!O62</f>
        <v>558151200</v>
      </c>
      <c r="O35" s="2148">
        <f t="shared" si="10"/>
        <v>60000</v>
      </c>
      <c r="P35" s="2148">
        <f t="shared" si="11"/>
        <v>18150.022901642587</v>
      </c>
      <c r="Q35" s="2150">
        <f>'Rentroll(개시시점 기준)'!Q62</f>
        <v>93025200</v>
      </c>
      <c r="R35" s="2148">
        <f t="shared" si="12"/>
        <v>3000</v>
      </c>
      <c r="S35" s="2148">
        <f t="shared" si="13"/>
        <v>907.50114508212937</v>
      </c>
      <c r="T35" s="2150">
        <f>'Rentroll(개시시점 기준)'!T62</f>
        <v>4651260</v>
      </c>
      <c r="U35" s="2176">
        <f t="shared" si="15"/>
        <v>63037.499999999993</v>
      </c>
      <c r="V35" s="2178" t="b">
        <f t="shared" si="16"/>
        <v>1</v>
      </c>
      <c r="W35" s="2153"/>
      <c r="X35" s="2176">
        <f t="shared" si="17"/>
        <v>3151.8749999999995</v>
      </c>
      <c r="Y35" s="2152" t="b">
        <f t="shared" si="18"/>
        <v>1</v>
      </c>
      <c r="Z35" s="2153"/>
      <c r="AA35" s="2154"/>
    </row>
    <row r="36" spans="1:27" ht="11.25" customHeight="1">
      <c r="A36" s="2031">
        <f t="shared" si="14"/>
        <v>0</v>
      </c>
      <c r="C36" s="2142" t="s">
        <v>1181</v>
      </c>
      <c r="D36" s="2143">
        <v>6</v>
      </c>
      <c r="E36" s="2155" t="s">
        <v>1264</v>
      </c>
      <c r="F36" s="2156" t="s">
        <v>1186</v>
      </c>
      <c r="G36" s="2145">
        <f>'Rentroll(개시시점 기준)'!I63</f>
        <v>2187.87</v>
      </c>
      <c r="H36" s="2145">
        <f>'Rentroll(개시시점 기준)'!H63</f>
        <v>7232.6196497370329</v>
      </c>
      <c r="I36" s="2146">
        <f>'Rentroll(개시시점 기준)'!V63</f>
        <v>45323</v>
      </c>
      <c r="J36" s="2146">
        <f>'Rentroll(개시시점 기준)'!W63</f>
        <v>49064</v>
      </c>
      <c r="K36" s="2147">
        <f>DATEDIF(TIC!$M$4,J36,"D")/365</f>
        <v>7.5013698630136982</v>
      </c>
      <c r="L36" s="2148">
        <f t="shared" si="8"/>
        <v>360000</v>
      </c>
      <c r="M36" s="2148">
        <f t="shared" si="9"/>
        <v>108900.12722135017</v>
      </c>
      <c r="N36" s="2149">
        <f>'Rentroll(개시시점 기준)'!O63</f>
        <v>787633200</v>
      </c>
      <c r="O36" s="2148">
        <f t="shared" si="10"/>
        <v>60000</v>
      </c>
      <c r="P36" s="2148">
        <f t="shared" si="11"/>
        <v>18150.021203558361</v>
      </c>
      <c r="Q36" s="2150">
        <f>'Rentroll(개시시점 기준)'!Q63</f>
        <v>131272200</v>
      </c>
      <c r="R36" s="2148">
        <f t="shared" si="12"/>
        <v>3000</v>
      </c>
      <c r="S36" s="2148">
        <f t="shared" si="13"/>
        <v>907.50106017791813</v>
      </c>
      <c r="T36" s="2150">
        <f>'Rentroll(개시시점 기준)'!T63</f>
        <v>6563610</v>
      </c>
      <c r="U36" s="2176">
        <f t="shared" si="15"/>
        <v>63037.499999999993</v>
      </c>
      <c r="V36" s="2178" t="b">
        <f t="shared" si="16"/>
        <v>1</v>
      </c>
      <c r="W36" s="2153"/>
      <c r="X36" s="2176">
        <f t="shared" si="17"/>
        <v>3151.8749999999995</v>
      </c>
      <c r="Y36" s="2152" t="b">
        <f t="shared" si="18"/>
        <v>1</v>
      </c>
      <c r="Z36" s="2153"/>
      <c r="AA36" s="2154"/>
    </row>
    <row r="37" spans="1:27" ht="11.25" customHeight="1">
      <c r="A37" s="2031">
        <f t="shared" si="14"/>
        <v>0</v>
      </c>
      <c r="C37" s="2142" t="s">
        <v>1181</v>
      </c>
      <c r="D37" s="2143">
        <v>5</v>
      </c>
      <c r="E37" s="2155" t="s">
        <v>1264</v>
      </c>
      <c r="F37" s="2156" t="s">
        <v>1186</v>
      </c>
      <c r="G37" s="2145">
        <f>'Rentroll(개시시점 기준)'!I64</f>
        <v>2185.56</v>
      </c>
      <c r="H37" s="2145">
        <f>'Rentroll(개시시점 기준)'!H64</f>
        <v>7224.9899694741771</v>
      </c>
      <c r="I37" s="2146">
        <f>'Rentroll(개시시점 기준)'!V64</f>
        <v>45323</v>
      </c>
      <c r="J37" s="2146">
        <f>'Rentroll(개시시점 기준)'!W64</f>
        <v>49064</v>
      </c>
      <c r="K37" s="2147">
        <f>DATEDIF(TIC!$M$4,J37,"D")/365</f>
        <v>7.5013698630136982</v>
      </c>
      <c r="L37" s="2148">
        <f t="shared" si="8"/>
        <v>360000</v>
      </c>
      <c r="M37" s="2148">
        <f t="shared" si="9"/>
        <v>108900.02661931199</v>
      </c>
      <c r="N37" s="2149">
        <f>'Rentroll(개시시점 기준)'!O64</f>
        <v>786801600</v>
      </c>
      <c r="O37" s="2148">
        <f t="shared" si="10"/>
        <v>60000</v>
      </c>
      <c r="P37" s="2148">
        <f t="shared" si="11"/>
        <v>18150.004436551997</v>
      </c>
      <c r="Q37" s="2150">
        <f>'Rentroll(개시시점 기준)'!Q64</f>
        <v>131133600</v>
      </c>
      <c r="R37" s="2148">
        <f t="shared" si="12"/>
        <v>3000</v>
      </c>
      <c r="S37" s="2148">
        <f t="shared" si="13"/>
        <v>907.50022182759994</v>
      </c>
      <c r="T37" s="2150">
        <f>'Rentroll(개시시점 기준)'!T64</f>
        <v>6556680</v>
      </c>
      <c r="U37" s="2176">
        <f t="shared" si="15"/>
        <v>63037.499999999993</v>
      </c>
      <c r="V37" s="2178" t="b">
        <f t="shared" si="16"/>
        <v>1</v>
      </c>
      <c r="W37" s="2153"/>
      <c r="X37" s="2176">
        <f t="shared" si="17"/>
        <v>3151.8749999999995</v>
      </c>
      <c r="Y37" s="2152" t="b">
        <f t="shared" si="18"/>
        <v>1</v>
      </c>
      <c r="Z37" s="2153"/>
      <c r="AA37" s="2154"/>
    </row>
    <row r="38" spans="1:27" ht="11.25" customHeight="1">
      <c r="A38" s="2031">
        <f t="shared" si="14"/>
        <v>0</v>
      </c>
      <c r="C38" s="2142" t="s">
        <v>1181</v>
      </c>
      <c r="D38" s="2143">
        <v>4</v>
      </c>
      <c r="E38" s="2155" t="s">
        <v>1264</v>
      </c>
      <c r="F38" s="2156" t="s">
        <v>1186</v>
      </c>
      <c r="G38" s="2145">
        <f>'Rentroll(개시시점 기준)'!I65</f>
        <v>2185.56</v>
      </c>
      <c r="H38" s="2145">
        <f>'Rentroll(개시시점 기준)'!H65</f>
        <v>7224.9899694741771</v>
      </c>
      <c r="I38" s="2146">
        <f>'Rentroll(개시시점 기준)'!V65</f>
        <v>45413</v>
      </c>
      <c r="J38" s="2146">
        <f>'Rentroll(개시시점 기준)'!W65</f>
        <v>49064</v>
      </c>
      <c r="K38" s="2147">
        <f>DATEDIF(TIC!$M$4,J38,"D")/365</f>
        <v>7.5013698630136982</v>
      </c>
      <c r="L38" s="2148">
        <f t="shared" si="8"/>
        <v>360000</v>
      </c>
      <c r="M38" s="2148">
        <f t="shared" si="9"/>
        <v>108900.02661931199</v>
      </c>
      <c r="N38" s="2149">
        <f>'Rentroll(개시시점 기준)'!O65</f>
        <v>786801600</v>
      </c>
      <c r="O38" s="2148">
        <f t="shared" si="10"/>
        <v>60000</v>
      </c>
      <c r="P38" s="2148">
        <f t="shared" si="11"/>
        <v>18150.004436551997</v>
      </c>
      <c r="Q38" s="2150">
        <f>'Rentroll(개시시점 기준)'!Q65</f>
        <v>131133600</v>
      </c>
      <c r="R38" s="2148">
        <f t="shared" si="12"/>
        <v>3000</v>
      </c>
      <c r="S38" s="2148">
        <f t="shared" si="13"/>
        <v>907.50022182759994</v>
      </c>
      <c r="T38" s="2150">
        <f>'Rentroll(개시시점 기준)'!T65</f>
        <v>6556680</v>
      </c>
      <c r="U38" s="2176">
        <f t="shared" si="15"/>
        <v>63037.499999999993</v>
      </c>
      <c r="V38" s="2178" t="b">
        <f t="shared" si="16"/>
        <v>1</v>
      </c>
      <c r="W38" s="2153"/>
      <c r="X38" s="2176">
        <f t="shared" si="17"/>
        <v>3151.8749999999995</v>
      </c>
      <c r="Y38" s="2152" t="b">
        <f t="shared" si="18"/>
        <v>1</v>
      </c>
      <c r="Z38" s="2153"/>
      <c r="AA38" s="2154"/>
    </row>
    <row r="39" spans="1:27" ht="11.25" customHeight="1">
      <c r="A39" s="2031">
        <f t="shared" si="14"/>
        <v>0</v>
      </c>
      <c r="C39" s="2142" t="s">
        <v>1181</v>
      </c>
      <c r="D39" s="2143">
        <v>3</v>
      </c>
      <c r="E39" s="2155" t="s">
        <v>1265</v>
      </c>
      <c r="F39" s="2156" t="s">
        <v>1186</v>
      </c>
      <c r="G39" s="2145">
        <f>'Rentroll(개시시점 기준)'!I66</f>
        <v>2185.56</v>
      </c>
      <c r="H39" s="2145">
        <f>'Rentroll(개시시점 기준)'!H66</f>
        <v>7224.9899694741771</v>
      </c>
      <c r="I39" s="2146">
        <f>'Rentroll(개시시점 기준)'!V66</f>
        <v>45503</v>
      </c>
      <c r="J39" s="2146">
        <f>'Rentroll(개시시점 기준)'!W66</f>
        <v>47328</v>
      </c>
      <c r="K39" s="2147">
        <f>DATEDIF(TIC!$M$4,J39,"D")/365</f>
        <v>2.7452054794520548</v>
      </c>
      <c r="L39" s="2148">
        <f t="shared" si="8"/>
        <v>293998.79207159724</v>
      </c>
      <c r="M39" s="2148">
        <f t="shared" si="9"/>
        <v>88934.656340673624</v>
      </c>
      <c r="N39" s="2149">
        <f>'Rentroll(개시시점 기준)'!O66</f>
        <v>642552000</v>
      </c>
      <c r="O39" s="2148">
        <f t="shared" si="10"/>
        <v>48999.798678599538</v>
      </c>
      <c r="P39" s="2148">
        <f t="shared" si="11"/>
        <v>14822.442723445605</v>
      </c>
      <c r="Q39" s="2150">
        <f>'Rentroll(개시시점 기준)'!Q66</f>
        <v>107092000</v>
      </c>
      <c r="R39" s="2148">
        <f t="shared" si="12"/>
        <v>2999.6888669265545</v>
      </c>
      <c r="S39" s="2148">
        <f t="shared" si="13"/>
        <v>907.4061040498766</v>
      </c>
      <c r="T39" s="2150">
        <f>'Rentroll(개시시점 기준)'!T66</f>
        <v>6556000</v>
      </c>
      <c r="U39" s="2176">
        <f t="shared" si="15"/>
        <v>48999.798678599538</v>
      </c>
      <c r="V39" s="2176" t="b">
        <f t="shared" si="16"/>
        <v>1</v>
      </c>
      <c r="W39" s="2151"/>
      <c r="X39" s="2176">
        <f t="shared" si="17"/>
        <v>2999.6888669265545</v>
      </c>
      <c r="Y39" s="2151" t="b">
        <f t="shared" si="18"/>
        <v>1</v>
      </c>
      <c r="Z39" s="2151"/>
      <c r="AA39" s="2164"/>
    </row>
    <row r="40" spans="1:27" ht="11.25" customHeight="1">
      <c r="A40" s="2031">
        <f t="shared" si="14"/>
        <v>0</v>
      </c>
      <c r="C40" s="2142" t="s">
        <v>1181</v>
      </c>
      <c r="D40" s="2143">
        <v>2</v>
      </c>
      <c r="E40" s="2155" t="s">
        <v>1264</v>
      </c>
      <c r="F40" s="2156" t="s">
        <v>1186</v>
      </c>
      <c r="G40" s="2145">
        <f>'Rentroll(개시시점 기준)'!I67</f>
        <v>2185.56</v>
      </c>
      <c r="H40" s="2145">
        <f>'Rentroll(개시시점 기준)'!H67</f>
        <v>7224.9899694741771</v>
      </c>
      <c r="I40" s="2146">
        <f>'Rentroll(개시시점 기준)'!V67</f>
        <v>45658</v>
      </c>
      <c r="J40" s="2146">
        <f>'Rentroll(개시시점 기준)'!W67</f>
        <v>49064</v>
      </c>
      <c r="K40" s="2147">
        <f>DATEDIF(TIC!$M$4,J40,"D")/365</f>
        <v>7.5013698630136982</v>
      </c>
      <c r="L40" s="2148">
        <f t="shared" si="8"/>
        <v>360000</v>
      </c>
      <c r="M40" s="2148">
        <f t="shared" si="9"/>
        <v>108900.02661931199</v>
      </c>
      <c r="N40" s="2149">
        <f>'Rentroll(개시시점 기준)'!O67</f>
        <v>786801600</v>
      </c>
      <c r="O40" s="2148">
        <f t="shared" si="10"/>
        <v>60000</v>
      </c>
      <c r="P40" s="2148">
        <f t="shared" si="11"/>
        <v>18150.004436551997</v>
      </c>
      <c r="Q40" s="2150">
        <f>'Rentroll(개시시점 기준)'!Q67</f>
        <v>131133600</v>
      </c>
      <c r="R40" s="2148">
        <f t="shared" si="12"/>
        <v>3000</v>
      </c>
      <c r="S40" s="2148">
        <f t="shared" si="13"/>
        <v>907.50022182759994</v>
      </c>
      <c r="T40" s="2150">
        <f>'Rentroll(개시시점 기준)'!T67</f>
        <v>6556680</v>
      </c>
      <c r="U40" s="2176">
        <f t="shared" si="15"/>
        <v>61499.999999999993</v>
      </c>
      <c r="V40" s="2178" t="b">
        <f t="shared" si="16"/>
        <v>1</v>
      </c>
      <c r="W40" s="2153"/>
      <c r="X40" s="2176">
        <f t="shared" si="17"/>
        <v>3074.9999999999995</v>
      </c>
      <c r="Y40" s="2152" t="b">
        <f t="shared" si="18"/>
        <v>1</v>
      </c>
      <c r="Z40" s="2153"/>
      <c r="AA40" s="2154"/>
    </row>
    <row r="41" spans="1:27" ht="11.25" customHeight="1">
      <c r="A41" s="2031">
        <f t="shared" si="14"/>
        <v>0</v>
      </c>
      <c r="C41" s="2142" t="s">
        <v>1181</v>
      </c>
      <c r="D41" s="2143">
        <v>1</v>
      </c>
      <c r="E41" s="2165" t="s">
        <v>1191</v>
      </c>
      <c r="F41" s="2156" t="s">
        <v>1186</v>
      </c>
      <c r="G41" s="2145">
        <f>'Rentroll(개시시점 기준)'!I68</f>
        <v>1092.94</v>
      </c>
      <c r="H41" s="2145">
        <f>'Rentroll(개시시점 기준)'!H68</f>
        <v>3613.0124798410602</v>
      </c>
      <c r="I41" s="2146">
        <f>'Rentroll(개시시점 기준)'!V68</f>
        <v>45689</v>
      </c>
      <c r="J41" s="2146">
        <f>'Rentroll(개시시점 기준)'!W68</f>
        <v>49340</v>
      </c>
      <c r="K41" s="2147">
        <f>DATEDIF(TIC!$M$4,J41,"D")/365</f>
        <v>8.257534246575343</v>
      </c>
      <c r="L41" s="2148">
        <f t="shared" si="8"/>
        <v>359998.52599410759</v>
      </c>
      <c r="M41" s="2148">
        <f t="shared" si="9"/>
        <v>108899.92525497962</v>
      </c>
      <c r="N41" s="2149">
        <f>'Rentroll(개시시점 기준)'!O68</f>
        <v>393456789</v>
      </c>
      <c r="O41" s="2148">
        <f t="shared" si="10"/>
        <v>59999.754789832921</v>
      </c>
      <c r="P41" s="2148">
        <f t="shared" si="11"/>
        <v>18149.987680885275</v>
      </c>
      <c r="Q41" s="2150">
        <f>'Rentroll(개시시점 기준)'!Q68</f>
        <v>65576132</v>
      </c>
      <c r="R41" s="2148">
        <f t="shared" si="12"/>
        <v>2999.9881054769703</v>
      </c>
      <c r="S41" s="2148">
        <f t="shared" si="13"/>
        <v>907.49949475520157</v>
      </c>
      <c r="T41" s="2150">
        <f>'Rentroll(개시시점 기준)'!T68</f>
        <v>3278807</v>
      </c>
      <c r="U41" s="2176">
        <f t="shared" si="15"/>
        <v>61499.748659578741</v>
      </c>
      <c r="V41" s="2178" t="b">
        <f t="shared" si="16"/>
        <v>1</v>
      </c>
      <c r="W41" s="2153"/>
      <c r="X41" s="2176">
        <f t="shared" si="17"/>
        <v>3074.9878081138945</v>
      </c>
      <c r="Y41" s="2152" t="b">
        <f t="shared" si="18"/>
        <v>1</v>
      </c>
      <c r="Z41" s="2153"/>
      <c r="AA41" s="2154"/>
    </row>
    <row r="42" spans="1:27" ht="11.25" customHeight="1">
      <c r="A42" s="2031">
        <f t="shared" si="14"/>
        <v>0</v>
      </c>
      <c r="C42" s="2142" t="s">
        <v>1181</v>
      </c>
      <c r="D42" s="2143">
        <v>1</v>
      </c>
      <c r="E42" s="2165" t="s">
        <v>1192</v>
      </c>
      <c r="F42" s="2156" t="s">
        <v>1186</v>
      </c>
      <c r="G42" s="2145">
        <f>'Rentroll(개시시점 기준)'!I69</f>
        <v>856.05</v>
      </c>
      <c r="H42" s="2145">
        <f>'Rentroll(개시시점 기준)'!H69</f>
        <v>2829.9275201589408</v>
      </c>
      <c r="I42" s="2146">
        <f>'Rentroll(개시시점 기준)'!V69</f>
        <v>45612</v>
      </c>
      <c r="J42" s="2146">
        <f>'Rentroll(개시시점 기준)'!W69</f>
        <v>47514</v>
      </c>
      <c r="K42" s="2147">
        <f>DATEDIF(TIC!$M$4,J42,"D")/365</f>
        <v>3.2547945205479452</v>
      </c>
      <c r="L42" s="2148">
        <f t="shared" si="8"/>
        <v>360000</v>
      </c>
      <c r="M42" s="2148">
        <f t="shared" si="9"/>
        <v>108899.60884322981</v>
      </c>
      <c r="N42" s="2149">
        <f>'Rentroll(개시시점 기준)'!O69</f>
        <v>308178000</v>
      </c>
      <c r="O42" s="2148">
        <f t="shared" si="10"/>
        <v>60000</v>
      </c>
      <c r="P42" s="2148">
        <f t="shared" si="11"/>
        <v>18149.934807204969</v>
      </c>
      <c r="Q42" s="2150">
        <f>'Rentroll(개시시점 기준)'!Q69</f>
        <v>51363000</v>
      </c>
      <c r="R42" s="2148">
        <f t="shared" si="12"/>
        <v>3000</v>
      </c>
      <c r="S42" s="2148">
        <f t="shared" si="13"/>
        <v>907.4967403602484</v>
      </c>
      <c r="T42" s="2150">
        <f>'Rentroll(개시시점 기준)'!T69</f>
        <v>2568150</v>
      </c>
      <c r="U42" s="2176">
        <f t="shared" si="15"/>
        <v>61499.999999999993</v>
      </c>
      <c r="V42" s="2178" t="b">
        <f t="shared" si="16"/>
        <v>1</v>
      </c>
      <c r="W42" s="2153"/>
      <c r="X42" s="2176">
        <f t="shared" si="17"/>
        <v>3074.9999999999995</v>
      </c>
      <c r="Y42" s="2152" t="b">
        <f t="shared" si="18"/>
        <v>1</v>
      </c>
      <c r="Z42" s="2153"/>
      <c r="AA42" s="2154"/>
    </row>
    <row r="43" spans="1:27" ht="11.25" customHeight="1">
      <c r="A43" s="2031">
        <f t="shared" si="14"/>
        <v>-17.29</v>
      </c>
      <c r="C43" s="2142" t="s">
        <v>1181</v>
      </c>
      <c r="D43" s="2179">
        <v>1</v>
      </c>
      <c r="E43" s="2180" t="s">
        <v>1266</v>
      </c>
      <c r="F43" s="2181" t="s">
        <v>1194</v>
      </c>
      <c r="G43" s="2182"/>
      <c r="H43" s="2182"/>
      <c r="I43" s="2183"/>
      <c r="J43" s="2183"/>
      <c r="K43" s="2184"/>
      <c r="L43" s="2185"/>
      <c r="M43" s="2185"/>
      <c r="N43" s="2186"/>
      <c r="O43" s="2185"/>
      <c r="P43" s="2185"/>
      <c r="Q43" s="2187"/>
      <c r="R43" s="2185"/>
      <c r="S43" s="2185"/>
      <c r="T43" s="2187"/>
      <c r="U43" s="2188"/>
      <c r="V43" s="2189"/>
      <c r="W43" s="2190"/>
      <c r="X43" s="2188"/>
      <c r="Y43" s="2191"/>
      <c r="Z43" s="2190"/>
      <c r="AA43" s="2192"/>
    </row>
    <row r="44" spans="1:27" ht="11.25" customHeight="1">
      <c r="A44" s="2031">
        <f t="shared" si="14"/>
        <v>17.289999999999992</v>
      </c>
      <c r="C44" s="2142" t="s">
        <v>1181</v>
      </c>
      <c r="D44" s="2166">
        <v>1</v>
      </c>
      <c r="E44" s="2158" t="s">
        <v>1187</v>
      </c>
      <c r="F44" s="2156" t="s">
        <v>1194</v>
      </c>
      <c r="G44" s="2159">
        <f>SUM('Rentroll(개시시점 기준)'!I70:I72)</f>
        <v>158.30000000000001</v>
      </c>
      <c r="H44" s="2159">
        <f>SUM('Rentroll(개시시점 기준)'!H70:H72)</f>
        <v>523.29419780996113</v>
      </c>
      <c r="I44" s="2160" t="s">
        <v>1249</v>
      </c>
      <c r="J44" s="2160" t="s">
        <v>1249</v>
      </c>
      <c r="K44" s="2145"/>
      <c r="L44" s="2148">
        <f>N44/G44</f>
        <v>0</v>
      </c>
      <c r="M44" s="2148">
        <f>N44/H44</f>
        <v>0</v>
      </c>
      <c r="N44" s="2152">
        <f>SUM('Rentroll(개시시점 기준)'!O70:O72)</f>
        <v>0</v>
      </c>
      <c r="O44" s="2148">
        <f>Q44/G44</f>
        <v>0</v>
      </c>
      <c r="P44" s="2148">
        <f>Q44/H44</f>
        <v>0</v>
      </c>
      <c r="Q44" s="2161">
        <f>SUM('Rentroll(개시시점 기준)'!Q70:Q72)</f>
        <v>0</v>
      </c>
      <c r="R44" s="2148">
        <f>T44/G44</f>
        <v>0</v>
      </c>
      <c r="S44" s="2148">
        <f>T44/H44</f>
        <v>0</v>
      </c>
      <c r="T44" s="2161">
        <f>SUM('Rentroll(개시시점 기준)'!T70:T72)</f>
        <v>0</v>
      </c>
      <c r="U44" s="2177">
        <f t="shared" si="15"/>
        <v>0</v>
      </c>
      <c r="V44" s="2177" t="b">
        <f t="shared" si="16"/>
        <v>1</v>
      </c>
      <c r="W44" s="2162"/>
      <c r="X44" s="2177">
        <f t="shared" si="17"/>
        <v>0</v>
      </c>
      <c r="Y44" s="2162" t="b">
        <f t="shared" si="18"/>
        <v>1</v>
      </c>
      <c r="Z44" s="2162"/>
      <c r="AA44" s="2163"/>
    </row>
    <row r="45" spans="1:27" ht="11.25" customHeight="1">
      <c r="A45" s="2031">
        <f t="shared" si="14"/>
        <v>0</v>
      </c>
      <c r="C45" s="2142" t="s">
        <v>1181</v>
      </c>
      <c r="D45" s="2143" t="s">
        <v>1195</v>
      </c>
      <c r="E45" s="2155" t="s">
        <v>1267</v>
      </c>
      <c r="F45" s="2156" t="s">
        <v>1186</v>
      </c>
      <c r="G45" s="2145">
        <f>'Rentroll(개시시점 기준)'!I73</f>
        <v>2745.32</v>
      </c>
      <c r="H45" s="2145">
        <f>'Rentroll(개시시점 기준)'!H73</f>
        <v>9075.4522996857431</v>
      </c>
      <c r="I45" s="2146">
        <f>'Rentroll(개시시점 기준)'!V73</f>
        <v>45748</v>
      </c>
      <c r="J45" s="2146">
        <f>'Rentroll(개시시점 기준)'!W73</f>
        <v>49064</v>
      </c>
      <c r="K45" s="2147">
        <f>DATEDIF(TIC!$M$4,J45,"D")/365</f>
        <v>7.5013698630136982</v>
      </c>
      <c r="L45" s="2148">
        <f>N45/G45</f>
        <v>360000</v>
      </c>
      <c r="M45" s="2148">
        <f>N45/H45</f>
        <v>108899.82861066026</v>
      </c>
      <c r="N45" s="2152">
        <f>'Rentroll(개시시점 기준)'!O73</f>
        <v>988315200</v>
      </c>
      <c r="O45" s="2148">
        <f>Q45/G45</f>
        <v>60000</v>
      </c>
      <c r="P45" s="2148">
        <f>Q45/H45</f>
        <v>18149.971435110045</v>
      </c>
      <c r="Q45" s="2157">
        <f>'Rentroll(개시시점 기준)'!Q73</f>
        <v>164719200</v>
      </c>
      <c r="R45" s="2148">
        <f>T45/G45</f>
        <v>2999.9016508093773</v>
      </c>
      <c r="S45" s="2148">
        <f>T45/H45</f>
        <v>907.46882117216114</v>
      </c>
      <c r="T45" s="2157">
        <f>'Rentroll(개시시점 기준)'!T73</f>
        <v>8235690</v>
      </c>
      <c r="U45" s="2176">
        <f t="shared" si="15"/>
        <v>61499.999999999993</v>
      </c>
      <c r="V45" s="2178" t="b">
        <f t="shared" si="16"/>
        <v>1</v>
      </c>
      <c r="W45" s="2153"/>
      <c r="X45" s="2176">
        <f t="shared" si="17"/>
        <v>3074.8991920796116</v>
      </c>
      <c r="Y45" s="2152" t="b">
        <f t="shared" si="18"/>
        <v>1</v>
      </c>
      <c r="Z45" s="2153"/>
      <c r="AA45" s="2167"/>
    </row>
    <row r="46" spans="1:27" ht="11.25" customHeight="1">
      <c r="A46" s="2031">
        <f t="shared" si="14"/>
        <v>0</v>
      </c>
      <c r="C46" s="2142" t="s">
        <v>1181</v>
      </c>
      <c r="D46" s="2166" t="s">
        <v>1197</v>
      </c>
      <c r="E46" s="2168" t="s">
        <v>1198</v>
      </c>
      <c r="F46" s="2156" t="s">
        <v>1186</v>
      </c>
      <c r="G46" s="2159">
        <f>'Rentroll(개시시점 기준)'!I74</f>
        <v>2728.21</v>
      </c>
      <c r="H46" s="2159">
        <f>'Rentroll(개시시점 기준)'!H74</f>
        <v>9018.8871730013507</v>
      </c>
      <c r="I46" s="2160">
        <f>'Rentroll(개시시점 기준)'!V74</f>
        <v>46023</v>
      </c>
      <c r="J46" s="2160">
        <f>'Rentroll(개시시점 기준)'!W74</f>
        <v>47879</v>
      </c>
      <c r="K46" s="2147">
        <f>DATEDIF(TIC!$M$4,J46,"D")/365</f>
        <v>4.2547945205479456</v>
      </c>
      <c r="L46" s="2148">
        <f>N46/G46</f>
        <v>360000</v>
      </c>
      <c r="M46" s="2148">
        <f>N46/H46</f>
        <v>108899.86548896512</v>
      </c>
      <c r="N46" s="2152">
        <f>'Rentroll(개시시점 기준)'!O74</f>
        <v>982155600</v>
      </c>
      <c r="O46" s="2148">
        <f>Q46/G46</f>
        <v>60000</v>
      </c>
      <c r="P46" s="2148">
        <f>Q46/H46</f>
        <v>18149.977581494186</v>
      </c>
      <c r="Q46" s="2161">
        <f>'Rentroll(개시시점 기준)'!Q74</f>
        <v>163692600</v>
      </c>
      <c r="R46" s="2148">
        <f>T46/G46</f>
        <v>3000</v>
      </c>
      <c r="S46" s="2148">
        <f>T46/H46</f>
        <v>907.49887907470929</v>
      </c>
      <c r="T46" s="2161">
        <f>'Rentroll(개시시점 기준)'!T74</f>
        <v>8184630</v>
      </c>
      <c r="U46" s="2176">
        <f t="shared" si="15"/>
        <v>60000</v>
      </c>
      <c r="V46" s="2178" t="b">
        <f t="shared" si="16"/>
        <v>1</v>
      </c>
      <c r="W46" s="2153"/>
      <c r="X46" s="2176">
        <f t="shared" si="17"/>
        <v>3000</v>
      </c>
      <c r="Y46" s="2152" t="b">
        <f t="shared" si="18"/>
        <v>1</v>
      </c>
      <c r="Z46" s="2153"/>
      <c r="AA46" s="2167"/>
    </row>
    <row r="47" spans="1:27" ht="11.25" customHeight="1">
      <c r="C47" s="2886" t="s">
        <v>1199</v>
      </c>
      <c r="D47" s="2886"/>
      <c r="E47" s="2886"/>
      <c r="F47" s="2886"/>
      <c r="G47" s="2169">
        <f>+SUM(G31:G46)</f>
        <v>20890.079999999998</v>
      </c>
      <c r="H47" s="2169">
        <f>+SUM(H31:H46)</f>
        <v>69058.085578024882</v>
      </c>
      <c r="I47" s="2170"/>
      <c r="J47" s="2170"/>
      <c r="K47" s="2171">
        <f>+SUMPRODUCT(K31:K46,G31:G46)/SUM(G45:G46,G35:G43,G31:G32)</f>
        <v>6.3290678955288735</v>
      </c>
      <c r="L47" s="2170">
        <f>+N47/G47</f>
        <v>343046.42189019866</v>
      </c>
      <c r="M47" s="2170">
        <f>+N47/H47</f>
        <v>103771.58788891177</v>
      </c>
      <c r="N47" s="2170">
        <f>+SUM(N31:N46)</f>
        <v>7166267197</v>
      </c>
      <c r="O47" s="2170">
        <f>+Q47/G47</f>
        <v>57294.49935088808</v>
      </c>
      <c r="P47" s="2170">
        <f>+Q47/H47</f>
        <v>17331.593614012141</v>
      </c>
      <c r="Q47" s="2170">
        <f>+SUM(Q31:Q46)</f>
        <v>1196886675</v>
      </c>
      <c r="R47" s="2170">
        <f>+T47/G47</f>
        <v>2951.872180479922</v>
      </c>
      <c r="S47" s="2170">
        <f>T47/H47</f>
        <v>892.94172411322245</v>
      </c>
      <c r="T47" s="2170">
        <f>+SUM(T31:T46)</f>
        <v>61664846</v>
      </c>
      <c r="U47" s="2170"/>
      <c r="V47" s="2170"/>
      <c r="W47" s="2170"/>
      <c r="X47" s="2170"/>
      <c r="Y47" s="2170"/>
      <c r="Z47" s="2170"/>
      <c r="AA47" s="2170"/>
    </row>
    <row r="48" spans="1:27" ht="11.25" customHeight="1">
      <c r="C48" s="2128"/>
      <c r="D48" s="2128"/>
      <c r="E48" s="2128"/>
      <c r="F48" s="2128"/>
      <c r="G48" s="2128"/>
      <c r="H48" s="2128"/>
      <c r="I48" s="2128"/>
      <c r="J48" s="2129"/>
      <c r="K48" s="2129"/>
      <c r="L48" s="2129"/>
      <c r="M48" s="2129"/>
      <c r="N48" s="2173" t="b">
        <f>SUM('Rentroll(개시시점 기준)'!O39:O74)=N47</f>
        <v>1</v>
      </c>
      <c r="O48" s="2130"/>
      <c r="P48" s="2131"/>
      <c r="Q48" s="2172" t="b">
        <f>SUM('Rentroll(개시시점 기준)'!Q39:Q74)=Q47</f>
        <v>1</v>
      </c>
      <c r="R48" s="2131"/>
      <c r="S48" s="2132"/>
      <c r="T48" s="2172" t="b">
        <f>SUM('Rentroll(개시시점 기준)'!T39:T74)=T47</f>
        <v>1</v>
      </c>
      <c r="U48" s="299"/>
      <c r="V48" s="299"/>
      <c r="W48" s="299"/>
      <c r="X48" s="299"/>
      <c r="Y48" s="299"/>
      <c r="Z48" s="299"/>
      <c r="AA48" s="299"/>
    </row>
    <row r="49" spans="3:27" ht="11.25" customHeight="1">
      <c r="C49" s="2128"/>
      <c r="D49" s="2128"/>
      <c r="E49" s="2128"/>
      <c r="F49" s="2128"/>
      <c r="G49" s="2128"/>
      <c r="H49" s="2128"/>
      <c r="I49" s="2128"/>
      <c r="J49" s="2129"/>
      <c r="K49" s="2129"/>
      <c r="L49" s="2129"/>
      <c r="M49" s="2129"/>
      <c r="N49" s="2173"/>
      <c r="O49" s="2130"/>
      <c r="P49" s="2131"/>
      <c r="Q49" s="2172"/>
      <c r="R49" s="2131"/>
      <c r="S49" s="2132"/>
      <c r="T49" s="2172"/>
      <c r="U49" s="299"/>
      <c r="V49" s="299"/>
      <c r="W49" s="299"/>
      <c r="X49" s="299"/>
      <c r="Y49" s="299"/>
      <c r="Z49" s="299"/>
      <c r="AA49" s="299"/>
    </row>
    <row r="50" spans="3:27" ht="11.25" customHeight="1">
      <c r="C50" s="2128"/>
      <c r="D50" s="2128"/>
      <c r="E50" s="2128"/>
      <c r="F50" s="2128"/>
      <c r="G50" s="2128"/>
      <c r="H50" s="2128"/>
      <c r="I50" s="2128"/>
      <c r="J50" s="2129"/>
      <c r="K50" s="2129"/>
      <c r="L50" s="2129"/>
      <c r="M50" s="2129"/>
      <c r="N50" s="2173"/>
      <c r="O50" s="2130"/>
      <c r="P50" s="2131"/>
      <c r="Q50" s="2172"/>
      <c r="R50" s="2131"/>
      <c r="S50" s="2132"/>
      <c r="T50" s="2172"/>
      <c r="U50" s="299"/>
      <c r="V50" s="299"/>
      <c r="W50" s="299"/>
      <c r="X50" s="299"/>
      <c r="Y50" s="299"/>
      <c r="Z50" s="299"/>
      <c r="AA50" s="299"/>
    </row>
    <row r="51" spans="3:27" ht="11.25" customHeight="1">
      <c r="C51" s="2128"/>
      <c r="D51" s="2128"/>
      <c r="E51" s="2128"/>
      <c r="F51" s="2128"/>
      <c r="G51" s="2128"/>
      <c r="H51" s="2128"/>
      <c r="I51" s="2128"/>
      <c r="J51" s="2129"/>
      <c r="K51" s="2129"/>
      <c r="L51" s="2129"/>
      <c r="M51" s="2129"/>
      <c r="N51" s="2173"/>
      <c r="O51" s="2130"/>
      <c r="P51" s="2131"/>
      <c r="Q51" s="2172"/>
      <c r="R51" s="2131"/>
      <c r="S51" s="2132"/>
      <c r="T51" s="2172"/>
      <c r="U51" s="299"/>
      <c r="V51" s="299"/>
      <c r="W51" s="299"/>
      <c r="X51" s="299"/>
      <c r="Y51" s="299"/>
      <c r="Z51" s="299"/>
      <c r="AA51" s="299"/>
    </row>
    <row r="52" spans="3:27" ht="11.25" customHeight="1">
      <c r="C52" s="2128"/>
      <c r="D52" s="2128"/>
      <c r="E52" s="2128"/>
      <c r="F52" s="2128"/>
      <c r="G52" s="2128"/>
      <c r="H52" s="2128"/>
      <c r="I52" s="2128"/>
      <c r="J52" s="2129"/>
      <c r="K52" s="2129"/>
      <c r="L52" s="2129"/>
      <c r="M52" s="2129"/>
      <c r="N52" s="2173"/>
      <c r="O52" s="2130"/>
      <c r="P52" s="2131"/>
      <c r="Q52" s="2172"/>
      <c r="R52" s="2131"/>
      <c r="S52" s="2132"/>
      <c r="T52" s="2172"/>
      <c r="U52" s="299"/>
      <c r="V52" s="299"/>
      <c r="W52" s="299"/>
      <c r="X52" s="299"/>
      <c r="Y52" s="299"/>
      <c r="Z52" s="299"/>
      <c r="AA52" s="299"/>
    </row>
    <row r="53" spans="3:27" ht="11.25" customHeight="1">
      <c r="C53" s="2884" t="s">
        <v>1250</v>
      </c>
      <c r="D53" s="2884" t="s">
        <v>1251</v>
      </c>
      <c r="E53" s="2884" t="s">
        <v>1252</v>
      </c>
      <c r="F53" s="2884" t="s">
        <v>1253</v>
      </c>
      <c r="G53" s="2882" t="s">
        <v>1254</v>
      </c>
      <c r="H53" s="2883"/>
      <c r="I53" s="2884" t="s">
        <v>1255</v>
      </c>
      <c r="J53" s="2885"/>
      <c r="K53" s="2885"/>
      <c r="L53" s="2870" t="s">
        <v>1256</v>
      </c>
      <c r="M53" s="2871"/>
      <c r="N53" s="2871"/>
      <c r="O53" s="2887" t="s">
        <v>1257</v>
      </c>
      <c r="P53" s="2888"/>
      <c r="Q53" s="2888"/>
      <c r="R53" s="2870" t="s">
        <v>1258</v>
      </c>
      <c r="S53" s="2871"/>
      <c r="T53" s="2871"/>
      <c r="U53" s="2870" t="s">
        <v>1259</v>
      </c>
      <c r="V53" s="2871"/>
      <c r="W53" s="2871"/>
      <c r="X53" s="2870" t="s">
        <v>1260</v>
      </c>
      <c r="Y53" s="2871"/>
      <c r="Z53" s="2871"/>
      <c r="AA53" s="2139" t="s">
        <v>1164</v>
      </c>
    </row>
    <row r="54" spans="3:27" ht="11.25" customHeight="1">
      <c r="C54" s="2885"/>
      <c r="D54" s="2885"/>
      <c r="E54" s="2885"/>
      <c r="F54" s="2885"/>
      <c r="G54" s="2140" t="s">
        <v>283</v>
      </c>
      <c r="H54" s="2140" t="s">
        <v>1165</v>
      </c>
      <c r="I54" s="2138" t="s">
        <v>1261</v>
      </c>
      <c r="J54" s="2138" t="s">
        <v>1262</v>
      </c>
      <c r="K54" s="2141" t="s">
        <v>1263</v>
      </c>
      <c r="L54" s="2140" t="s">
        <v>1169</v>
      </c>
      <c r="M54" s="2140" t="s">
        <v>1170</v>
      </c>
      <c r="N54" s="2140" t="s">
        <v>640</v>
      </c>
      <c r="O54" s="2140" t="s">
        <v>1171</v>
      </c>
      <c r="P54" s="2140" t="s">
        <v>1172</v>
      </c>
      <c r="Q54" s="2140" t="s">
        <v>1173</v>
      </c>
      <c r="R54" s="2140" t="s">
        <v>1171</v>
      </c>
      <c r="S54" s="2140" t="s">
        <v>1172</v>
      </c>
      <c r="T54" s="2140" t="s">
        <v>1173</v>
      </c>
      <c r="U54" s="2140" t="s">
        <v>1174</v>
      </c>
      <c r="V54" s="2140" t="s">
        <v>1175</v>
      </c>
      <c r="W54" s="2140" t="s">
        <v>1176</v>
      </c>
      <c r="X54" s="2140" t="s">
        <v>1177</v>
      </c>
      <c r="Y54" s="2140" t="s">
        <v>1178</v>
      </c>
      <c r="Z54" s="2140" t="s">
        <v>1179</v>
      </c>
      <c r="AA54" s="2140" t="s">
        <v>1180</v>
      </c>
    </row>
    <row r="55" spans="3:27" ht="11.25" customHeight="1">
      <c r="C55" s="2142" t="s">
        <v>1181</v>
      </c>
      <c r="D55" s="2143">
        <v>8</v>
      </c>
      <c r="E55" s="1997" t="s">
        <v>1182</v>
      </c>
      <c r="F55" s="2144" t="s">
        <v>1183</v>
      </c>
      <c r="G55" s="2145">
        <f>G7-G31</f>
        <v>9.9999999999909051E-3</v>
      </c>
      <c r="H55" s="2145">
        <f t="shared" ref="H55:T55" si="19">H7-H31</f>
        <v>0</v>
      </c>
      <c r="I55" s="2146"/>
      <c r="J55" s="2146"/>
      <c r="K55" s="2147"/>
      <c r="L55" s="2148">
        <f t="shared" si="19"/>
        <v>-4.3514211516594514</v>
      </c>
      <c r="M55" s="2148">
        <f t="shared" si="19"/>
        <v>0</v>
      </c>
      <c r="N55" s="2149">
        <f t="shared" si="19"/>
        <v>0</v>
      </c>
      <c r="O55" s="2148">
        <f t="shared" si="19"/>
        <v>999.15933637210401</v>
      </c>
      <c r="P55" s="2148">
        <f t="shared" si="19"/>
        <v>302.50007887679385</v>
      </c>
      <c r="Q55" s="2150">
        <f t="shared" si="19"/>
        <v>479387</v>
      </c>
      <c r="R55" s="2148">
        <f t="shared" si="19"/>
        <v>74.936898061983356</v>
      </c>
      <c r="S55" s="2148">
        <f t="shared" si="19"/>
        <v>22.687490140400655</v>
      </c>
      <c r="T55" s="2150">
        <f t="shared" si="19"/>
        <v>35954</v>
      </c>
      <c r="U55" s="2151"/>
      <c r="V55" s="2152"/>
      <c r="W55" s="2153"/>
      <c r="X55" s="2151"/>
      <c r="Y55" s="2152"/>
      <c r="Z55" s="2153"/>
      <c r="AA55" s="2154"/>
    </row>
    <row r="56" spans="3:27" ht="11.25" customHeight="1">
      <c r="C56" s="2142" t="s">
        <v>1181</v>
      </c>
      <c r="D56" s="2143">
        <v>8</v>
      </c>
      <c r="E56" s="2155" t="s">
        <v>1264</v>
      </c>
      <c r="F56" s="2156" t="s">
        <v>1186</v>
      </c>
      <c r="G56" s="2145">
        <f t="shared" ref="G56:T56" si="20">G8-G32</f>
        <v>0</v>
      </c>
      <c r="H56" s="2145">
        <f t="shared" si="20"/>
        <v>0</v>
      </c>
      <c r="I56" s="2146"/>
      <c r="J56" s="2146"/>
      <c r="K56" s="2147"/>
      <c r="L56" s="2148">
        <f t="shared" si="20"/>
        <v>0</v>
      </c>
      <c r="M56" s="2148">
        <f t="shared" si="20"/>
        <v>0</v>
      </c>
      <c r="N56" s="2149">
        <f t="shared" si="20"/>
        <v>0</v>
      </c>
      <c r="O56" s="2148">
        <f t="shared" si="20"/>
        <v>1847.8061716489901</v>
      </c>
      <c r="P56" s="2148">
        <f t="shared" si="20"/>
        <v>558.96123216942397</v>
      </c>
      <c r="Q56" s="2150">
        <f t="shared" si="20"/>
        <v>383235</v>
      </c>
      <c r="R56" s="2148">
        <f t="shared" si="20"/>
        <v>126.56702025072309</v>
      </c>
      <c r="S56" s="2148">
        <f t="shared" si="20"/>
        <v>38.286514395729341</v>
      </c>
      <c r="T56" s="2157">
        <f t="shared" si="20"/>
        <v>26250</v>
      </c>
      <c r="U56" s="2151"/>
      <c r="V56" s="2152"/>
      <c r="W56" s="2153"/>
      <c r="X56" s="2151"/>
      <c r="Y56" s="2152"/>
      <c r="Z56" s="2153"/>
      <c r="AA56" s="2154"/>
    </row>
    <row r="57" spans="3:27" ht="11.25" customHeight="1">
      <c r="C57" s="2142" t="s">
        <v>1181</v>
      </c>
      <c r="D57" s="2143">
        <v>8</v>
      </c>
      <c r="E57" s="2156" t="s">
        <v>1187</v>
      </c>
      <c r="F57" s="2158" t="s">
        <v>1186</v>
      </c>
      <c r="G57" s="2159">
        <f t="shared" ref="G57:T57" si="21">G9-G33</f>
        <v>0</v>
      </c>
      <c r="H57" s="2159">
        <f t="shared" si="21"/>
        <v>0</v>
      </c>
      <c r="I57" s="2160"/>
      <c r="J57" s="2160"/>
      <c r="K57" s="2145"/>
      <c r="L57" s="2148">
        <f t="shared" si="21"/>
        <v>0</v>
      </c>
      <c r="M57" s="2148">
        <f t="shared" si="21"/>
        <v>0</v>
      </c>
      <c r="N57" s="2152">
        <f t="shared" si="21"/>
        <v>0</v>
      </c>
      <c r="O57" s="2148">
        <f t="shared" si="21"/>
        <v>0</v>
      </c>
      <c r="P57" s="2148">
        <f t="shared" si="21"/>
        <v>0</v>
      </c>
      <c r="Q57" s="2161">
        <f t="shared" si="21"/>
        <v>0</v>
      </c>
      <c r="R57" s="2148">
        <f t="shared" si="21"/>
        <v>0</v>
      </c>
      <c r="S57" s="2148">
        <f t="shared" si="21"/>
        <v>0</v>
      </c>
      <c r="T57" s="2161">
        <f t="shared" si="21"/>
        <v>0</v>
      </c>
      <c r="U57" s="2162"/>
      <c r="V57" s="2162"/>
      <c r="W57" s="2162"/>
      <c r="X57" s="2162"/>
      <c r="Y57" s="2162"/>
      <c r="Z57" s="2162"/>
      <c r="AA57" s="2163"/>
    </row>
    <row r="58" spans="3:27" ht="11.25" customHeight="1">
      <c r="C58" s="2142" t="s">
        <v>1181</v>
      </c>
      <c r="D58" s="2143">
        <v>8</v>
      </c>
      <c r="E58" s="2156" t="s">
        <v>1187</v>
      </c>
      <c r="F58" s="2158" t="s">
        <v>1189</v>
      </c>
      <c r="G58" s="2159">
        <f t="shared" ref="G58:T58" si="22">G10-G34</f>
        <v>0</v>
      </c>
      <c r="H58" s="2159">
        <f t="shared" si="22"/>
        <v>0</v>
      </c>
      <c r="I58" s="2160"/>
      <c r="J58" s="2160"/>
      <c r="K58" s="2145"/>
      <c r="L58" s="2148">
        <f t="shared" si="22"/>
        <v>0</v>
      </c>
      <c r="M58" s="2148">
        <f t="shared" si="22"/>
        <v>0</v>
      </c>
      <c r="N58" s="2152">
        <f t="shared" si="22"/>
        <v>0</v>
      </c>
      <c r="O58" s="2148">
        <f t="shared" si="22"/>
        <v>0</v>
      </c>
      <c r="P58" s="2148">
        <f t="shared" si="22"/>
        <v>0</v>
      </c>
      <c r="Q58" s="2161">
        <f t="shared" si="22"/>
        <v>0</v>
      </c>
      <c r="R58" s="2148">
        <f t="shared" si="22"/>
        <v>0</v>
      </c>
      <c r="S58" s="2148">
        <f t="shared" si="22"/>
        <v>0</v>
      </c>
      <c r="T58" s="2161">
        <f t="shared" si="22"/>
        <v>0</v>
      </c>
      <c r="U58" s="2162"/>
      <c r="V58" s="2162"/>
      <c r="W58" s="2162"/>
      <c r="X58" s="2162"/>
      <c r="Y58" s="2162"/>
      <c r="Z58" s="2162"/>
      <c r="AA58" s="2163"/>
    </row>
    <row r="59" spans="3:27" ht="11.25" customHeight="1">
      <c r="C59" s="2142" t="s">
        <v>1181</v>
      </c>
      <c r="D59" s="2143">
        <v>7</v>
      </c>
      <c r="E59" s="2155" t="s">
        <v>1264</v>
      </c>
      <c r="F59" s="2156" t="s">
        <v>1186</v>
      </c>
      <c r="G59" s="2145">
        <f t="shared" ref="G59:T59" si="23">G11-G35</f>
        <v>0</v>
      </c>
      <c r="H59" s="2145">
        <f t="shared" si="23"/>
        <v>0</v>
      </c>
      <c r="I59" s="2146"/>
      <c r="J59" s="2146"/>
      <c r="K59" s="2147"/>
      <c r="L59" s="2148">
        <f t="shared" si="23"/>
        <v>0</v>
      </c>
      <c r="M59" s="2148">
        <f t="shared" si="23"/>
        <v>0</v>
      </c>
      <c r="N59" s="2149">
        <f t="shared" si="23"/>
        <v>0</v>
      </c>
      <c r="O59" s="2148">
        <f t="shared" si="23"/>
        <v>3037.5001612466294</v>
      </c>
      <c r="P59" s="2148">
        <f t="shared" si="23"/>
        <v>918.84495817282368</v>
      </c>
      <c r="Q59" s="2150">
        <f t="shared" si="23"/>
        <v>4709401</v>
      </c>
      <c r="R59" s="2148">
        <f t="shared" si="23"/>
        <v>151.87562079952522</v>
      </c>
      <c r="S59" s="2148">
        <f t="shared" si="23"/>
        <v>45.94243326187609</v>
      </c>
      <c r="T59" s="2150">
        <f t="shared" si="23"/>
        <v>235471</v>
      </c>
      <c r="U59" s="2151"/>
      <c r="V59" s="2152"/>
      <c r="W59" s="2153"/>
      <c r="X59" s="2151"/>
      <c r="Y59" s="2152"/>
      <c r="Z59" s="2153"/>
      <c r="AA59" s="2154"/>
    </row>
    <row r="60" spans="3:27" ht="11.25" customHeight="1">
      <c r="C60" s="2142" t="s">
        <v>1181</v>
      </c>
      <c r="D60" s="2143">
        <v>6</v>
      </c>
      <c r="E60" s="2155" t="s">
        <v>1264</v>
      </c>
      <c r="F60" s="2156" t="s">
        <v>1186</v>
      </c>
      <c r="G60" s="2145">
        <f t="shared" ref="G60:T60" si="24">G12-G36</f>
        <v>0</v>
      </c>
      <c r="H60" s="2145">
        <f t="shared" si="24"/>
        <v>0</v>
      </c>
      <c r="I60" s="2146"/>
      <c r="J60" s="2146"/>
      <c r="K60" s="2147"/>
      <c r="L60" s="2148">
        <f t="shared" si="24"/>
        <v>0</v>
      </c>
      <c r="M60" s="2148">
        <f t="shared" si="24"/>
        <v>0</v>
      </c>
      <c r="N60" s="2149">
        <f t="shared" si="24"/>
        <v>0</v>
      </c>
      <c r="O60" s="2148">
        <f t="shared" si="24"/>
        <v>3037.4999428668089</v>
      </c>
      <c r="P60" s="2148">
        <f t="shared" si="24"/>
        <v>918.84480614733184</v>
      </c>
      <c r="Q60" s="2150">
        <f t="shared" si="24"/>
        <v>6645655</v>
      </c>
      <c r="R60" s="2148">
        <f t="shared" si="24"/>
        <v>151.87511140972765</v>
      </c>
      <c r="S60" s="2148">
        <f t="shared" si="24"/>
        <v>45.942274872988946</v>
      </c>
      <c r="T60" s="2150">
        <f t="shared" si="24"/>
        <v>332283</v>
      </c>
      <c r="U60" s="2151"/>
      <c r="V60" s="2152"/>
      <c r="W60" s="2153"/>
      <c r="X60" s="2151"/>
      <c r="Y60" s="2152"/>
      <c r="Z60" s="2153"/>
      <c r="AA60" s="2154"/>
    </row>
    <row r="61" spans="3:27" ht="11.25" customHeight="1">
      <c r="C61" s="2142" t="s">
        <v>1181</v>
      </c>
      <c r="D61" s="2143">
        <v>5</v>
      </c>
      <c r="E61" s="2155" t="s">
        <v>1264</v>
      </c>
      <c r="F61" s="2156" t="s">
        <v>1186</v>
      </c>
      <c r="G61" s="2145">
        <f t="shared" ref="G61:T61" si="25">G13-G37</f>
        <v>0</v>
      </c>
      <c r="H61" s="2145">
        <f t="shared" si="25"/>
        <v>0</v>
      </c>
      <c r="I61" s="2146"/>
      <c r="J61" s="2146"/>
      <c r="K61" s="2147"/>
      <c r="L61" s="2148">
        <f t="shared" si="25"/>
        <v>0</v>
      </c>
      <c r="M61" s="2148">
        <f t="shared" si="25"/>
        <v>0</v>
      </c>
      <c r="N61" s="2149">
        <f t="shared" si="25"/>
        <v>0</v>
      </c>
      <c r="O61" s="2148">
        <f t="shared" si="25"/>
        <v>3037.5002287743191</v>
      </c>
      <c r="P61" s="2148">
        <f t="shared" si="25"/>
        <v>918.84404380469277</v>
      </c>
      <c r="Q61" s="2150">
        <f t="shared" si="25"/>
        <v>6638639</v>
      </c>
      <c r="R61" s="2148">
        <f t="shared" si="25"/>
        <v>151.87503431614778</v>
      </c>
      <c r="S61" s="2148">
        <f t="shared" si="25"/>
        <v>45.942209110659405</v>
      </c>
      <c r="T61" s="2150">
        <f t="shared" si="25"/>
        <v>331932</v>
      </c>
      <c r="U61" s="2151"/>
      <c r="V61" s="2152"/>
      <c r="W61" s="2153"/>
      <c r="X61" s="2151"/>
      <c r="Y61" s="2152"/>
      <c r="Z61" s="2153"/>
      <c r="AA61" s="2154"/>
    </row>
    <row r="62" spans="3:27" ht="11.25" customHeight="1">
      <c r="C62" s="2142" t="s">
        <v>1181</v>
      </c>
      <c r="D62" s="2143">
        <v>4</v>
      </c>
      <c r="E62" s="2155" t="s">
        <v>1264</v>
      </c>
      <c r="F62" s="2156" t="s">
        <v>1186</v>
      </c>
      <c r="G62" s="2145">
        <f t="shared" ref="G62:T62" si="26">G14-G38</f>
        <v>0</v>
      </c>
      <c r="H62" s="2145">
        <f t="shared" si="26"/>
        <v>0</v>
      </c>
      <c r="I62" s="2146"/>
      <c r="J62" s="2146"/>
      <c r="K62" s="2147"/>
      <c r="L62" s="2148">
        <f t="shared" si="26"/>
        <v>0</v>
      </c>
      <c r="M62" s="2148">
        <f t="shared" si="26"/>
        <v>0</v>
      </c>
      <c r="N62" s="2149">
        <f t="shared" si="26"/>
        <v>0</v>
      </c>
      <c r="O62" s="2148">
        <f t="shared" si="26"/>
        <v>3037.5002287743191</v>
      </c>
      <c r="P62" s="2148">
        <f t="shared" si="26"/>
        <v>918.84404380469277</v>
      </c>
      <c r="Q62" s="2150">
        <f t="shared" si="26"/>
        <v>6638639</v>
      </c>
      <c r="R62" s="2148">
        <f t="shared" si="26"/>
        <v>151.87503431614778</v>
      </c>
      <c r="S62" s="2148">
        <f t="shared" si="26"/>
        <v>45.942209110659405</v>
      </c>
      <c r="T62" s="2150">
        <f t="shared" si="26"/>
        <v>331932</v>
      </c>
      <c r="U62" s="2151"/>
      <c r="V62" s="2152"/>
      <c r="W62" s="2153"/>
      <c r="X62" s="2151"/>
      <c r="Y62" s="2152"/>
      <c r="Z62" s="2153"/>
      <c r="AA62" s="2154"/>
    </row>
    <row r="63" spans="3:27" ht="11.25" customHeight="1">
      <c r="C63" s="2142" t="s">
        <v>1181</v>
      </c>
      <c r="D63" s="2143">
        <v>3</v>
      </c>
      <c r="E63" s="2155" t="s">
        <v>1265</v>
      </c>
      <c r="F63" s="2156" t="s">
        <v>1186</v>
      </c>
      <c r="G63" s="2145">
        <f t="shared" ref="G63:T63" si="27">G15-G39</f>
        <v>0</v>
      </c>
      <c r="H63" s="2145">
        <f t="shared" si="27"/>
        <v>0</v>
      </c>
      <c r="I63" s="2146"/>
      <c r="J63" s="2146"/>
      <c r="K63" s="2147"/>
      <c r="L63" s="2148">
        <f t="shared" si="27"/>
        <v>0</v>
      </c>
      <c r="M63" s="2148">
        <f t="shared" si="27"/>
        <v>0</v>
      </c>
      <c r="N63" s="2149">
        <f t="shared" si="27"/>
        <v>0</v>
      </c>
      <c r="O63" s="2148">
        <f t="shared" si="27"/>
        <v>0</v>
      </c>
      <c r="P63" s="2148">
        <f t="shared" si="27"/>
        <v>0</v>
      </c>
      <c r="Q63" s="2150">
        <f t="shared" si="27"/>
        <v>0</v>
      </c>
      <c r="R63" s="2148">
        <f t="shared" si="27"/>
        <v>0</v>
      </c>
      <c r="S63" s="2148">
        <f t="shared" si="27"/>
        <v>0</v>
      </c>
      <c r="T63" s="2150">
        <f t="shared" si="27"/>
        <v>0</v>
      </c>
      <c r="U63" s="2151"/>
      <c r="V63" s="2151"/>
      <c r="W63" s="2151"/>
      <c r="X63" s="2151"/>
      <c r="Y63" s="2151"/>
      <c r="Z63" s="2151"/>
      <c r="AA63" s="2164"/>
    </row>
    <row r="64" spans="3:27" ht="11.25" customHeight="1">
      <c r="C64" s="2142" t="s">
        <v>1181</v>
      </c>
      <c r="D64" s="2143">
        <v>2</v>
      </c>
      <c r="E64" s="2155" t="s">
        <v>1264</v>
      </c>
      <c r="F64" s="2156" t="s">
        <v>1186</v>
      </c>
      <c r="G64" s="2145">
        <f t="shared" ref="G64:T64" si="28">G16-G40</f>
        <v>0</v>
      </c>
      <c r="H64" s="2145">
        <f t="shared" si="28"/>
        <v>0</v>
      </c>
      <c r="I64" s="2146"/>
      <c r="J64" s="2146"/>
      <c r="K64" s="2147"/>
      <c r="L64" s="2148">
        <f t="shared" si="28"/>
        <v>0</v>
      </c>
      <c r="M64" s="2148">
        <f t="shared" si="28"/>
        <v>0</v>
      </c>
      <c r="N64" s="2149">
        <f t="shared" si="28"/>
        <v>0</v>
      </c>
      <c r="O64" s="2148">
        <f t="shared" si="28"/>
        <v>1500</v>
      </c>
      <c r="P64" s="2148">
        <f t="shared" si="28"/>
        <v>453.75011091379929</v>
      </c>
      <c r="Q64" s="2150">
        <f t="shared" si="28"/>
        <v>3278340</v>
      </c>
      <c r="R64" s="2148">
        <f t="shared" si="28"/>
        <v>75</v>
      </c>
      <c r="S64" s="2148">
        <f t="shared" si="28"/>
        <v>22.687505545689987</v>
      </c>
      <c r="T64" s="2150">
        <f t="shared" si="28"/>
        <v>163917</v>
      </c>
      <c r="U64" s="2151"/>
      <c r="V64" s="2152"/>
      <c r="W64" s="2153"/>
      <c r="X64" s="2151"/>
      <c r="Y64" s="2152"/>
      <c r="Z64" s="2153"/>
      <c r="AA64" s="2154"/>
    </row>
    <row r="65" spans="3:27" ht="11.25" customHeight="1">
      <c r="C65" s="2142" t="s">
        <v>1181</v>
      </c>
      <c r="D65" s="2143">
        <v>1</v>
      </c>
      <c r="E65" s="2165" t="s">
        <v>1191</v>
      </c>
      <c r="F65" s="2156" t="s">
        <v>1186</v>
      </c>
      <c r="G65" s="2145">
        <f t="shared" ref="G65:T65" si="29">G17-G41</f>
        <v>0</v>
      </c>
      <c r="H65" s="2145">
        <f t="shared" si="29"/>
        <v>0</v>
      </c>
      <c r="I65" s="2146"/>
      <c r="J65" s="2146"/>
      <c r="K65" s="2147"/>
      <c r="L65" s="2148">
        <f t="shared" si="29"/>
        <v>0</v>
      </c>
      <c r="M65" s="2148">
        <f t="shared" si="29"/>
        <v>0</v>
      </c>
      <c r="N65" s="2149">
        <f t="shared" si="29"/>
        <v>0</v>
      </c>
      <c r="O65" s="2148">
        <f t="shared" si="29"/>
        <v>1499.9935952568339</v>
      </c>
      <c r="P65" s="2148">
        <f t="shared" si="29"/>
        <v>453.74960898892823</v>
      </c>
      <c r="Q65" s="2150">
        <f t="shared" si="29"/>
        <v>1639403</v>
      </c>
      <c r="R65" s="2148">
        <f t="shared" si="29"/>
        <v>74.999542518345152</v>
      </c>
      <c r="S65" s="2148">
        <f t="shared" si="29"/>
        <v>22.687438932844771</v>
      </c>
      <c r="T65" s="2150">
        <f t="shared" si="29"/>
        <v>81970</v>
      </c>
      <c r="U65" s="2151"/>
      <c r="V65" s="2152"/>
      <c r="W65" s="2153"/>
      <c r="X65" s="2151"/>
      <c r="Y65" s="2152"/>
      <c r="Z65" s="2153"/>
      <c r="AA65" s="2154"/>
    </row>
    <row r="66" spans="3:27" ht="11.25" customHeight="1">
      <c r="C66" s="2142" t="s">
        <v>1181</v>
      </c>
      <c r="D66" s="2143">
        <v>1</v>
      </c>
      <c r="E66" s="2165" t="s">
        <v>1192</v>
      </c>
      <c r="F66" s="2156" t="s">
        <v>1186</v>
      </c>
      <c r="G66" s="2145">
        <f t="shared" ref="G66:T66" si="30">G18-G42</f>
        <v>0</v>
      </c>
      <c r="H66" s="2145">
        <f t="shared" si="30"/>
        <v>0</v>
      </c>
      <c r="I66" s="2146"/>
      <c r="J66" s="2146"/>
      <c r="K66" s="2147"/>
      <c r="L66" s="2148">
        <f t="shared" si="30"/>
        <v>0</v>
      </c>
      <c r="M66" s="2148">
        <f t="shared" si="30"/>
        <v>0</v>
      </c>
      <c r="N66" s="2149">
        <f t="shared" si="30"/>
        <v>0</v>
      </c>
      <c r="O66" s="2148">
        <f t="shared" si="30"/>
        <v>1500</v>
      </c>
      <c r="P66" s="2148">
        <f t="shared" si="30"/>
        <v>453.74837018012477</v>
      </c>
      <c r="Q66" s="2150">
        <f t="shared" si="30"/>
        <v>1284075</v>
      </c>
      <c r="R66" s="2148">
        <f t="shared" si="30"/>
        <v>75.000292039016585</v>
      </c>
      <c r="S66" s="2148">
        <f t="shared" si="30"/>
        <v>22.687506850491445</v>
      </c>
      <c r="T66" s="2150">
        <f t="shared" si="30"/>
        <v>64204</v>
      </c>
      <c r="U66" s="2151"/>
      <c r="V66" s="2152"/>
      <c r="W66" s="2153"/>
      <c r="X66" s="2151"/>
      <c r="Y66" s="2152"/>
      <c r="Z66" s="2153"/>
      <c r="AA66" s="2154"/>
    </row>
    <row r="67" spans="3:27" ht="11.25" customHeight="1">
      <c r="C67" s="2142" t="s">
        <v>1181</v>
      </c>
      <c r="D67" s="2143">
        <v>1</v>
      </c>
      <c r="E67" s="2155" t="s">
        <v>1266</v>
      </c>
      <c r="F67" s="2156" t="s">
        <v>1194</v>
      </c>
      <c r="G67" s="2145">
        <f t="shared" ref="G67:T67" si="31">G19-G43</f>
        <v>17.29</v>
      </c>
      <c r="H67" s="2145">
        <f t="shared" si="31"/>
        <v>57.15</v>
      </c>
      <c r="I67" s="2146"/>
      <c r="J67" s="2146"/>
      <c r="K67" s="2147"/>
      <c r="L67" s="2148">
        <f t="shared" si="31"/>
        <v>360000</v>
      </c>
      <c r="M67" s="2148">
        <f t="shared" si="31"/>
        <v>108913.38582677166</v>
      </c>
      <c r="N67" s="2149">
        <f t="shared" si="31"/>
        <v>6224400</v>
      </c>
      <c r="O67" s="2148">
        <f t="shared" si="31"/>
        <v>61500</v>
      </c>
      <c r="P67" s="2148">
        <f t="shared" si="31"/>
        <v>18606.036745406826</v>
      </c>
      <c r="Q67" s="2150">
        <f t="shared" si="31"/>
        <v>1063335</v>
      </c>
      <c r="R67" s="2148">
        <f t="shared" si="31"/>
        <v>3075.0144592249858</v>
      </c>
      <c r="S67" s="2148">
        <f t="shared" si="31"/>
        <v>930.3062117235346</v>
      </c>
      <c r="T67" s="2150">
        <f t="shared" si="31"/>
        <v>53167</v>
      </c>
      <c r="U67" s="2151"/>
      <c r="V67" s="2152"/>
      <c r="W67" s="2153"/>
      <c r="X67" s="2151"/>
      <c r="Y67" s="2152"/>
      <c r="Z67" s="2153"/>
      <c r="AA67" s="2154"/>
    </row>
    <row r="68" spans="3:27" ht="11.25" customHeight="1">
      <c r="C68" s="2142" t="s">
        <v>1181</v>
      </c>
      <c r="D68" s="2166">
        <v>1</v>
      </c>
      <c r="E68" s="2158" t="s">
        <v>1187</v>
      </c>
      <c r="F68" s="2156" t="s">
        <v>1194</v>
      </c>
      <c r="G68" s="2159">
        <f t="shared" ref="G68:T68" si="32">G20-G44</f>
        <v>-17.289999999999992</v>
      </c>
      <c r="H68" s="2159">
        <f t="shared" si="32"/>
        <v>-57.149999999999977</v>
      </c>
      <c r="I68" s="2160"/>
      <c r="J68" s="2160"/>
      <c r="K68" s="2145"/>
      <c r="L68" s="2148">
        <f t="shared" si="32"/>
        <v>0</v>
      </c>
      <c r="M68" s="2148">
        <f t="shared" si="32"/>
        <v>0</v>
      </c>
      <c r="N68" s="2152">
        <f t="shared" si="32"/>
        <v>0</v>
      </c>
      <c r="O68" s="2148">
        <f t="shared" si="32"/>
        <v>0</v>
      </c>
      <c r="P68" s="2148">
        <f t="shared" si="32"/>
        <v>0</v>
      </c>
      <c r="Q68" s="2161">
        <f t="shared" si="32"/>
        <v>0</v>
      </c>
      <c r="R68" s="2148">
        <f t="shared" si="32"/>
        <v>0</v>
      </c>
      <c r="S68" s="2148">
        <f t="shared" si="32"/>
        <v>0</v>
      </c>
      <c r="T68" s="2161">
        <f t="shared" si="32"/>
        <v>0</v>
      </c>
      <c r="U68" s="2162"/>
      <c r="V68" s="2162"/>
      <c r="W68" s="2162"/>
      <c r="X68" s="2162"/>
      <c r="Y68" s="2162"/>
      <c r="Z68" s="2162"/>
      <c r="AA68" s="2163"/>
    </row>
    <row r="69" spans="3:27" ht="11.25" customHeight="1">
      <c r="C69" s="2142" t="s">
        <v>1181</v>
      </c>
      <c r="D69" s="2143" t="s">
        <v>1195</v>
      </c>
      <c r="E69" s="2155" t="s">
        <v>1267</v>
      </c>
      <c r="F69" s="2156" t="s">
        <v>1186</v>
      </c>
      <c r="G69" s="2145">
        <f t="shared" ref="G69:T69" si="33">G21-G45</f>
        <v>0</v>
      </c>
      <c r="H69" s="2145">
        <f t="shared" si="33"/>
        <v>0</v>
      </c>
      <c r="I69" s="2146"/>
      <c r="J69" s="2146"/>
      <c r="K69" s="2147"/>
      <c r="L69" s="2148">
        <f t="shared" si="33"/>
        <v>0</v>
      </c>
      <c r="M69" s="2148">
        <f t="shared" si="33"/>
        <v>0</v>
      </c>
      <c r="N69" s="2152">
        <f t="shared" si="33"/>
        <v>0</v>
      </c>
      <c r="O69" s="2148">
        <f t="shared" si="33"/>
        <v>1499.9999999999927</v>
      </c>
      <c r="P69" s="2148">
        <f t="shared" si="33"/>
        <v>453.74928587775139</v>
      </c>
      <c r="Q69" s="2157">
        <f t="shared" si="33"/>
        <v>4117980</v>
      </c>
      <c r="R69" s="2148">
        <f t="shared" si="33"/>
        <v>75.098349190622685</v>
      </c>
      <c r="S69" s="2148">
        <f t="shared" si="33"/>
        <v>22.717214877228685</v>
      </c>
      <c r="T69" s="2157">
        <f t="shared" si="33"/>
        <v>206169</v>
      </c>
      <c r="U69" s="2151"/>
      <c r="V69" s="2152"/>
      <c r="W69" s="2153"/>
      <c r="X69" s="2151"/>
      <c r="Y69" s="2152"/>
      <c r="Z69" s="2153"/>
      <c r="AA69" s="2167"/>
    </row>
    <row r="70" spans="3:27" ht="11.25" customHeight="1">
      <c r="C70" s="2142" t="s">
        <v>1181</v>
      </c>
      <c r="D70" s="2166" t="s">
        <v>1197</v>
      </c>
      <c r="E70" s="2168" t="s">
        <v>1198</v>
      </c>
      <c r="F70" s="2156" t="s">
        <v>1186</v>
      </c>
      <c r="G70" s="2159">
        <f t="shared" ref="G70:T70" si="34">G22-G46</f>
        <v>0</v>
      </c>
      <c r="H70" s="2159">
        <f t="shared" si="34"/>
        <v>0</v>
      </c>
      <c r="I70" s="2160"/>
      <c r="J70" s="2160"/>
      <c r="K70" s="2147"/>
      <c r="L70" s="2148">
        <f t="shared" si="34"/>
        <v>0</v>
      </c>
      <c r="M70" s="2148">
        <f t="shared" si="34"/>
        <v>0</v>
      </c>
      <c r="N70" s="2152">
        <f t="shared" si="34"/>
        <v>0</v>
      </c>
      <c r="O70" s="2148">
        <f t="shared" si="34"/>
        <v>0</v>
      </c>
      <c r="P70" s="2148">
        <f t="shared" si="34"/>
        <v>0</v>
      </c>
      <c r="Q70" s="2161">
        <f t="shared" si="34"/>
        <v>0</v>
      </c>
      <c r="R70" s="2148">
        <f t="shared" si="34"/>
        <v>0</v>
      </c>
      <c r="S70" s="2148">
        <f t="shared" si="34"/>
        <v>0</v>
      </c>
      <c r="T70" s="2161">
        <f t="shared" si="34"/>
        <v>0</v>
      </c>
      <c r="U70" s="2151"/>
      <c r="V70" s="2152"/>
      <c r="W70" s="2153"/>
      <c r="X70" s="2151"/>
      <c r="Y70" s="2152"/>
      <c r="Z70" s="2153"/>
      <c r="AA70" s="2167"/>
    </row>
    <row r="71" spans="3:27" ht="11.25" customHeight="1">
      <c r="C71" s="2886" t="s">
        <v>1199</v>
      </c>
      <c r="D71" s="2886"/>
      <c r="E71" s="2886"/>
      <c r="F71" s="2886"/>
      <c r="G71" s="2169">
        <f>+SUM(G55:G70)</f>
        <v>9.9999999999980105E-3</v>
      </c>
      <c r="H71" s="2169">
        <f>+SUM(H55:H70)</f>
        <v>2.1316282072803006E-14</v>
      </c>
      <c r="I71" s="2170"/>
      <c r="J71" s="2170"/>
      <c r="K71" s="2171">
        <f>+SUMPRODUCT(K55:K70,G55:G70)/SUM(G69:G70,G59:G67,G55:G56)</f>
        <v>0</v>
      </c>
      <c r="L71" s="2170">
        <f>+N71/G71</f>
        <v>622440000.00012386</v>
      </c>
      <c r="M71" s="2170">
        <f>+N71/H71</f>
        <v>2.9200214083963453E+20</v>
      </c>
      <c r="N71" s="2170">
        <f>+SUM(N55:N70)</f>
        <v>6224400</v>
      </c>
      <c r="O71" s="2170">
        <f>+Q71/G71</f>
        <v>3687808900.0007339</v>
      </c>
      <c r="P71" s="2170">
        <f>+Q71/H71</f>
        <v>1.7300432070680833E+21</v>
      </c>
      <c r="Q71" s="2170">
        <f>+SUM(Q55:Q70)</f>
        <v>36878089</v>
      </c>
      <c r="R71" s="2170">
        <f>+T71/G71</f>
        <v>186324900.00003707</v>
      </c>
      <c r="S71" s="2170">
        <f>T71/H71</f>
        <v>8.740966148019218E+19</v>
      </c>
      <c r="T71" s="2170">
        <f>+SUM(T55:T70)</f>
        <v>1863249</v>
      </c>
      <c r="U71" s="2170"/>
      <c r="V71" s="2170"/>
      <c r="W71" s="2170"/>
      <c r="X71" s="2170"/>
      <c r="Y71" s="2170"/>
      <c r="Z71" s="2170"/>
      <c r="AA71" s="2170"/>
    </row>
    <row r="72" spans="3:27" ht="11.25" customHeight="1" collapsed="1"/>
    <row r="76" spans="3:27" ht="11.25" customHeight="1">
      <c r="D76" s="1979" t="s">
        <v>1201</v>
      </c>
    </row>
    <row r="77" spans="3:27" ht="11.25" customHeight="1">
      <c r="D77" s="6" t="s">
        <v>24</v>
      </c>
      <c r="E77" s="61" t="s">
        <v>633</v>
      </c>
      <c r="F77" s="61" t="s">
        <v>1200</v>
      </c>
      <c r="G77" s="61" t="s">
        <v>113</v>
      </c>
      <c r="H77" s="61" t="s">
        <v>30</v>
      </c>
      <c r="I77" s="61" t="s">
        <v>31</v>
      </c>
      <c r="J77" s="61" t="s">
        <v>32</v>
      </c>
      <c r="K77" s="61" t="s">
        <v>478</v>
      </c>
      <c r="L77" s="61" t="s">
        <v>479</v>
      </c>
      <c r="M77" s="61" t="s">
        <v>480</v>
      </c>
      <c r="N77" s="61" t="s">
        <v>36</v>
      </c>
      <c r="O77" s="685" t="s">
        <v>657</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2">
        <f t="shared" ref="O78:O93" si="40">AA7</f>
        <v>8</v>
      </c>
      <c r="P78" s="2031">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2">
        <f t="shared" si="40"/>
        <v>5</v>
      </c>
      <c r="P79" s="2031">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2" t="str">
        <f t="shared" si="40"/>
        <v>-</v>
      </c>
      <c r="P80" s="2031">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2" t="str">
        <f t="shared" si="40"/>
        <v>-</v>
      </c>
      <c r="P81" s="2031">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2">
        <f t="shared" si="40"/>
        <v>5</v>
      </c>
      <c r="P82" s="2031">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2">
        <f t="shared" si="40"/>
        <v>5</v>
      </c>
      <c r="P83" s="2031">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2">
        <f t="shared" si="40"/>
        <v>5</v>
      </c>
      <c r="P84" s="2031">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2">
        <f t="shared" si="40"/>
        <v>5</v>
      </c>
      <c r="P85" s="2031">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2" t="str">
        <f t="shared" si="40"/>
        <v>-</v>
      </c>
      <c r="P86" s="2031">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2">
        <f t="shared" si="40"/>
        <v>9.3000000000000007</v>
      </c>
      <c r="P87" s="2031">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2">
        <f t="shared" si="40"/>
        <v>15</v>
      </c>
      <c r="P88" s="2031">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2">
        <f t="shared" si="40"/>
        <v>7.5</v>
      </c>
      <c r="P89" s="2031">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2">
        <f t="shared" si="40"/>
        <v>7.5</v>
      </c>
      <c r="P90" s="2031">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2" t="str">
        <f t="shared" si="40"/>
        <v>-</v>
      </c>
      <c r="P91" s="2031">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2">
        <f t="shared" si="40"/>
        <v>9.1</v>
      </c>
      <c r="P92" s="2031">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2">
        <f t="shared" si="40"/>
        <v>8.4</v>
      </c>
      <c r="P93" s="2031">
        <f t="shared" si="43"/>
        <v>982155600</v>
      </c>
    </row>
    <row r="94" spans="4:16" ht="11.25" customHeight="1">
      <c r="D94" s="1864"/>
      <c r="E94" s="1878"/>
      <c r="F94" s="1879"/>
      <c r="G94" s="687"/>
      <c r="H94" s="1961"/>
      <c r="I94" s="1123"/>
      <c r="J94" s="1123"/>
      <c r="K94" s="690">
        <f>SUMPRODUCT($G78:$G93,K78:K93)</f>
        <v>1233764764</v>
      </c>
      <c r="L94" s="690">
        <f t="shared" ref="L94:M94" si="72">SUMPRODUCT($G78:$G93,L78:L93)</f>
        <v>63528095</v>
      </c>
      <c r="M94" s="690">
        <f t="shared" si="72"/>
        <v>7172491597</v>
      </c>
      <c r="N94" s="688"/>
      <c r="O94" s="1203"/>
    </row>
    <row r="95" spans="4:16" ht="11.25" customHeight="1">
      <c r="K95" s="2031"/>
    </row>
    <row r="96" spans="4:16" ht="11.25" customHeight="1">
      <c r="K96" s="2568"/>
    </row>
    <row r="97" spans="11:11" ht="11.25" customHeight="1">
      <c r="K97" s="2569"/>
    </row>
  </sheetData>
  <mergeCells count="36">
    <mergeCell ref="C71:F71"/>
    <mergeCell ref="L53:N53"/>
    <mergeCell ref="O53:Q53"/>
    <mergeCell ref="R53:T53"/>
    <mergeCell ref="U53:W53"/>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R29:T29"/>
    <mergeCell ref="U29:W29"/>
    <mergeCell ref="X29:Z29"/>
    <mergeCell ref="G5:H5"/>
    <mergeCell ref="I5:K5"/>
    <mergeCell ref="L5:N5"/>
    <mergeCell ref="O5:Q5"/>
    <mergeCell ref="R5:T5"/>
    <mergeCell ref="U5:W5"/>
    <mergeCell ref="X5:Z5"/>
    <mergeCell ref="C23:F23"/>
    <mergeCell ref="C5:C6"/>
    <mergeCell ref="D5:D6"/>
    <mergeCell ref="E5:E6"/>
    <mergeCell ref="F5:F6"/>
  </mergeCells>
  <phoneticPr fontId="2" type="noConversion"/>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91"/>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91"/>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91"/>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91"/>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91"/>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91"/>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91"/>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91"/>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91"/>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91"/>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2"/>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3"/>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91"/>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91"/>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91"/>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91"/>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91"/>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91"/>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9">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91"/>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91"/>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91"/>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91"/>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91"/>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91"/>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4"/>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5"/>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720"/>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6"/>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7"/>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8"/>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7"/>
      <c r="C86" s="2128"/>
      <c r="D86" s="2128"/>
      <c r="E86" s="2128"/>
      <c r="F86" s="2128"/>
      <c r="G86" s="2128"/>
      <c r="H86" s="2128"/>
      <c r="I86" s="2128"/>
      <c r="J86" s="2129"/>
      <c r="K86" s="2129"/>
      <c r="L86" s="2129"/>
      <c r="M86" s="2129"/>
      <c r="N86" s="2130"/>
      <c r="O86" s="2130"/>
      <c r="P86" s="2131"/>
      <c r="Q86" s="2131"/>
      <c r="R86" s="2131"/>
      <c r="S86" s="2132"/>
      <c r="T86" s="2133"/>
      <c r="AJ86" s="2134"/>
      <c r="AK86" s="2135"/>
      <c r="AL86" s="2136"/>
      <c r="AM86" s="2137"/>
      <c r="AN86" s="2136"/>
    </row>
    <row r="87" spans="1:47" s="299" customFormat="1" ht="11.25" customHeight="1">
      <c r="A87" s="2127"/>
      <c r="C87" s="2128"/>
      <c r="D87" s="2128"/>
      <c r="E87" s="2128"/>
      <c r="F87" s="2128"/>
      <c r="G87" s="2128"/>
      <c r="H87" s="2128"/>
      <c r="I87" s="2128"/>
      <c r="J87" s="2129"/>
      <c r="K87" s="2129"/>
      <c r="L87" s="2129"/>
      <c r="M87" s="2129"/>
      <c r="N87" s="2130"/>
      <c r="O87" s="2130"/>
      <c r="P87" s="2131"/>
      <c r="Q87" s="2131"/>
      <c r="R87" s="2131"/>
      <c r="S87" s="2132"/>
      <c r="T87" s="2133"/>
      <c r="AJ87" s="2134"/>
      <c r="AK87" s="2135"/>
      <c r="AL87" s="2136"/>
      <c r="AM87" s="2137"/>
      <c r="AN87" s="2136"/>
    </row>
    <row r="88" spans="1:47" s="299" customFormat="1" ht="11.25" customHeight="1">
      <c r="A88" s="2127"/>
      <c r="AJ88" s="2134"/>
      <c r="AK88" s="2135"/>
      <c r="AL88" s="2136"/>
      <c r="AM88" s="2137"/>
      <c r="AN88" s="2136"/>
    </row>
    <row r="89" spans="1:47" s="299" customFormat="1" ht="11.25" customHeight="1">
      <c r="A89" s="2127"/>
      <c r="AJ89" s="2134"/>
      <c r="AK89" s="2135"/>
      <c r="AL89" s="2136"/>
      <c r="AM89" s="2137"/>
      <c r="AN89" s="2136"/>
    </row>
    <row r="90" spans="1:47" s="299" customFormat="1" ht="11.25" customHeight="1">
      <c r="A90" s="2127"/>
      <c r="AJ90" s="2134"/>
      <c r="AK90" s="2135"/>
      <c r="AL90" s="2136"/>
      <c r="AM90" s="2137"/>
      <c r="AN90" s="2136"/>
    </row>
    <row r="91" spans="1:47" s="299" customFormat="1" ht="11.25" customHeight="1">
      <c r="A91" s="2127"/>
      <c r="AJ91" s="2134"/>
      <c r="AK91" s="2135"/>
      <c r="AL91" s="2136"/>
      <c r="AM91" s="2137"/>
      <c r="AN91" s="2136"/>
    </row>
    <row r="92" spans="1:47" s="299" customFormat="1" ht="11.25" customHeight="1">
      <c r="A92" s="2127"/>
      <c r="AJ92" s="2134"/>
      <c r="AK92" s="2135"/>
      <c r="AL92" s="2136"/>
      <c r="AM92" s="2137"/>
      <c r="AN92" s="2136"/>
    </row>
    <row r="93" spans="1:47" s="299" customFormat="1" ht="11.25" customHeight="1">
      <c r="A93" s="2127"/>
      <c r="AJ93" s="2134"/>
      <c r="AK93" s="2135"/>
      <c r="AL93" s="2136"/>
      <c r="AM93" s="2137"/>
      <c r="AN93" s="2136"/>
    </row>
    <row r="94" spans="1:47" s="299" customFormat="1" ht="11.25" customHeight="1">
      <c r="A94" s="2127"/>
      <c r="AJ94" s="2134"/>
      <c r="AK94" s="2135"/>
      <c r="AL94" s="2136"/>
      <c r="AM94" s="2137"/>
      <c r="AN94" s="2136"/>
    </row>
    <row r="95" spans="1:47" s="299" customFormat="1" ht="11.25" customHeight="1">
      <c r="A95" s="2127"/>
      <c r="AJ95" s="2134"/>
      <c r="AK95" s="2135"/>
      <c r="AL95" s="2136"/>
      <c r="AM95" s="2137"/>
      <c r="AN95" s="2136"/>
    </row>
    <row r="96" spans="1:47" s="299" customFormat="1" ht="11.25" customHeight="1">
      <c r="A96" s="2127"/>
      <c r="AJ96" s="2134"/>
      <c r="AK96" s="2135"/>
      <c r="AL96" s="2136"/>
      <c r="AM96" s="2137"/>
      <c r="AN96" s="2136"/>
    </row>
    <row r="97" spans="1:47" s="299" customFormat="1" ht="11.25" customHeight="1">
      <c r="A97" s="2127"/>
      <c r="AJ97" s="2134"/>
      <c r="AK97" s="2135"/>
      <c r="AL97" s="2136"/>
      <c r="AM97" s="2137"/>
      <c r="AN97" s="2136"/>
    </row>
    <row r="98" spans="1:47" s="299" customFormat="1" ht="11.25" customHeight="1">
      <c r="A98" s="2127"/>
      <c r="AJ98" s="2134"/>
      <c r="AK98" s="2135"/>
      <c r="AL98" s="2136"/>
      <c r="AM98" s="2137"/>
      <c r="AN98" s="2136"/>
    </row>
    <row r="99" spans="1:47" s="299" customFormat="1" ht="11.25" customHeight="1">
      <c r="A99" s="2127"/>
      <c r="AJ99" s="2134"/>
      <c r="AK99" s="2135"/>
      <c r="AL99" s="2136"/>
      <c r="AM99" s="2137"/>
      <c r="AN99" s="2136"/>
    </row>
    <row r="100" spans="1:47" s="299" customFormat="1" ht="11.25" customHeight="1">
      <c r="A100" s="2127"/>
      <c r="AJ100" s="2134"/>
      <c r="AK100" s="2135"/>
      <c r="AL100" s="2136"/>
      <c r="AM100" s="2137"/>
      <c r="AN100" s="2136"/>
    </row>
    <row r="101" spans="1:47" s="299" customFormat="1" ht="11.25" customHeight="1">
      <c r="A101" s="2127"/>
      <c r="AJ101" s="2134"/>
      <c r="AK101" s="2135"/>
      <c r="AL101" s="2136"/>
      <c r="AM101" s="2137"/>
      <c r="AN101" s="2136"/>
    </row>
    <row r="102" spans="1:47" s="299" customFormat="1" ht="11.25" customHeight="1">
      <c r="A102" s="2127"/>
      <c r="AJ102" s="2134"/>
      <c r="AK102" s="2135"/>
      <c r="AL102" s="2136"/>
      <c r="AM102" s="2137"/>
      <c r="AN102" s="2136"/>
    </row>
    <row r="103" spans="1:47" s="299" customFormat="1" ht="11.25" customHeight="1">
      <c r="A103" s="2127"/>
      <c r="AJ103" s="2134"/>
      <c r="AK103" s="2135"/>
      <c r="AL103" s="2136"/>
      <c r="AM103" s="2137"/>
      <c r="AN103" s="2136"/>
    </row>
    <row r="104" spans="1:47" s="299" customFormat="1" ht="11.25" customHeight="1">
      <c r="A104" s="2127"/>
      <c r="AJ104" s="2134"/>
      <c r="AK104" s="2135"/>
      <c r="AL104" s="2136"/>
      <c r="AM104" s="2137"/>
      <c r="AN104" s="2136"/>
    </row>
    <row r="105" spans="1:47" s="299" customFormat="1" ht="11.25" customHeight="1">
      <c r="A105" s="2127"/>
      <c r="AJ105" s="2134"/>
      <c r="AK105" s="2135"/>
      <c r="AL105" s="2136"/>
      <c r="AM105" s="2137"/>
      <c r="AN105" s="2136"/>
    </row>
    <row r="106" spans="1:47" s="299" customFormat="1" ht="11.25" customHeight="1">
      <c r="A106" s="2127"/>
      <c r="AJ106" s="2134"/>
      <c r="AK106" s="2135"/>
      <c r="AL106" s="2136"/>
      <c r="AM106" s="2137"/>
      <c r="AN106" s="2136"/>
    </row>
    <row r="107" spans="1:47" s="299" customFormat="1" ht="11.25" customHeight="1">
      <c r="A107" s="2127"/>
      <c r="AJ107" s="2134"/>
      <c r="AK107" s="2135"/>
      <c r="AL107" s="2136"/>
      <c r="AM107" s="2137"/>
      <c r="AN107" s="2136"/>
    </row>
    <row r="108" spans="1:47" s="299" customFormat="1" ht="11.25" customHeight="1">
      <c r="A108" s="2127"/>
      <c r="C108" s="2128"/>
      <c r="D108" s="2128"/>
      <c r="E108" s="2128"/>
      <c r="F108" s="2128"/>
      <c r="G108" s="2128"/>
      <c r="H108" s="2128"/>
      <c r="I108" s="2128"/>
      <c r="J108" s="2129"/>
      <c r="K108" s="2129"/>
      <c r="L108" s="2129"/>
      <c r="M108" s="2129"/>
      <c r="N108" s="2130"/>
      <c r="O108" s="2130"/>
      <c r="P108" s="2131"/>
      <c r="Q108" s="2131"/>
      <c r="R108" s="2131"/>
      <c r="S108" s="2132"/>
      <c r="T108" s="2133"/>
      <c r="AJ108" s="2134"/>
      <c r="AK108" s="2135"/>
      <c r="AL108" s="2136"/>
      <c r="AM108" s="2137"/>
      <c r="AN108" s="2136"/>
    </row>
    <row r="109" spans="1:47" s="299" customFormat="1" ht="11.25" customHeight="1">
      <c r="A109" s="2127"/>
      <c r="C109" s="2128"/>
      <c r="D109" s="2128"/>
      <c r="E109" s="2128"/>
      <c r="F109" s="2128"/>
      <c r="G109" s="2128"/>
      <c r="H109" s="2128"/>
      <c r="I109" s="2128"/>
      <c r="J109" s="2129"/>
      <c r="K109" s="2129"/>
      <c r="L109" s="2129"/>
      <c r="M109" s="2129"/>
      <c r="N109" s="2130"/>
      <c r="O109" s="2130"/>
      <c r="P109" s="2131"/>
      <c r="Q109" s="2131"/>
      <c r="R109" s="2131"/>
      <c r="S109" s="2132"/>
      <c r="T109" s="2133"/>
      <c r="AJ109" s="2134"/>
      <c r="AK109" s="2135"/>
      <c r="AL109" s="2136"/>
      <c r="AM109" s="2137"/>
      <c r="AN109" s="2136"/>
    </row>
    <row r="110" spans="1:47" s="299" customFormat="1" ht="11.25" customHeight="1">
      <c r="A110" s="2127"/>
      <c r="C110" s="2128"/>
      <c r="D110" s="2128"/>
      <c r="E110" s="2128"/>
      <c r="F110" s="2128"/>
      <c r="G110" s="2128"/>
      <c r="H110" s="2128"/>
      <c r="I110" s="2128"/>
      <c r="J110" s="2129"/>
      <c r="K110" s="2129"/>
      <c r="L110" s="2129"/>
      <c r="M110" s="2129"/>
      <c r="N110" s="2130"/>
      <c r="O110" s="2130"/>
      <c r="P110" s="2131"/>
      <c r="Q110" s="2131"/>
      <c r="R110" s="2131"/>
      <c r="S110" s="2132"/>
      <c r="T110" s="2133"/>
      <c r="AJ110" s="2134"/>
      <c r="AK110" s="2135"/>
      <c r="AL110" s="2136"/>
      <c r="AM110" s="2137"/>
      <c r="AN110" s="2136"/>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6">
        <v>2.5000000000000001E-2</v>
      </c>
      <c r="H124" s="558"/>
      <c r="J124" s="558"/>
      <c r="L124" s="558"/>
      <c r="M124" s="558"/>
      <c r="V124" s="291"/>
    </row>
    <row r="125" spans="1:47" ht="11.25" customHeight="1">
      <c r="C125" s="559"/>
      <c r="D125" s="560"/>
      <c r="E125" s="560"/>
      <c r="F125" s="1387">
        <v>1</v>
      </c>
      <c r="G125" s="561">
        <v>60000</v>
      </c>
      <c r="H125" s="561"/>
      <c r="J125" s="561"/>
      <c r="L125" s="561"/>
      <c r="M125" s="561"/>
      <c r="P125" s="291"/>
      <c r="V125" s="291"/>
    </row>
    <row r="126" spans="1:47" ht="11.25" customHeight="1">
      <c r="C126" s="559"/>
      <c r="D126" s="560"/>
      <c r="E126" s="560"/>
      <c r="F126" s="1387">
        <v>2</v>
      </c>
      <c r="G126" s="561">
        <f>G125*(1+$G$124)</f>
        <v>61499.999999999993</v>
      </c>
      <c r="H126" s="561"/>
      <c r="J126" s="561"/>
      <c r="L126" s="561"/>
      <c r="M126" s="561"/>
      <c r="P126" s="291"/>
      <c r="V126" s="291"/>
    </row>
    <row r="127" spans="1:47" ht="11.25" customHeight="1">
      <c r="C127" s="562"/>
      <c r="D127" s="563"/>
      <c r="E127" s="563"/>
      <c r="F127" s="1388">
        <v>3</v>
      </c>
      <c r="G127" s="561">
        <f>G126*(1+$G$124)</f>
        <v>63037.499999999985</v>
      </c>
      <c r="H127" s="558"/>
      <c r="J127" s="558"/>
      <c r="L127" s="558"/>
      <c r="M127" s="558"/>
      <c r="P127" s="291"/>
      <c r="V127" s="291"/>
    </row>
    <row r="128" spans="1:47" ht="11.25" customHeight="1">
      <c r="C128" s="549"/>
      <c r="D128" s="549"/>
      <c r="E128" s="549"/>
      <c r="F128" s="1389">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3" customWidth="1"/>
    <col min="2" max="2" width="14.125" style="1473" customWidth="1"/>
    <col min="3" max="3" width="13.75" style="1473" customWidth="1"/>
    <col min="4" max="4" width="14" style="1474" customWidth="1"/>
    <col min="5" max="5" width="17.625" style="1473" customWidth="1"/>
    <col min="6" max="6" width="21.375" style="1473" bestFit="1" customWidth="1"/>
    <col min="7" max="7" width="19.375" style="1473" bestFit="1" customWidth="1"/>
    <col min="8" max="9" width="18.125" style="1473" bestFit="1" customWidth="1"/>
    <col min="10" max="10" width="17.25" style="1473" bestFit="1" customWidth="1"/>
    <col min="11" max="11" width="15.5" style="1473" bestFit="1" customWidth="1"/>
    <col min="12" max="12" width="25.25" style="1473" customWidth="1"/>
    <col min="13" max="13" width="16" style="1473" bestFit="1" customWidth="1"/>
    <col min="14" max="14" width="14" style="1473" bestFit="1" customWidth="1"/>
    <col min="15" max="15" width="17.375" style="1473" bestFit="1" customWidth="1"/>
    <col min="16" max="16384" width="10" style="1473"/>
  </cols>
  <sheetData>
    <row r="1" spans="2:11" s="1406" customFormat="1" ht="30" customHeight="1">
      <c r="B1" s="2912" t="s">
        <v>899</v>
      </c>
      <c r="C1" s="2912"/>
      <c r="D1" s="2912"/>
      <c r="E1" s="2912"/>
      <c r="F1" s="2912"/>
      <c r="G1" s="2912"/>
      <c r="H1" s="2912"/>
      <c r="I1" s="2912"/>
      <c r="J1" s="2912"/>
    </row>
    <row r="2" spans="2:11" s="1406" customFormat="1" ht="12" customHeight="1">
      <c r="B2" s="1407"/>
      <c r="C2" s="1407"/>
      <c r="D2" s="1407"/>
      <c r="E2" s="1408"/>
      <c r="F2" s="1409"/>
      <c r="G2" s="1410"/>
      <c r="H2" s="1409"/>
      <c r="I2" s="1411"/>
      <c r="J2" s="1412"/>
    </row>
    <row r="3" spans="2:11" s="1416" customFormat="1" ht="15" customHeight="1">
      <c r="B3" s="1413" t="str">
        <f>"1. 납부금액: 일금"&amp;NUMBERSTRING(I7,1)&amp;"원정(\"&amp;TEXT(I7,"###,###,###-)")</f>
        <v>1. 납부금액: 일금이억육백이십오만일천칠백이십원정(\206,251,720-)</v>
      </c>
      <c r="C3" s="1414"/>
      <c r="D3" s="1414"/>
      <c r="E3" s="1414"/>
      <c r="F3" s="1414"/>
      <c r="G3" s="1414"/>
      <c r="H3" s="1414"/>
      <c r="I3" s="1414"/>
      <c r="J3" s="1415"/>
    </row>
    <row r="4" spans="2:11" s="1416" customFormat="1" ht="15" customHeight="1">
      <c r="B4" s="1414"/>
      <c r="C4" s="1414"/>
      <c r="D4" s="1414"/>
      <c r="E4" s="1414"/>
      <c r="F4" s="1414"/>
      <c r="G4" s="1414"/>
      <c r="H4" s="1414"/>
      <c r="I4" s="1414"/>
      <c r="J4" s="1415"/>
    </row>
    <row r="5" spans="2:11" s="1418" customFormat="1" ht="15" customHeight="1">
      <c r="B5" s="1413" t="s">
        <v>853</v>
      </c>
      <c r="C5" s="1413"/>
      <c r="D5" s="1413"/>
      <c r="E5" s="1413"/>
      <c r="F5" s="1413"/>
      <c r="G5" s="1413"/>
      <c r="H5" s="1413"/>
      <c r="I5" s="1413"/>
      <c r="J5" s="1417"/>
    </row>
    <row r="6" spans="2:11" s="1416" customFormat="1" ht="15" customHeight="1">
      <c r="B6" s="1419" t="s">
        <v>854</v>
      </c>
      <c r="C6" s="2913" t="s">
        <v>855</v>
      </c>
      <c r="D6" s="2914"/>
      <c r="E6" s="2915" t="s">
        <v>856</v>
      </c>
      <c r="F6" s="2915"/>
      <c r="G6" s="2915" t="s">
        <v>857</v>
      </c>
      <c r="H6" s="2915"/>
      <c r="I6" s="2915" t="s">
        <v>858</v>
      </c>
      <c r="J6" s="2915"/>
    </row>
    <row r="7" spans="2:11" s="1416" customFormat="1" ht="15" customHeight="1">
      <c r="B7" s="1420" t="s">
        <v>859</v>
      </c>
      <c r="C7" s="2907">
        <f>G41</f>
        <v>132794668.90000001</v>
      </c>
      <c r="D7" s="2908"/>
      <c r="E7" s="2909">
        <f>H41</f>
        <v>46898130</v>
      </c>
      <c r="F7" s="2909"/>
      <c r="G7" s="2910">
        <f>I41</f>
        <v>26558930</v>
      </c>
      <c r="H7" s="2910"/>
      <c r="I7" s="2911">
        <f>ROUNDDOWN(SUM(C7:H7),-1)</f>
        <v>206251720</v>
      </c>
      <c r="J7" s="2911"/>
      <c r="K7" s="1421"/>
    </row>
    <row r="8" spans="2:11" s="1416" customFormat="1" ht="15" customHeight="1">
      <c r="B8" s="1414"/>
      <c r="C8" s="1414"/>
      <c r="D8" s="1414"/>
      <c r="E8" s="1414"/>
      <c r="F8" s="1414"/>
      <c r="G8" s="1414"/>
      <c r="H8" s="1414"/>
      <c r="I8" s="1414"/>
      <c r="J8" s="1415"/>
    </row>
    <row r="9" spans="2:11" s="1416" customFormat="1" ht="15" customHeight="1">
      <c r="B9" s="1413" t="s">
        <v>900</v>
      </c>
      <c r="C9" s="1414"/>
      <c r="D9" s="1414"/>
      <c r="E9" s="1414"/>
      <c r="F9" s="1414"/>
      <c r="G9" s="1414"/>
      <c r="H9" s="1414"/>
      <c r="I9" s="1414"/>
      <c r="J9" s="1415"/>
    </row>
    <row r="10" spans="2:11" s="1416" customFormat="1" ht="15" customHeight="1">
      <c r="B10" s="1414"/>
      <c r="C10" s="1414"/>
      <c r="D10" s="1414"/>
      <c r="E10" s="1414"/>
      <c r="F10" s="1414"/>
      <c r="G10" s="1414"/>
      <c r="H10" s="1414"/>
      <c r="I10" s="1414"/>
      <c r="J10" s="1415"/>
    </row>
    <row r="11" spans="2:11" s="1416" customFormat="1" ht="15" customHeight="1">
      <c r="B11" s="1413" t="s">
        <v>860</v>
      </c>
      <c r="C11" s="1414"/>
      <c r="D11" s="1414"/>
      <c r="E11" s="1414"/>
      <c r="F11" s="1414"/>
      <c r="G11" s="1414"/>
      <c r="H11" s="1414"/>
      <c r="I11" s="1414"/>
      <c r="J11" s="1415"/>
    </row>
    <row r="12" spans="2:11" s="1416" customFormat="1" ht="15" customHeight="1">
      <c r="B12" s="1414"/>
      <c r="C12" s="1414"/>
      <c r="D12" s="1414"/>
      <c r="E12" s="1414"/>
      <c r="F12" s="1414"/>
      <c r="G12" s="1414"/>
      <c r="H12" s="1414"/>
      <c r="I12" s="1414"/>
      <c r="J12" s="1415"/>
    </row>
    <row r="13" spans="2:11" s="1416" customFormat="1" ht="15" customHeight="1">
      <c r="B13" s="1413" t="s">
        <v>861</v>
      </c>
      <c r="C13" s="1414"/>
      <c r="D13" s="1414"/>
      <c r="E13" s="1414"/>
      <c r="F13" s="1414"/>
      <c r="G13" s="1414"/>
      <c r="H13" s="1422"/>
      <c r="I13" s="1414"/>
      <c r="J13" s="1415"/>
    </row>
    <row r="14" spans="2:11" s="1416" customFormat="1" ht="15" customHeight="1">
      <c r="B14" s="1414"/>
      <c r="C14" s="1414"/>
      <c r="D14" s="1414"/>
      <c r="E14" s="1414"/>
      <c r="F14" s="1422"/>
      <c r="G14" s="1414"/>
      <c r="H14" s="1422"/>
      <c r="I14" s="1414"/>
      <c r="J14" s="1415"/>
    </row>
    <row r="15" spans="2:11" s="1416" customFormat="1" ht="15" customHeight="1">
      <c r="B15" s="1413" t="s">
        <v>862</v>
      </c>
      <c r="C15" s="1414"/>
      <c r="D15" s="1414"/>
      <c r="E15" s="1414"/>
      <c r="F15" s="1422"/>
      <c r="G15" s="1414"/>
      <c r="H15" s="1422"/>
      <c r="I15" s="1414"/>
      <c r="J15" s="1415"/>
    </row>
    <row r="16" spans="2:11" s="1416" customFormat="1" ht="15" customHeight="1">
      <c r="B16" s="1414"/>
      <c r="C16" s="1414"/>
      <c r="D16" s="1414"/>
      <c r="E16" s="1414"/>
      <c r="F16" s="1422"/>
      <c r="G16" s="1414"/>
      <c r="H16" s="1422"/>
      <c r="I16" s="1423">
        <f>2800000+(26067100080-1000000000)*0.004</f>
        <v>103068400.32000001</v>
      </c>
      <c r="J16" s="1415"/>
    </row>
    <row r="17" spans="1:15" s="1416" customFormat="1" ht="15" customHeight="1">
      <c r="B17" s="1413" t="s">
        <v>863</v>
      </c>
      <c r="C17" s="1414"/>
      <c r="D17" s="1414"/>
      <c r="E17" s="1414"/>
      <c r="F17" s="1422"/>
      <c r="G17" s="1414"/>
      <c r="H17" s="1424"/>
      <c r="I17" s="1414"/>
      <c r="J17" s="1415"/>
      <c r="M17" s="1416">
        <v>2603094.5993872643</v>
      </c>
      <c r="N17" s="1425">
        <f>M18-M17</f>
        <v>522962.09460626869</v>
      </c>
    </row>
    <row r="18" spans="1:15" s="1416" customFormat="1" ht="15" customHeight="1">
      <c r="B18" s="1414"/>
      <c r="C18" s="1414"/>
      <c r="D18" s="1414"/>
      <c r="E18" s="1414"/>
      <c r="F18" s="1422"/>
      <c r="G18" s="1414"/>
      <c r="H18" s="1414"/>
      <c r="I18" s="1414"/>
      <c r="J18" s="1415"/>
      <c r="L18" s="1426">
        <f>SUM(C22,C26,C30,C34,C38)</f>
        <v>15308.5</v>
      </c>
      <c r="M18" s="1425">
        <f>L20/L18</f>
        <v>3126056.693993533</v>
      </c>
      <c r="N18" s="1427">
        <f>N17/M17</f>
        <v>0.20090014966392977</v>
      </c>
      <c r="O18" s="1425" t="b">
        <f>M17*(1+N18)=M18</f>
        <v>1</v>
      </c>
    </row>
    <row r="19" spans="1:15" s="1416" customFormat="1" ht="15" customHeight="1" thickBot="1">
      <c r="B19" s="1413" t="s">
        <v>864</v>
      </c>
      <c r="C19" s="1414"/>
      <c r="D19" s="1414"/>
      <c r="E19" s="1414"/>
      <c r="F19" s="1424"/>
      <c r="G19" s="1414"/>
      <c r="H19" s="1414"/>
      <c r="I19" s="1414"/>
      <c r="J19" s="1415"/>
    </row>
    <row r="20" spans="1:15" s="1428" customFormat="1" ht="15" customHeight="1" thickBot="1">
      <c r="B20" s="1429" t="s">
        <v>865</v>
      </c>
      <c r="C20" s="1430" t="s">
        <v>866</v>
      </c>
      <c r="D20" s="1431" t="s">
        <v>867</v>
      </c>
      <c r="E20" s="1430" t="s">
        <v>868</v>
      </c>
      <c r="F20" s="1430" t="s">
        <v>869</v>
      </c>
      <c r="G20" s="1430" t="s">
        <v>855</v>
      </c>
      <c r="H20" s="1430" t="s">
        <v>870</v>
      </c>
      <c r="I20" s="1430" t="s">
        <v>857</v>
      </c>
      <c r="J20" s="1432" t="s">
        <v>858</v>
      </c>
      <c r="L20" s="1428">
        <f>SUM(L21:L37)</f>
        <v>47855238900</v>
      </c>
    </row>
    <row r="21" spans="1:15" s="1433" customFormat="1" ht="15" customHeight="1">
      <c r="B21" s="1434" t="s">
        <v>871</v>
      </c>
      <c r="C21" s="1435">
        <v>13670.6</v>
      </c>
      <c r="D21" s="1436">
        <v>3129000</v>
      </c>
      <c r="E21" s="1437">
        <v>0.7</v>
      </c>
      <c r="F21" s="1438">
        <f>D21*C21*E21</f>
        <v>29942715180</v>
      </c>
      <c r="G21" s="1438"/>
      <c r="H21" s="1439"/>
      <c r="I21" s="1439"/>
      <c r="J21" s="1440"/>
      <c r="K21" s="1441"/>
      <c r="L21" s="1441">
        <f>C21*D21</f>
        <v>42775307400</v>
      </c>
      <c r="M21" s="1441"/>
    </row>
    <row r="22" spans="1:15" s="1442" customFormat="1" ht="15" customHeight="1" thickBot="1">
      <c r="B22" s="1443" t="s">
        <v>858</v>
      </c>
      <c r="C22" s="1444">
        <f>SUM(C21:C21)</f>
        <v>13670.6</v>
      </c>
      <c r="D22" s="1445"/>
      <c r="E22" s="1446"/>
      <c r="F22" s="1447">
        <f>SUM(F21:F21)</f>
        <v>29942715180</v>
      </c>
      <c r="G22" s="1448">
        <f>ROUNDDOWN(2800000+(F22-1000000000)*(4/1000),-1)</f>
        <v>118570860</v>
      </c>
      <c r="H22" s="1448">
        <f>ROUNDDOWN(F22*0.14%,1)-1</f>
        <v>41919800.200000003</v>
      </c>
      <c r="I22" s="1449">
        <f>ROUNDDOWN(G22*20%,1)</f>
        <v>23714172</v>
      </c>
      <c r="J22" s="1450">
        <f>SUM(G22:I22)</f>
        <v>184204832.19999999</v>
      </c>
      <c r="K22" s="1451"/>
      <c r="L22" s="1451"/>
      <c r="M22" s="1451"/>
    </row>
    <row r="23" spans="1:15" s="1442" customFormat="1" ht="15" customHeight="1" thickBot="1">
      <c r="B23" s="1415"/>
      <c r="C23" s="1435"/>
      <c r="D23" s="1452"/>
      <c r="E23" s="1453"/>
      <c r="F23" s="1439"/>
      <c r="G23" s="1454"/>
      <c r="H23" s="1454"/>
      <c r="I23" s="1455"/>
      <c r="J23" s="1456"/>
      <c r="K23" s="1451"/>
      <c r="L23" s="1451"/>
      <c r="M23" s="1451"/>
    </row>
    <row r="24" spans="1:15" s="1442" customFormat="1" ht="15" customHeight="1" thickBot="1">
      <c r="B24" s="1429" t="s">
        <v>865</v>
      </c>
      <c r="C24" s="1430" t="s">
        <v>866</v>
      </c>
      <c r="D24" s="1431" t="s">
        <v>867</v>
      </c>
      <c r="E24" s="1430" t="s">
        <v>868</v>
      </c>
      <c r="F24" s="1430" t="s">
        <v>869</v>
      </c>
      <c r="G24" s="1430" t="s">
        <v>855</v>
      </c>
      <c r="H24" s="1430" t="s">
        <v>870</v>
      </c>
      <c r="I24" s="1430" t="s">
        <v>857</v>
      </c>
      <c r="J24" s="1432" t="s">
        <v>858</v>
      </c>
      <c r="K24" s="1451"/>
      <c r="L24" s="1451"/>
      <c r="M24" s="1451"/>
    </row>
    <row r="25" spans="1:15" s="1442" customFormat="1" ht="15" customHeight="1">
      <c r="B25" s="1434" t="s">
        <v>872</v>
      </c>
      <c r="C25" s="1435">
        <f>1348.9</f>
        <v>1348.9</v>
      </c>
      <c r="D25" s="1436">
        <v>3129000</v>
      </c>
      <c r="E25" s="1437">
        <v>0.7</v>
      </c>
      <c r="F25" s="1438">
        <f>D25*C25*E25</f>
        <v>2954495670</v>
      </c>
      <c r="G25" s="1438"/>
      <c r="H25" s="1439"/>
      <c r="I25" s="1439"/>
      <c r="J25" s="1440"/>
      <c r="K25" s="1451"/>
      <c r="L25" s="1441">
        <f>C25*D25</f>
        <v>4220708100.0000005</v>
      </c>
      <c r="M25" s="1441"/>
    </row>
    <row r="26" spans="1:15" s="1442" customFormat="1" ht="15" customHeight="1" thickBot="1">
      <c r="B26" s="1443" t="s">
        <v>858</v>
      </c>
      <c r="C26" s="1444">
        <f>SUM(C25:C25)</f>
        <v>1348.9</v>
      </c>
      <c r="D26" s="1445"/>
      <c r="E26" s="1446"/>
      <c r="F26" s="1447">
        <f>SUM(F25:F25)</f>
        <v>2954495670</v>
      </c>
      <c r="G26" s="1448">
        <f>ROUNDDOWN(2800000+(F26-1000000000)*(4/1000),-1)</f>
        <v>10617980</v>
      </c>
      <c r="H26" s="1448">
        <f>ROUNDDOWN(F26*0.14%,1)-1</f>
        <v>4136292.9</v>
      </c>
      <c r="I26" s="1449">
        <f>ROUNDDOWN(G26*20%,1)</f>
        <v>2123596</v>
      </c>
      <c r="J26" s="1450">
        <f>SUM(G26:I26)</f>
        <v>16877868.899999999</v>
      </c>
      <c r="K26" s="1451"/>
      <c r="L26" s="1451"/>
      <c r="M26" s="1451"/>
    </row>
    <row r="27" spans="1:15" s="1442" customFormat="1" ht="15" customHeight="1" thickBot="1">
      <c r="B27" s="1415"/>
      <c r="C27" s="1435"/>
      <c r="D27" s="1452"/>
      <c r="E27" s="1453"/>
      <c r="F27" s="1439"/>
      <c r="G27" s="1454"/>
      <c r="H27" s="1454"/>
      <c r="I27" s="1455"/>
      <c r="J27" s="1456"/>
      <c r="K27" s="1451"/>
      <c r="L27" s="1451"/>
      <c r="M27" s="1451"/>
    </row>
    <row r="28" spans="1:15" s="1442" customFormat="1" ht="16.5" customHeight="1" thickBot="1">
      <c r="B28" s="1429" t="s">
        <v>865</v>
      </c>
      <c r="C28" s="1430" t="s">
        <v>866</v>
      </c>
      <c r="D28" s="1431" t="s">
        <v>867</v>
      </c>
      <c r="E28" s="1430" t="s">
        <v>868</v>
      </c>
      <c r="F28" s="1430" t="s">
        <v>869</v>
      </c>
      <c r="G28" s="1430" t="s">
        <v>855</v>
      </c>
      <c r="H28" s="1430" t="s">
        <v>870</v>
      </c>
      <c r="I28" s="1430" t="s">
        <v>857</v>
      </c>
      <c r="J28" s="1432" t="s">
        <v>858</v>
      </c>
      <c r="K28" s="1451"/>
      <c r="L28" s="1451"/>
      <c r="M28" s="1451"/>
    </row>
    <row r="29" spans="1:15" s="1442" customFormat="1" ht="16.5" customHeight="1">
      <c r="A29" s="1457"/>
      <c r="B29" s="1434" t="s">
        <v>873</v>
      </c>
      <c r="C29" s="1435">
        <v>9.9</v>
      </c>
      <c r="D29" s="1436">
        <v>983400</v>
      </c>
      <c r="E29" s="1437">
        <v>0.7</v>
      </c>
      <c r="F29" s="1438">
        <f>D29*C29*E29</f>
        <v>6814962</v>
      </c>
      <c r="G29" s="1438"/>
      <c r="H29" s="1439"/>
      <c r="I29" s="1439"/>
      <c r="J29" s="1440"/>
      <c r="K29" s="1451"/>
      <c r="L29" s="1441">
        <f>C29*D29</f>
        <v>9735660</v>
      </c>
      <c r="M29" s="1441"/>
    </row>
    <row r="30" spans="1:15" s="1442" customFormat="1" ht="16.5" customHeight="1" thickBot="1">
      <c r="B30" s="1443" t="s">
        <v>858</v>
      </c>
      <c r="C30" s="1444">
        <f>SUM(C29:C29)</f>
        <v>9.9</v>
      </c>
      <c r="D30" s="1445"/>
      <c r="E30" s="1446"/>
      <c r="F30" s="1447">
        <f>SUM(F29:F29)</f>
        <v>6814962</v>
      </c>
      <c r="G30" s="1448">
        <f>ROUNDDOWN(F29*0.002,-1)</f>
        <v>13620</v>
      </c>
      <c r="H30" s="1448">
        <f>ROUNDDOWN(F30*0.14%,1)-1</f>
        <v>9539.9</v>
      </c>
      <c r="I30" s="1449">
        <f>ROUNDDOWN(G30*20%,1)</f>
        <v>2724</v>
      </c>
      <c r="J30" s="1450">
        <f>SUM(G30:I30)</f>
        <v>25883.9</v>
      </c>
      <c r="K30" s="1451"/>
      <c r="L30" s="1451"/>
      <c r="M30" s="1451"/>
    </row>
    <row r="31" spans="1:15" s="1442" customFormat="1" ht="16.5" customHeight="1" thickBot="1">
      <c r="B31" s="1415"/>
      <c r="C31" s="1435"/>
      <c r="D31" s="1452"/>
      <c r="E31" s="1453"/>
      <c r="F31" s="1439"/>
      <c r="G31" s="1454"/>
      <c r="H31" s="1454"/>
      <c r="I31" s="1455"/>
      <c r="J31" s="1456"/>
      <c r="K31" s="1451"/>
      <c r="L31" s="1451"/>
      <c r="M31" s="1451"/>
    </row>
    <row r="32" spans="1:15" s="1442" customFormat="1" ht="16.5" customHeight="1" thickBot="1">
      <c r="B32" s="1429" t="s">
        <v>865</v>
      </c>
      <c r="C32" s="1430" t="s">
        <v>866</v>
      </c>
      <c r="D32" s="1431" t="s">
        <v>867</v>
      </c>
      <c r="E32" s="1430" t="s">
        <v>868</v>
      </c>
      <c r="F32" s="1430" t="s">
        <v>869</v>
      </c>
      <c r="G32" s="1430" t="s">
        <v>855</v>
      </c>
      <c r="H32" s="1430" t="s">
        <v>870</v>
      </c>
      <c r="I32" s="1430" t="s">
        <v>857</v>
      </c>
      <c r="J32" s="1432" t="s">
        <v>858</v>
      </c>
      <c r="K32" s="1451"/>
      <c r="L32" s="1451"/>
      <c r="M32" s="1451"/>
    </row>
    <row r="33" spans="2:13" s="1442" customFormat="1" ht="16.5" customHeight="1">
      <c r="B33" s="1434" t="s">
        <v>874</v>
      </c>
      <c r="C33" s="1435">
        <v>11.1</v>
      </c>
      <c r="D33" s="1436">
        <v>983400</v>
      </c>
      <c r="E33" s="1437">
        <v>0.7</v>
      </c>
      <c r="F33" s="1438">
        <f>D33*C33*E33</f>
        <v>7641017.9999999991</v>
      </c>
      <c r="G33" s="1438"/>
      <c r="H33" s="1439"/>
      <c r="I33" s="1439"/>
      <c r="J33" s="1440"/>
      <c r="K33" s="1451"/>
      <c r="L33" s="1441">
        <f>C33*D33</f>
        <v>10915740</v>
      </c>
      <c r="M33" s="1441"/>
    </row>
    <row r="34" spans="2:13" s="1442" customFormat="1" ht="16.5" customHeight="1" thickBot="1">
      <c r="B34" s="1443" t="s">
        <v>858</v>
      </c>
      <c r="C34" s="1444">
        <f>SUM(C33:C33)</f>
        <v>11.1</v>
      </c>
      <c r="D34" s="1445"/>
      <c r="E34" s="1446"/>
      <c r="F34" s="1447">
        <f>SUM(F33:F33)</f>
        <v>7641017.9999999991</v>
      </c>
      <c r="G34" s="1448">
        <f>ROUNDDOWN(F33*0.002,-1)</f>
        <v>15280</v>
      </c>
      <c r="H34" s="1448">
        <f>ROUNDDOWN(F34*0.14%,1)</f>
        <v>10697.4</v>
      </c>
      <c r="I34" s="1449">
        <f>ROUNDDOWN(G34*20%,1)</f>
        <v>3056</v>
      </c>
      <c r="J34" s="1450">
        <f>SUM(G34:I34)</f>
        <v>29033.4</v>
      </c>
      <c r="K34" s="1451"/>
      <c r="L34" s="1451"/>
      <c r="M34" s="1451"/>
    </row>
    <row r="35" spans="2:13" s="1442" customFormat="1" ht="16.5" customHeight="1" thickBot="1">
      <c r="K35" s="1451"/>
      <c r="L35" s="1451"/>
      <c r="M35" s="1451"/>
    </row>
    <row r="36" spans="2:13" s="1442" customFormat="1" ht="16.5" customHeight="1" thickBot="1">
      <c r="B36" s="1429" t="s">
        <v>865</v>
      </c>
      <c r="C36" s="1430" t="s">
        <v>866</v>
      </c>
      <c r="D36" s="1431" t="s">
        <v>867</v>
      </c>
      <c r="E36" s="1430" t="s">
        <v>868</v>
      </c>
      <c r="F36" s="1430" t="s">
        <v>869</v>
      </c>
      <c r="G36" s="1430" t="s">
        <v>855</v>
      </c>
      <c r="H36" s="1430" t="s">
        <v>870</v>
      </c>
      <c r="I36" s="1430" t="s">
        <v>857</v>
      </c>
      <c r="J36" s="1432" t="s">
        <v>858</v>
      </c>
      <c r="K36" s="1451"/>
      <c r="L36" s="1451"/>
      <c r="M36" s="1451"/>
    </row>
    <row r="37" spans="2:13" s="1442" customFormat="1" ht="16.5" customHeight="1">
      <c r="B37" s="1434" t="s">
        <v>875</v>
      </c>
      <c r="C37" s="1458">
        <v>268</v>
      </c>
      <c r="D37" s="1436">
        <v>3129000</v>
      </c>
      <c r="E37" s="1437">
        <v>0.7</v>
      </c>
      <c r="F37" s="1438">
        <f>D37*C37*E37</f>
        <v>587000400</v>
      </c>
      <c r="G37" s="1438"/>
      <c r="H37" s="1439"/>
      <c r="I37" s="1439"/>
      <c r="J37" s="1440"/>
      <c r="K37" s="1451"/>
      <c r="L37" s="1441">
        <f>C37*D37</f>
        <v>838572000</v>
      </c>
      <c r="M37" s="1441">
        <f>L37/$L$18</f>
        <v>54778.195120357974</v>
      </c>
    </row>
    <row r="38" spans="2:13" s="1442" customFormat="1" ht="16.5" customHeight="1" thickBot="1">
      <c r="B38" s="1443" t="s">
        <v>858</v>
      </c>
      <c r="C38" s="1444">
        <f>SUM(C37:C37)</f>
        <v>268</v>
      </c>
      <c r="D38" s="1445"/>
      <c r="E38" s="1446"/>
      <c r="F38" s="1447">
        <f>SUM(F37:F37)</f>
        <v>587000400</v>
      </c>
      <c r="G38" s="1448">
        <f>+ROUNDDOWN(400000+(F38-200000000)*(3/1000),)</f>
        <v>1561001</v>
      </c>
      <c r="H38" s="1448">
        <f>ROUNDDOWN((C37*D37*E37)*0.14%,1)-1</f>
        <v>821799.5</v>
      </c>
      <c r="I38" s="1449">
        <f>ROUNDDOWN(G38*20%,1)</f>
        <v>312200.2</v>
      </c>
      <c r="J38" s="1450">
        <f>SUM(G38:I38)</f>
        <v>2695000.7</v>
      </c>
      <c r="K38" s="1451">
        <f>12888766+344394</f>
        <v>13233160</v>
      </c>
      <c r="L38" s="1451"/>
      <c r="M38" s="1442">
        <v>125216920</v>
      </c>
    </row>
    <row r="39" spans="2:13" s="1442" customFormat="1" ht="16.5" customHeight="1" thickBot="1">
      <c r="K39" s="1451"/>
      <c r="L39" s="1451"/>
      <c r="M39" s="1442">
        <f>M38*0.3%+400000</f>
        <v>775650.76</v>
      </c>
    </row>
    <row r="40" spans="2:13" s="1442" customFormat="1" ht="16.5" customHeight="1" thickBot="1">
      <c r="B40" s="1459"/>
      <c r="C40" s="1459"/>
      <c r="D40" s="1459"/>
      <c r="E40" s="1459"/>
      <c r="F40" s="1430" t="s">
        <v>876</v>
      </c>
      <c r="G40" s="1430" t="s">
        <v>877</v>
      </c>
      <c r="H40" s="1430" t="s">
        <v>878</v>
      </c>
      <c r="I40" s="1430" t="s">
        <v>879</v>
      </c>
      <c r="J40" s="1432" t="s">
        <v>880</v>
      </c>
      <c r="K40" s="1451"/>
      <c r="L40" s="1451"/>
    </row>
    <row r="41" spans="2:13" s="1442" customFormat="1" ht="16.5" customHeight="1" thickBot="1">
      <c r="B41" s="1459"/>
      <c r="C41" s="1459"/>
      <c r="D41" s="1459"/>
      <c r="E41" s="1459"/>
      <c r="F41" s="1449">
        <f>ROUNDDOWN(F21+F25+F29+F33+F37,1)</f>
        <v>33498667230</v>
      </c>
      <c r="G41" s="1448">
        <f>ROUNDDOWN(2800000+(F41-1000000000)*(4/1000),1)</f>
        <v>132794668.90000001</v>
      </c>
      <c r="H41" s="1448">
        <f>ROUNDDOWN(F41*0.14%,-1)</f>
        <v>46898130</v>
      </c>
      <c r="I41" s="1448">
        <f>ROUNDDOWN(G41*0.2,-1)</f>
        <v>26558930</v>
      </c>
      <c r="J41" s="1450">
        <f>ROUNDDOWN(SUM(G41:I41),-1)</f>
        <v>206251720</v>
      </c>
      <c r="K41" s="1451"/>
      <c r="L41" s="1451"/>
    </row>
    <row r="42" spans="2:13" s="1416" customFormat="1" ht="15" customHeight="1">
      <c r="B42" s="1459"/>
      <c r="C42" s="1459"/>
      <c r="D42" s="1459"/>
      <c r="E42" s="1619" t="s">
        <v>1010</v>
      </c>
      <c r="F42" s="1619"/>
      <c r="G42" s="1620">
        <f>F41*0.2%</f>
        <v>66997334.460000001</v>
      </c>
      <c r="H42" s="1620">
        <f>ROUNDDOWN(F41*0.14%,-1)</f>
        <v>46898130</v>
      </c>
      <c r="I42" s="1620">
        <f>ROUNDDOWN(G42*0.2,-1)</f>
        <v>13399460</v>
      </c>
      <c r="J42" s="1620">
        <f>SUM(G42:I42)</f>
        <v>127294924.46000001</v>
      </c>
      <c r="K42" s="1416" t="s">
        <v>1011</v>
      </c>
    </row>
    <row r="43" spans="2:13" s="1416" customFormat="1" ht="15" customHeight="1">
      <c r="B43" s="1460" t="s">
        <v>881</v>
      </c>
      <c r="C43" s="1461"/>
      <c r="D43" s="1462"/>
      <c r="E43" s="1453"/>
      <c r="F43" s="1453"/>
      <c r="G43" s="1463"/>
      <c r="H43" s="1464"/>
      <c r="I43" s="1415"/>
      <c r="J43" s="1415"/>
    </row>
    <row r="44" spans="2:13" s="1416" customFormat="1" ht="15" customHeight="1">
      <c r="B44" s="1415" t="s">
        <v>882</v>
      </c>
      <c r="C44" s="1415"/>
      <c r="D44" s="1465"/>
      <c r="E44" s="1415"/>
      <c r="F44" s="1415"/>
      <c r="G44" s="1465"/>
      <c r="H44" s="1465"/>
      <c r="I44" s="1465"/>
      <c r="J44" s="1465"/>
    </row>
    <row r="45" spans="2:13" s="1416" customFormat="1" ht="15" customHeight="1">
      <c r="B45" s="2896" t="s">
        <v>883</v>
      </c>
      <c r="C45" s="2897"/>
      <c r="D45" s="2898" t="s">
        <v>884</v>
      </c>
      <c r="E45" s="2898"/>
      <c r="F45" s="2898"/>
      <c r="G45" s="1466"/>
      <c r="H45" s="1466"/>
      <c r="I45" s="1466"/>
      <c r="J45" s="1466"/>
    </row>
    <row r="46" spans="2:13" s="1416" customFormat="1" ht="15" customHeight="1">
      <c r="B46" s="2899" t="s">
        <v>885</v>
      </c>
      <c r="C46" s="2894"/>
      <c r="D46" s="2900" t="s">
        <v>886</v>
      </c>
      <c r="E46" s="2901"/>
      <c r="F46" s="2902"/>
      <c r="G46" s="1415"/>
      <c r="H46" s="1415"/>
      <c r="I46" s="1415"/>
      <c r="J46" s="1415"/>
    </row>
    <row r="47" spans="2:13" s="1416" customFormat="1" ht="15" customHeight="1">
      <c r="B47" s="2903" t="s">
        <v>887</v>
      </c>
      <c r="C47" s="2895"/>
      <c r="D47" s="2904" t="s">
        <v>888</v>
      </c>
      <c r="E47" s="2905"/>
      <c r="F47" s="2906"/>
      <c r="G47" s="1415"/>
      <c r="H47" s="1415"/>
      <c r="I47" s="1465"/>
      <c r="J47" s="1415"/>
    </row>
    <row r="48" spans="2:13" s="1416" customFormat="1" ht="15" customHeight="1">
      <c r="B48" s="2889" t="s">
        <v>889</v>
      </c>
      <c r="C48" s="2890"/>
      <c r="D48" s="2891" t="s">
        <v>890</v>
      </c>
      <c r="E48" s="2892"/>
      <c r="F48" s="2893"/>
      <c r="G48" s="1415"/>
      <c r="H48" s="1415"/>
      <c r="I48" s="1468"/>
      <c r="J48" s="1415"/>
    </row>
    <row r="49" spans="2:12" s="1416" customFormat="1" ht="15" customHeight="1">
      <c r="B49" s="2894" t="s">
        <v>891</v>
      </c>
      <c r="C49" s="2894"/>
      <c r="D49" s="1469" t="s">
        <v>892</v>
      </c>
      <c r="E49" s="1470"/>
      <c r="F49" s="1470"/>
      <c r="G49" s="1415"/>
      <c r="H49" s="1415"/>
      <c r="I49" s="1415"/>
      <c r="J49" s="1415"/>
    </row>
    <row r="50" spans="2:12" s="1416" customFormat="1" ht="15" customHeight="1">
      <c r="B50" s="2895" t="s">
        <v>893</v>
      </c>
      <c r="C50" s="2895"/>
      <c r="D50" s="1469" t="s">
        <v>894</v>
      </c>
      <c r="E50" s="1470"/>
      <c r="F50" s="1470"/>
      <c r="G50" s="1415"/>
      <c r="H50" s="1415"/>
      <c r="I50" s="1415"/>
      <c r="J50" s="1415"/>
    </row>
    <row r="51" spans="2:12" s="1416" customFormat="1" ht="15" customHeight="1">
      <c r="B51" s="1467"/>
      <c r="C51" s="1467"/>
      <c r="D51" s="1471"/>
      <c r="E51" s="1415"/>
      <c r="F51" s="1415"/>
      <c r="G51" s="1415"/>
      <c r="H51" s="1415"/>
      <c r="I51" s="1415"/>
      <c r="J51" s="1415"/>
    </row>
    <row r="52" spans="2:12">
      <c r="B52" s="1413" t="s">
        <v>895</v>
      </c>
      <c r="C52" s="1414"/>
      <c r="D52" s="1472"/>
      <c r="G52" s="1414"/>
      <c r="H52" s="1414"/>
      <c r="I52" s="1414"/>
      <c r="J52" s="1414"/>
    </row>
    <row r="53" spans="2:12" ht="14.25" hidden="1" customHeight="1"/>
    <row r="54" spans="2:12" ht="14.25" hidden="1" customHeight="1">
      <c r="E54" s="1473" t="s">
        <v>896</v>
      </c>
      <c r="F54" s="1473">
        <v>2001</v>
      </c>
      <c r="G54" s="1473">
        <v>2002</v>
      </c>
      <c r="H54" s="1473">
        <v>2003</v>
      </c>
      <c r="I54" s="1473">
        <v>2004</v>
      </c>
      <c r="J54" s="1473">
        <v>2005</v>
      </c>
      <c r="K54" s="1473">
        <v>2006</v>
      </c>
      <c r="L54" s="1473">
        <v>2007</v>
      </c>
    </row>
    <row r="55" spans="2:12" ht="14.25" hidden="1" customHeight="1">
      <c r="G55" s="1474">
        <v>12000000</v>
      </c>
      <c r="H55" s="1474">
        <v>13000000</v>
      </c>
      <c r="I55" s="1474">
        <v>14500000</v>
      </c>
      <c r="J55" s="1474">
        <v>16000000</v>
      </c>
      <c r="K55" s="1474">
        <v>20400000</v>
      </c>
      <c r="L55" s="1475">
        <v>24100000</v>
      </c>
    </row>
    <row r="56" spans="2:12" ht="14.25" hidden="1" customHeight="1">
      <c r="H56" s="1476">
        <f>H55/G55</f>
        <v>1.0833333333333333</v>
      </c>
      <c r="I56" s="1476">
        <f>I55/H55</f>
        <v>1.1153846153846154</v>
      </c>
      <c r="J56" s="1476">
        <f>J55/I55</f>
        <v>1.103448275862069</v>
      </c>
      <c r="K56" s="1476">
        <f>K55/J55</f>
        <v>1.2749999999999999</v>
      </c>
      <c r="L56" s="1476">
        <f>L55/K55</f>
        <v>1.1813725490196079</v>
      </c>
    </row>
    <row r="57" spans="2:12" ht="14.25" hidden="1" customHeight="1">
      <c r="K57" s="1476">
        <f>SUM(I56:K56)/3</f>
        <v>1.1646109637488948</v>
      </c>
    </row>
    <row r="58" spans="2:12" ht="14.25" hidden="1" customHeight="1">
      <c r="E58" s="1473" t="s">
        <v>897</v>
      </c>
      <c r="F58" s="1473">
        <v>2001</v>
      </c>
      <c r="G58" s="1473">
        <v>2002</v>
      </c>
      <c r="H58" s="1473">
        <v>2003</v>
      </c>
      <c r="I58" s="1473">
        <v>2004</v>
      </c>
      <c r="J58" s="1473">
        <v>2005</v>
      </c>
      <c r="K58" s="1473">
        <v>2006</v>
      </c>
      <c r="L58" s="1473">
        <v>2007</v>
      </c>
    </row>
    <row r="59" spans="2:12" ht="14.25" hidden="1" customHeight="1">
      <c r="G59" s="1474"/>
      <c r="H59" s="1474"/>
      <c r="I59" s="1474"/>
      <c r="J59" s="1474">
        <v>20700000</v>
      </c>
      <c r="K59" s="1474">
        <v>24000000</v>
      </c>
      <c r="L59" s="1475">
        <f>K59*L56</f>
        <v>28352941.176470589</v>
      </c>
    </row>
    <row r="60" spans="2:12" ht="14.25" hidden="1" customHeight="1">
      <c r="H60" s="1476"/>
      <c r="I60" s="1476"/>
      <c r="J60" s="1476"/>
      <c r="K60" s="1476">
        <f>K59/J59</f>
        <v>1.1594202898550725</v>
      </c>
      <c r="L60" s="1476">
        <f>L59/K59</f>
        <v>1.1813725490196079</v>
      </c>
    </row>
    <row r="61" spans="2:12" ht="14.25" hidden="1" customHeight="1">
      <c r="K61" s="1476">
        <f>SUM(I60:K60)/3</f>
        <v>0.38647342995169082</v>
      </c>
    </row>
    <row r="62" spans="2:12" ht="14.25" hidden="1" customHeight="1"/>
    <row r="63" spans="2:12" ht="15">
      <c r="B63" s="1477" t="s">
        <v>898</v>
      </c>
      <c r="C63" s="1478"/>
      <c r="D63" s="1479"/>
      <c r="E63" s="1477"/>
      <c r="F63" s="1478"/>
    </row>
    <row r="64" spans="2:12">
      <c r="B64" s="1414"/>
    </row>
    <row r="65" spans="2:2">
      <c r="B65" s="1414"/>
    </row>
    <row r="66" spans="2:2">
      <c r="B66" s="1414"/>
    </row>
    <row r="67" spans="2:2">
      <c r="B67" s="1414"/>
    </row>
  </sheetData>
  <mergeCells count="19">
    <mergeCell ref="C7:D7"/>
    <mergeCell ref="E7:F7"/>
    <mergeCell ref="G7:H7"/>
    <mergeCell ref="I7:J7"/>
    <mergeCell ref="B1:J1"/>
    <mergeCell ref="C6:D6"/>
    <mergeCell ref="E6:F6"/>
    <mergeCell ref="G6:H6"/>
    <mergeCell ref="I6:J6"/>
    <mergeCell ref="B48:C48"/>
    <mergeCell ref="D48:F48"/>
    <mergeCell ref="B49:C49"/>
    <mergeCell ref="B50:C50"/>
    <mergeCell ref="B45:C45"/>
    <mergeCell ref="D45:F45"/>
    <mergeCell ref="B46:C46"/>
    <mergeCell ref="D46:F46"/>
    <mergeCell ref="B47:C47"/>
    <mergeCell ref="D47:F47"/>
  </mergeCells>
  <phoneticPr fontId="2"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80" customWidth="1"/>
    <col min="2" max="13" width="14" style="1480" customWidth="1"/>
    <col min="14" max="14" width="14" style="1610" customWidth="1"/>
    <col min="15" max="15" width="11.75" style="1480" customWidth="1"/>
    <col min="16" max="16" width="9" style="1480"/>
    <col min="17" max="20" width="10.625" style="1480" customWidth="1"/>
    <col min="21" max="16384" width="9" style="1480"/>
  </cols>
  <sheetData>
    <row r="1" spans="2:23">
      <c r="N1" s="1480"/>
    </row>
    <row r="2" spans="2:23" ht="20.25">
      <c r="B2" s="1481" t="s">
        <v>1006</v>
      </c>
      <c r="C2" s="1481"/>
      <c r="D2" s="1481"/>
      <c r="E2" s="1481"/>
      <c r="F2" s="1481"/>
      <c r="G2" s="1481"/>
      <c r="H2" s="1481"/>
      <c r="I2" s="1481"/>
      <c r="J2" s="1481"/>
      <c r="K2" s="1481"/>
      <c r="L2" s="1481"/>
      <c r="M2" s="1481"/>
      <c r="N2" s="1480"/>
      <c r="O2" s="1482" t="s">
        <v>901</v>
      </c>
    </row>
    <row r="3" spans="2:23">
      <c r="M3" s="1483" t="s">
        <v>902</v>
      </c>
      <c r="N3" s="1480"/>
      <c r="O3" s="1484" t="s">
        <v>903</v>
      </c>
      <c r="P3" s="1485"/>
      <c r="Q3" s="1485"/>
      <c r="R3" s="1485"/>
      <c r="S3" s="1485"/>
      <c r="T3" s="1485"/>
      <c r="U3" s="1485"/>
      <c r="V3" s="1485"/>
      <c r="W3" s="1486"/>
    </row>
    <row r="4" spans="2:23">
      <c r="M4" s="1483"/>
      <c r="N4" s="1480"/>
      <c r="O4" s="1487" t="s">
        <v>904</v>
      </c>
      <c r="P4" s="1488"/>
      <c r="Q4" s="1488"/>
      <c r="R4" s="1488"/>
      <c r="S4" s="1488"/>
      <c r="T4" s="1488"/>
      <c r="U4" s="1488"/>
      <c r="V4" s="1488"/>
      <c r="W4" s="1489"/>
    </row>
    <row r="5" spans="2:23">
      <c r="M5" s="1483"/>
      <c r="N5" s="1480"/>
      <c r="O5" s="1487" t="s">
        <v>905</v>
      </c>
      <c r="P5" s="1488"/>
      <c r="Q5" s="1488"/>
      <c r="R5" s="1488"/>
      <c r="S5" s="1488"/>
      <c r="T5" s="1488"/>
      <c r="U5" s="1488"/>
      <c r="V5" s="1488"/>
      <c r="W5" s="1489"/>
    </row>
    <row r="6" spans="2:23">
      <c r="B6" s="1490" t="s">
        <v>906</v>
      </c>
      <c r="N6" s="1480"/>
      <c r="O6" s="1487"/>
      <c r="P6" s="1488"/>
      <c r="Q6" s="1488"/>
      <c r="R6" s="1488"/>
      <c r="S6" s="1488"/>
      <c r="T6" s="1488"/>
      <c r="U6" s="1488"/>
      <c r="V6" s="1488"/>
      <c r="W6" s="1489"/>
    </row>
    <row r="7" spans="2:23">
      <c r="B7" s="1480" t="s">
        <v>907</v>
      </c>
      <c r="C7" s="1480" t="str">
        <f>'A&amp;R'!K16</f>
        <v>코크렙안양 물류센터</v>
      </c>
      <c r="N7" s="1480"/>
      <c r="O7" s="1487" t="s">
        <v>908</v>
      </c>
      <c r="P7" s="1488"/>
      <c r="Q7" s="1488"/>
      <c r="R7" s="1488"/>
      <c r="S7" s="1488"/>
      <c r="T7" s="1488"/>
      <c r="U7" s="1488"/>
      <c r="V7" s="1488"/>
      <c r="W7" s="1489"/>
    </row>
    <row r="8" spans="2:23" ht="12.95" customHeight="1">
      <c r="B8" s="1480" t="s">
        <v>909</v>
      </c>
      <c r="C8" s="1480" t="str">
        <f>'A&amp;R'!K17</f>
        <v>경기도 안양시 동안구 관양동 934,934-1</v>
      </c>
      <c r="N8" s="1480"/>
      <c r="O8" s="1487" t="s">
        <v>910</v>
      </c>
      <c r="P8" s="1488"/>
      <c r="Q8" s="1488"/>
      <c r="R8" s="1488"/>
      <c r="S8" s="1488"/>
      <c r="T8" s="1488"/>
      <c r="U8" s="1488"/>
      <c r="V8" s="1488"/>
      <c r="W8" s="1489"/>
    </row>
    <row r="9" spans="2:23" ht="12.95" customHeight="1" thickBot="1">
      <c r="B9" s="1480" t="s">
        <v>911</v>
      </c>
      <c r="C9" s="1480" t="s">
        <v>912</v>
      </c>
      <c r="J9" s="2995" t="s">
        <v>913</v>
      </c>
      <c r="K9" s="2995"/>
      <c r="L9" s="2995"/>
      <c r="M9" s="2995"/>
      <c r="N9" s="1480"/>
      <c r="O9" s="1492" t="s">
        <v>914</v>
      </c>
      <c r="P9" s="1488"/>
      <c r="Q9" s="1488"/>
      <c r="R9" s="1488"/>
      <c r="S9" s="1488"/>
      <c r="T9" s="1488"/>
      <c r="U9" s="1488"/>
      <c r="V9" s="1488"/>
      <c r="W9" s="1489"/>
    </row>
    <row r="10" spans="2:23" ht="12.95" customHeight="1">
      <c r="B10" s="2996" t="s">
        <v>24</v>
      </c>
      <c r="C10" s="2996"/>
      <c r="D10" s="2997"/>
      <c r="E10" s="2937">
        <v>2024</v>
      </c>
      <c r="F10" s="2998"/>
      <c r="G10" s="2998"/>
      <c r="H10" s="2999">
        <v>2025</v>
      </c>
      <c r="I10" s="3000"/>
      <c r="J10" s="2996" t="s">
        <v>915</v>
      </c>
      <c r="K10" s="2996"/>
      <c r="L10" s="2996"/>
      <c r="M10" s="2996"/>
      <c r="N10" s="1480"/>
      <c r="O10" s="1487" t="s">
        <v>916</v>
      </c>
      <c r="P10" s="1488"/>
      <c r="Q10" s="1488"/>
      <c r="R10" s="1488"/>
      <c r="S10" s="1488"/>
      <c r="T10" s="1488"/>
      <c r="U10" s="1488"/>
      <c r="V10" s="1488"/>
      <c r="W10" s="1489"/>
    </row>
    <row r="11" spans="2:23" ht="12.95" customHeight="1" thickBot="1">
      <c r="B11" s="2987" t="s">
        <v>917</v>
      </c>
      <c r="C11" s="2939"/>
      <c r="D11" s="2939"/>
      <c r="E11" s="2988"/>
      <c r="F11" s="2989"/>
      <c r="G11" s="2989"/>
      <c r="H11" s="2990">
        <f>토지분재산세!D21</f>
        <v>3129000</v>
      </c>
      <c r="I11" s="2991"/>
      <c r="J11" s="2992"/>
      <c r="K11" s="2992"/>
      <c r="L11" s="2993"/>
      <c r="M11" s="2994"/>
      <c r="N11" s="1480"/>
      <c r="O11" s="1487" t="s">
        <v>918</v>
      </c>
      <c r="P11" s="1488"/>
      <c r="Q11" s="1488"/>
      <c r="R11" s="1488"/>
      <c r="S11" s="1488"/>
      <c r="T11" s="1488"/>
      <c r="U11" s="1488"/>
      <c r="V11" s="1488"/>
      <c r="W11" s="1489"/>
    </row>
    <row r="12" spans="2:23" ht="12.95" customHeight="1" thickBot="1">
      <c r="B12" s="2987" t="s">
        <v>919</v>
      </c>
      <c r="C12" s="2939"/>
      <c r="D12" s="2939"/>
      <c r="E12" s="2988"/>
      <c r="F12" s="2989"/>
      <c r="G12" s="2989"/>
      <c r="H12" s="2990">
        <f>토지분재산세!D25</f>
        <v>3129000</v>
      </c>
      <c r="I12" s="2991"/>
      <c r="J12" s="2992"/>
      <c r="K12" s="2992"/>
      <c r="L12" s="2993"/>
      <c r="M12" s="2994"/>
      <c r="N12" s="1480"/>
      <c r="O12" s="1487"/>
      <c r="P12" s="1488"/>
      <c r="Q12" s="1488"/>
      <c r="R12" s="1488"/>
      <c r="S12" s="1488"/>
      <c r="T12" s="1488"/>
      <c r="U12" s="1488"/>
      <c r="V12" s="1488"/>
      <c r="W12" s="1489"/>
    </row>
    <row r="13" spans="2:23" ht="12.95" customHeight="1" thickBot="1">
      <c r="B13" s="2987" t="s">
        <v>920</v>
      </c>
      <c r="C13" s="2939"/>
      <c r="D13" s="2939"/>
      <c r="E13" s="2988"/>
      <c r="F13" s="2989"/>
      <c r="G13" s="2989"/>
      <c r="H13" s="2990">
        <f>토지분재산세!D29</f>
        <v>983400</v>
      </c>
      <c r="I13" s="2991"/>
      <c r="J13" s="2992"/>
      <c r="K13" s="2992"/>
      <c r="L13" s="2993"/>
      <c r="M13" s="2994"/>
      <c r="N13" s="1480"/>
      <c r="O13" s="1487"/>
      <c r="P13" s="1488"/>
      <c r="Q13" s="1488"/>
      <c r="R13" s="1488"/>
      <c r="S13" s="1488"/>
      <c r="T13" s="1488"/>
      <c r="U13" s="1488"/>
      <c r="V13" s="1488"/>
      <c r="W13" s="1489"/>
    </row>
    <row r="14" spans="2:23" ht="12.95" customHeight="1" thickBot="1">
      <c r="B14" s="2987" t="s">
        <v>921</v>
      </c>
      <c r="C14" s="2939"/>
      <c r="D14" s="2939"/>
      <c r="E14" s="2988"/>
      <c r="F14" s="2989"/>
      <c r="G14" s="2989"/>
      <c r="H14" s="2990">
        <f>토지분재산세!D33</f>
        <v>983400</v>
      </c>
      <c r="I14" s="2991"/>
      <c r="J14" s="2992"/>
      <c r="K14" s="2992"/>
      <c r="L14" s="2993"/>
      <c r="M14" s="2994"/>
      <c r="N14" s="1480"/>
      <c r="O14" s="1487"/>
      <c r="P14" s="1488"/>
      <c r="Q14" s="1488"/>
      <c r="R14" s="1488"/>
      <c r="S14" s="1488"/>
      <c r="T14" s="1488"/>
      <c r="U14" s="1488"/>
      <c r="V14" s="1488"/>
      <c r="W14" s="1489"/>
    </row>
    <row r="15" spans="2:23" ht="12.95" customHeight="1" thickBot="1">
      <c r="B15" s="2987" t="s">
        <v>922</v>
      </c>
      <c r="C15" s="2939"/>
      <c r="D15" s="2939"/>
      <c r="E15" s="2988"/>
      <c r="F15" s="2989"/>
      <c r="G15" s="2989"/>
      <c r="H15" s="2990">
        <f>토지분재산세!D37</f>
        <v>3129000</v>
      </c>
      <c r="I15" s="2991"/>
      <c r="J15" s="2992"/>
      <c r="K15" s="2992"/>
      <c r="L15" s="2993"/>
      <c r="M15" s="2994"/>
      <c r="N15" s="1480"/>
      <c r="O15" s="1487"/>
      <c r="P15" s="1488"/>
      <c r="Q15" s="1488"/>
      <c r="R15" s="1488"/>
      <c r="S15" s="1488"/>
      <c r="T15" s="1488"/>
      <c r="U15" s="1488"/>
      <c r="V15" s="1488"/>
      <c r="W15" s="1489"/>
    </row>
    <row r="16" spans="2:23" ht="12.95" customHeight="1">
      <c r="C16" s="1495"/>
      <c r="D16" s="1496"/>
      <c r="E16" s="1497"/>
      <c r="F16" s="1497"/>
      <c r="G16" s="1497"/>
      <c r="H16" s="1497"/>
      <c r="I16" s="1498"/>
      <c r="N16" s="1480"/>
      <c r="O16" s="1487" t="s">
        <v>923</v>
      </c>
      <c r="P16" s="1488"/>
      <c r="Q16" s="1488"/>
      <c r="R16" s="1488"/>
      <c r="S16" s="1488"/>
      <c r="T16" s="1488"/>
      <c r="U16" s="1488"/>
      <c r="V16" s="1488"/>
      <c r="W16" s="1489"/>
    </row>
    <row r="17" spans="2:23" ht="12.95" customHeight="1">
      <c r="N17" s="1480"/>
      <c r="O17" s="1487" t="s">
        <v>924</v>
      </c>
      <c r="P17" s="1488"/>
      <c r="Q17" s="1488"/>
      <c r="R17" s="1488"/>
      <c r="S17" s="1488"/>
      <c r="T17" s="1488"/>
      <c r="U17" s="1488"/>
      <c r="V17" s="1488"/>
      <c r="W17" s="1489"/>
    </row>
    <row r="18" spans="2:23" ht="17.25" customHeight="1">
      <c r="B18" s="1499" t="s">
        <v>925</v>
      </c>
      <c r="C18" s="1500"/>
      <c r="D18" s="1501" t="str">
        <f>"일금"&amp;NUMBERSTRING(I26,1)&amp;"원정(\"&amp;TEXT(I26,"#,##0")&amp;"원)"</f>
        <v>일금이억육백이십오만일천칠백삼십칠원정(\206,251,737원)</v>
      </c>
      <c r="E18" s="1501"/>
      <c r="F18" s="1501"/>
      <c r="G18" s="1501"/>
      <c r="H18" s="1502"/>
      <c r="I18" s="1503"/>
      <c r="J18" s="1504"/>
      <c r="K18" s="1504"/>
      <c r="L18" s="1504"/>
      <c r="M18" s="1504"/>
      <c r="N18" s="1480"/>
      <c r="O18" s="1487" t="s">
        <v>926</v>
      </c>
      <c r="P18" s="1488"/>
      <c r="Q18" s="1488"/>
      <c r="R18" s="1488"/>
      <c r="S18" s="1488"/>
      <c r="T18" s="1488"/>
      <c r="U18" s="1488"/>
      <c r="V18" s="1488"/>
      <c r="W18" s="1489"/>
    </row>
    <row r="19" spans="2:23" ht="12.95" customHeight="1">
      <c r="B19" s="1490"/>
      <c r="C19" s="1505"/>
      <c r="D19" s="1506"/>
      <c r="E19" s="1507"/>
      <c r="F19" s="1507"/>
      <c r="G19" s="1507"/>
      <c r="H19" s="1497"/>
      <c r="I19" s="1498"/>
      <c r="N19" s="1480"/>
      <c r="O19" s="1487" t="s">
        <v>927</v>
      </c>
      <c r="P19" s="1488"/>
      <c r="Q19" s="1488"/>
      <c r="R19" s="1488"/>
      <c r="S19" s="1488"/>
      <c r="T19" s="1488"/>
      <c r="U19" s="1488"/>
      <c r="V19" s="1488"/>
      <c r="W19" s="1489"/>
    </row>
    <row r="20" spans="2:23" ht="12.95" customHeight="1">
      <c r="N20" s="1480"/>
      <c r="O20" s="1487" t="s">
        <v>928</v>
      </c>
      <c r="P20" s="1488"/>
      <c r="Q20" s="1488"/>
      <c r="R20" s="1488"/>
      <c r="S20" s="1488"/>
      <c r="T20" s="1488"/>
      <c r="U20" s="1488"/>
      <c r="V20" s="1488"/>
      <c r="W20" s="1489"/>
    </row>
    <row r="21" spans="2:23" ht="12.95" customHeight="1">
      <c r="B21" s="1508" t="s">
        <v>929</v>
      </c>
      <c r="C21" s="1482"/>
      <c r="D21" s="1482"/>
      <c r="E21" s="1482"/>
      <c r="F21" s="1482"/>
      <c r="G21" s="1482"/>
      <c r="H21" s="1482"/>
      <c r="I21" s="1482"/>
      <c r="J21" s="1482"/>
      <c r="K21" s="1482"/>
      <c r="L21" s="1482"/>
      <c r="M21" s="1482"/>
      <c r="N21" s="1480"/>
      <c r="O21" s="2961" t="s">
        <v>930</v>
      </c>
      <c r="P21" s="2961"/>
      <c r="Q21" s="2961" t="s">
        <v>931</v>
      </c>
      <c r="R21" s="2961"/>
      <c r="S21" s="2961"/>
      <c r="T21" s="2961"/>
      <c r="U21" s="1488"/>
      <c r="V21" s="1488"/>
      <c r="W21" s="1489"/>
    </row>
    <row r="22" spans="2:23" ht="12.95" customHeight="1">
      <c r="B22" s="2932" t="s">
        <v>932</v>
      </c>
      <c r="C22" s="2932"/>
      <c r="D22" s="2932"/>
      <c r="E22" s="2933"/>
      <c r="F22" s="2934" t="s">
        <v>933</v>
      </c>
      <c r="G22" s="2935"/>
      <c r="H22" s="2936"/>
      <c r="I22" s="2934" t="s">
        <v>934</v>
      </c>
      <c r="J22" s="2936"/>
      <c r="K22" s="2934" t="s">
        <v>90</v>
      </c>
      <c r="L22" s="2935"/>
      <c r="M22" s="2935"/>
      <c r="N22" s="1480"/>
      <c r="O22" s="2961" t="s">
        <v>935</v>
      </c>
      <c r="P22" s="2961"/>
      <c r="Q22" s="2961" t="s">
        <v>936</v>
      </c>
      <c r="R22" s="2961"/>
      <c r="S22" s="2961"/>
      <c r="T22" s="2961"/>
      <c r="U22" s="1488"/>
      <c r="V22" s="1488"/>
      <c r="W22" s="1489"/>
    </row>
    <row r="23" spans="2:23" ht="12.95" customHeight="1">
      <c r="B23" s="2916" t="s">
        <v>937</v>
      </c>
      <c r="C23" s="2916"/>
      <c r="D23" s="2916"/>
      <c r="E23" s="2917"/>
      <c r="F23" s="2918">
        <f>+J47</f>
        <v>132794669</v>
      </c>
      <c r="G23" s="2919"/>
      <c r="H23" s="2920"/>
      <c r="I23" s="2980">
        <f>F23</f>
        <v>132794669</v>
      </c>
      <c r="J23" s="2981"/>
      <c r="K23" s="2940" t="s">
        <v>938</v>
      </c>
      <c r="L23" s="2982"/>
      <c r="M23" s="2982"/>
      <c r="N23" s="1480"/>
      <c r="O23" s="2961" t="s">
        <v>939</v>
      </c>
      <c r="P23" s="2961"/>
      <c r="Q23" s="2961" t="s">
        <v>940</v>
      </c>
      <c r="R23" s="2961"/>
      <c r="S23" s="2961"/>
      <c r="T23" s="2961"/>
      <c r="U23" s="1488"/>
      <c r="V23" s="1488"/>
      <c r="W23" s="1489"/>
    </row>
    <row r="24" spans="2:23" ht="12.95" customHeight="1">
      <c r="B24" s="2916" t="s">
        <v>941</v>
      </c>
      <c r="C24" s="2916"/>
      <c r="D24" s="2916"/>
      <c r="E24" s="2917"/>
      <c r="F24" s="2918">
        <f>+K47</f>
        <v>46898134</v>
      </c>
      <c r="G24" s="2919"/>
      <c r="H24" s="2920"/>
      <c r="I24" s="2983">
        <f>F24</f>
        <v>46898134</v>
      </c>
      <c r="J24" s="2984"/>
      <c r="K24" s="2985"/>
      <c r="L24" s="2986"/>
      <c r="M24" s="2986"/>
      <c r="N24" s="1480"/>
      <c r="O24" s="2979" t="s">
        <v>942</v>
      </c>
      <c r="P24" s="2979"/>
      <c r="Q24" s="2979" t="s">
        <v>943</v>
      </c>
      <c r="R24" s="2979"/>
      <c r="S24" s="2979"/>
      <c r="T24" s="2979"/>
      <c r="U24" s="1488"/>
      <c r="V24" s="1488"/>
      <c r="W24" s="1489"/>
    </row>
    <row r="25" spans="2:23" ht="12.95" customHeight="1">
      <c r="B25" s="2916" t="s">
        <v>944</v>
      </c>
      <c r="C25" s="2916"/>
      <c r="D25" s="2916"/>
      <c r="E25" s="2917"/>
      <c r="F25" s="2918">
        <f>+L47</f>
        <v>26558934</v>
      </c>
      <c r="G25" s="2919"/>
      <c r="H25" s="2920"/>
      <c r="I25" s="2978">
        <f>F25</f>
        <v>26558934</v>
      </c>
      <c r="J25" s="2978"/>
      <c r="K25" s="2975"/>
      <c r="L25" s="2976"/>
      <c r="M25" s="2976"/>
      <c r="N25" s="1480"/>
      <c r="O25" s="1511"/>
      <c r="P25" s="1488"/>
      <c r="Q25" s="1488"/>
      <c r="R25" s="1488"/>
      <c r="S25" s="1488"/>
      <c r="T25" s="1488"/>
      <c r="U25" s="1488"/>
      <c r="V25" s="1488"/>
      <c r="W25" s="1489"/>
    </row>
    <row r="26" spans="2:23" ht="19.5" customHeight="1">
      <c r="B26" s="2924" t="s">
        <v>945</v>
      </c>
      <c r="C26" s="2924"/>
      <c r="D26" s="2924"/>
      <c r="E26" s="2925"/>
      <c r="F26" s="2926">
        <f>SUM(F23:F25)</f>
        <v>206251737</v>
      </c>
      <c r="G26" s="2927"/>
      <c r="H26" s="2928"/>
      <c r="I26" s="2977">
        <f>F26</f>
        <v>206251737</v>
      </c>
      <c r="J26" s="2977"/>
      <c r="K26" s="2930">
        <f>+I26-F26</f>
        <v>0</v>
      </c>
      <c r="L26" s="2931"/>
      <c r="M26" s="2931"/>
      <c r="N26" s="1480"/>
      <c r="O26" s="1487" t="s">
        <v>946</v>
      </c>
      <c r="P26" s="1488"/>
      <c r="Q26" s="1488"/>
      <c r="R26" s="1488"/>
      <c r="S26" s="1488"/>
      <c r="T26" s="1488"/>
      <c r="U26" s="1488"/>
      <c r="V26" s="1488"/>
      <c r="W26" s="1489"/>
    </row>
    <row r="27" spans="2:23" ht="12.95" customHeight="1">
      <c r="B27" s="1512"/>
      <c r="C27" s="1512"/>
      <c r="D27" s="1512"/>
      <c r="E27" s="1512"/>
      <c r="F27" s="1512"/>
      <c r="G27" s="1513"/>
      <c r="H27" s="1513"/>
      <c r="I27" s="1513"/>
      <c r="J27" s="1513"/>
      <c r="K27" s="1514"/>
      <c r="L27" s="1514"/>
      <c r="M27" s="1514"/>
      <c r="N27" s="1480"/>
      <c r="O27" s="1487" t="s">
        <v>947</v>
      </c>
      <c r="P27" s="1488"/>
      <c r="Q27" s="1488"/>
      <c r="R27" s="1488"/>
      <c r="S27" s="1488"/>
      <c r="T27" s="1488"/>
      <c r="U27" s="1488"/>
      <c r="V27" s="1488"/>
      <c r="W27" s="1489"/>
    </row>
    <row r="28" spans="2:23" ht="12.95" customHeight="1">
      <c r="N28" s="1480"/>
      <c r="O28" s="1487" t="s">
        <v>948</v>
      </c>
      <c r="P28" s="1488"/>
      <c r="Q28" s="1488"/>
      <c r="R28" s="1488"/>
      <c r="S28" s="1488"/>
      <c r="T28" s="1488"/>
      <c r="U28" s="1488"/>
      <c r="V28" s="1488"/>
      <c r="W28" s="1489"/>
    </row>
    <row r="29" spans="2:23" ht="12.95" customHeight="1">
      <c r="B29" s="1490" t="s">
        <v>949</v>
      </c>
      <c r="N29" s="1480"/>
      <c r="O29" s="1487"/>
      <c r="P29" s="1488"/>
      <c r="Q29" s="1488"/>
      <c r="R29" s="1488"/>
      <c r="S29" s="1488"/>
      <c r="T29" s="1488"/>
      <c r="U29" s="1488"/>
      <c r="V29" s="1488"/>
      <c r="W29" s="1489"/>
    </row>
    <row r="30" spans="2:23" ht="12.95" customHeight="1">
      <c r="B30" s="2936" t="s">
        <v>24</v>
      </c>
      <c r="C30" s="2970"/>
      <c r="D30" s="2971"/>
      <c r="E30" s="2972"/>
      <c r="F30" s="2973"/>
      <c r="G30" s="2974" t="s">
        <v>1007</v>
      </c>
      <c r="H30" s="2970"/>
      <c r="I30" s="2970" t="s">
        <v>915</v>
      </c>
      <c r="J30" s="2970"/>
      <c r="K30" s="2934" t="s">
        <v>90</v>
      </c>
      <c r="L30" s="2935"/>
      <c r="M30" s="2935"/>
      <c r="N30" s="1480"/>
      <c r="O30" s="1487"/>
      <c r="P30" s="1488"/>
      <c r="Q30" s="1488"/>
      <c r="R30" s="1488"/>
      <c r="S30" s="1488"/>
      <c r="T30" s="1488"/>
      <c r="U30" s="1488"/>
      <c r="V30" s="1488"/>
      <c r="W30" s="1489"/>
    </row>
    <row r="31" spans="2:23" ht="12.95" customHeight="1">
      <c r="B31" s="2962" t="s">
        <v>950</v>
      </c>
      <c r="C31" s="2960"/>
      <c r="D31" s="2963"/>
      <c r="E31" s="2964"/>
      <c r="F31" s="2965"/>
      <c r="G31" s="2966">
        <f>+I26</f>
        <v>206251737</v>
      </c>
      <c r="H31" s="2967"/>
      <c r="I31" s="2968" t="e">
        <f>+G31/D31-1</f>
        <v>#DIV/0!</v>
      </c>
      <c r="J31" s="2969"/>
      <c r="K31" s="1515"/>
      <c r="L31" s="1516"/>
      <c r="M31" s="1516"/>
      <c r="N31" s="1480"/>
      <c r="O31" s="1487" t="s">
        <v>951</v>
      </c>
      <c r="P31" s="1488"/>
      <c r="Q31" s="1488"/>
      <c r="R31" s="1488"/>
      <c r="S31" s="1488"/>
      <c r="T31" s="1488"/>
      <c r="U31" s="1488"/>
      <c r="V31" s="1488"/>
      <c r="W31" s="1489"/>
    </row>
    <row r="32" spans="2:23" ht="12.95" customHeight="1">
      <c r="H32"/>
      <c r="I32"/>
      <c r="J32"/>
      <c r="K32"/>
      <c r="L32"/>
      <c r="M32"/>
      <c r="N32" s="1480"/>
      <c r="O32" s="1487" t="s">
        <v>952</v>
      </c>
      <c r="P32" s="1488"/>
      <c r="Q32" s="1488"/>
      <c r="R32" s="1488"/>
      <c r="S32" s="1488"/>
      <c r="T32" s="1488"/>
      <c r="U32" s="1488"/>
      <c r="V32" s="1488"/>
      <c r="W32" s="1489"/>
    </row>
    <row r="33" spans="2:23" ht="12.95" customHeight="1">
      <c r="H33"/>
      <c r="I33"/>
      <c r="J33"/>
      <c r="K33"/>
      <c r="L33"/>
      <c r="M33"/>
      <c r="N33" s="1480"/>
      <c r="O33" s="1487" t="s">
        <v>953</v>
      </c>
      <c r="P33" s="1488"/>
      <c r="Q33" s="1488"/>
      <c r="R33" s="1488"/>
      <c r="S33" s="1488"/>
      <c r="T33" s="1488"/>
      <c r="U33" s="1488"/>
      <c r="V33" s="1488"/>
      <c r="W33" s="1489"/>
    </row>
    <row r="34" spans="2:23">
      <c r="B34" s="1490" t="s">
        <v>954</v>
      </c>
      <c r="N34" s="1480"/>
      <c r="O34" s="1487"/>
      <c r="P34" s="1488"/>
      <c r="Q34" s="1488"/>
      <c r="R34" s="1488"/>
      <c r="S34" s="1488"/>
      <c r="T34" s="1488"/>
      <c r="U34" s="1488"/>
      <c r="V34" s="1488"/>
      <c r="W34" s="1489"/>
    </row>
    <row r="35" spans="2:23" ht="16.5" customHeight="1">
      <c r="B35" s="1517" t="s">
        <v>1008</v>
      </c>
      <c r="C35" s="1517"/>
      <c r="D35" s="1517"/>
      <c r="E35" s="1518"/>
      <c r="F35" s="1519"/>
      <c r="G35" s="1520" t="s">
        <v>955</v>
      </c>
      <c r="H35" s="1520"/>
      <c r="I35" s="1520"/>
      <c r="J35" s="1517"/>
      <c r="K35" s="1517"/>
      <c r="L35" s="1517"/>
      <c r="M35" s="1520"/>
      <c r="N35" s="1480"/>
      <c r="O35" s="1487"/>
      <c r="P35" s="1488"/>
      <c r="Q35" s="1488"/>
      <c r="R35" s="1488"/>
      <c r="S35" s="1488"/>
      <c r="T35" s="1488"/>
      <c r="U35" s="1488"/>
      <c r="V35" s="1488"/>
      <c r="W35" s="1489"/>
    </row>
    <row r="36" spans="2:23" ht="12.95" customHeight="1">
      <c r="B36" s="2957">
        <v>0.7</v>
      </c>
      <c r="C36" s="2958"/>
      <c r="D36" s="2958"/>
      <c r="E36" s="2959"/>
      <c r="F36" s="1519"/>
      <c r="G36" s="2960" t="s">
        <v>956</v>
      </c>
      <c r="H36" s="2958"/>
      <c r="I36" s="2961" t="s">
        <v>957</v>
      </c>
      <c r="J36" s="2961"/>
      <c r="K36" s="2961" t="s">
        <v>958</v>
      </c>
      <c r="L36" s="2961"/>
      <c r="M36" s="1521" t="s">
        <v>90</v>
      </c>
      <c r="N36" s="1480"/>
      <c r="O36" s="1522" t="s">
        <v>959</v>
      </c>
      <c r="P36" s="1482"/>
      <c r="Q36" s="1482"/>
      <c r="R36" s="1482"/>
      <c r="S36" s="1482"/>
      <c r="T36" s="1482"/>
      <c r="U36" s="1482"/>
      <c r="V36" s="1482"/>
      <c r="W36" s="1523"/>
    </row>
    <row r="37" spans="2:23" ht="12.95" customHeight="1">
      <c r="G37" s="2949" t="s">
        <v>960</v>
      </c>
      <c r="H37" s="2950"/>
      <c r="I37" s="2950">
        <v>1.4E-3</v>
      </c>
      <c r="J37" s="2950"/>
      <c r="K37" s="2951">
        <v>0.2</v>
      </c>
      <c r="L37" s="2951"/>
      <c r="M37" s="1524"/>
      <c r="N37" s="1525"/>
      <c r="O37" s="1484" t="s">
        <v>903</v>
      </c>
      <c r="P37" s="1485"/>
      <c r="Q37" s="1485"/>
      <c r="R37" s="1485"/>
      <c r="S37" s="1485"/>
      <c r="T37" s="1485"/>
      <c r="U37" s="1485"/>
      <c r="V37" s="1485"/>
      <c r="W37" s="1485"/>
    </row>
    <row r="38" spans="2:23" ht="12.95" customHeight="1">
      <c r="N38" s="1480"/>
      <c r="O38" s="1488" t="s">
        <v>961</v>
      </c>
      <c r="P38" s="1488"/>
      <c r="Q38" s="1488"/>
      <c r="R38" s="1488"/>
      <c r="S38" s="1488"/>
      <c r="T38" s="1488"/>
      <c r="U38" s="1488"/>
      <c r="V38" s="1488"/>
      <c r="W38" s="1488"/>
    </row>
    <row r="39" spans="2:23" ht="12.95" customHeight="1">
      <c r="M39" s="1491"/>
      <c r="N39" s="1480"/>
      <c r="O39" s="1526" t="s">
        <v>962</v>
      </c>
      <c r="P39" s="1488"/>
      <c r="Q39" s="1488"/>
      <c r="R39" s="1488"/>
      <c r="S39" s="1488"/>
      <c r="T39" s="1488"/>
      <c r="U39" s="1488"/>
      <c r="V39" s="1488"/>
      <c r="W39" s="1488"/>
    </row>
    <row r="40" spans="2:23" ht="12.95" customHeight="1">
      <c r="B40" s="1490" t="s">
        <v>963</v>
      </c>
      <c r="N40" s="1480"/>
      <c r="O40" s="1488"/>
      <c r="P40" s="1488"/>
      <c r="Q40" s="1488"/>
      <c r="R40" s="1488"/>
      <c r="S40" s="1488"/>
      <c r="T40" s="1488"/>
      <c r="U40" s="1488"/>
      <c r="V40" s="1488"/>
      <c r="W40" s="1488"/>
    </row>
    <row r="41" spans="2:23" ht="12.95" customHeight="1">
      <c r="B41" s="1510" t="s">
        <v>24</v>
      </c>
      <c r="C41" s="1510" t="s">
        <v>932</v>
      </c>
      <c r="D41" s="1510" t="s">
        <v>964</v>
      </c>
      <c r="E41" s="1510" t="s">
        <v>965</v>
      </c>
      <c r="F41" s="2954" t="s">
        <v>966</v>
      </c>
      <c r="G41" s="2933"/>
      <c r="H41" s="1510" t="s">
        <v>967</v>
      </c>
      <c r="I41" s="1510" t="s">
        <v>930</v>
      </c>
      <c r="J41" s="1510" t="s">
        <v>968</v>
      </c>
      <c r="K41" s="1510" t="s">
        <v>969</v>
      </c>
      <c r="L41" s="1510" t="s">
        <v>944</v>
      </c>
      <c r="M41" s="1509" t="s">
        <v>970</v>
      </c>
      <c r="N41" s="1480"/>
      <c r="O41" s="1487" t="s">
        <v>971</v>
      </c>
      <c r="P41" s="1488"/>
      <c r="Q41" s="1488"/>
      <c r="R41" s="1488"/>
      <c r="S41" s="1488"/>
      <c r="T41" s="1488"/>
      <c r="U41" s="1488"/>
      <c r="V41" s="1488"/>
      <c r="W41" s="1488"/>
    </row>
    <row r="42" spans="2:23" ht="21.75" customHeight="1">
      <c r="B42" s="1493" t="s">
        <v>917</v>
      </c>
      <c r="C42" s="1494" t="s">
        <v>972</v>
      </c>
      <c r="D42" s="1527">
        <v>13670.6</v>
      </c>
      <c r="E42" s="1528">
        <f>+D42</f>
        <v>13670.6</v>
      </c>
      <c r="F42" s="2955">
        <f>+H11</f>
        <v>3129000</v>
      </c>
      <c r="G42" s="2955"/>
      <c r="H42" s="1529">
        <f>F42*E42</f>
        <v>42775307400</v>
      </c>
      <c r="I42" s="1529">
        <f>+ROUND(H42*$B$36,)</f>
        <v>29942715180</v>
      </c>
      <c r="J42" s="1530">
        <f>ROUND($C$50*(I42/$I$47),)</f>
        <v>118698243</v>
      </c>
      <c r="K42" s="1529">
        <f>+ROUND($I42*$I$37,)</f>
        <v>41919801</v>
      </c>
      <c r="L42" s="1529">
        <f>ROUND(J42*$K$37,)</f>
        <v>23739649</v>
      </c>
      <c r="M42" s="1531">
        <f>+L42+K42+J42</f>
        <v>184357693</v>
      </c>
      <c r="N42" s="1480"/>
      <c r="O42" s="1532"/>
      <c r="P42" s="1488"/>
      <c r="Q42" s="1488"/>
      <c r="R42" s="1488"/>
      <c r="S42" s="1488"/>
      <c r="T42" s="1488"/>
      <c r="U42" s="1488"/>
      <c r="V42" s="1488"/>
      <c r="W42" s="1488"/>
    </row>
    <row r="43" spans="2:23" ht="21.75" customHeight="1" thickBot="1">
      <c r="B43" s="1533" t="s">
        <v>919</v>
      </c>
      <c r="C43" s="1534" t="s">
        <v>972</v>
      </c>
      <c r="D43" s="1535">
        <v>1348.9</v>
      </c>
      <c r="E43" s="1536">
        <f>+D43</f>
        <v>1348.9</v>
      </c>
      <c r="F43" s="2956">
        <f>+H12</f>
        <v>3129000</v>
      </c>
      <c r="G43" s="2956"/>
      <c r="H43" s="1537">
        <f>F43*E43</f>
        <v>4220708100.0000005</v>
      </c>
      <c r="I43" s="1537">
        <f>+ROUND(H43*$B$36,)</f>
        <v>2954495670</v>
      </c>
      <c r="J43" s="1538">
        <f>ROUND($C$50*(I43/$I$47),)</f>
        <v>11712146</v>
      </c>
      <c r="K43" s="1537">
        <f>+ROUND($I43*$I$37,)</f>
        <v>4136294</v>
      </c>
      <c r="L43" s="1537">
        <f>ROUND(J43*$K$37,)</f>
        <v>2342429</v>
      </c>
      <c r="M43" s="1539">
        <f>+L43+K43+J43</f>
        <v>18190869</v>
      </c>
      <c r="N43" s="1480"/>
      <c r="O43" s="1540"/>
      <c r="P43" s="1488"/>
      <c r="Q43" s="1488"/>
      <c r="R43" s="1488"/>
      <c r="S43" s="1488"/>
      <c r="T43" s="1488"/>
      <c r="U43" s="1488"/>
      <c r="V43" s="1488"/>
      <c r="W43" s="1488"/>
    </row>
    <row r="44" spans="2:23" ht="21.75" customHeight="1" thickTop="1" thickBot="1">
      <c r="B44" s="1533" t="s">
        <v>920</v>
      </c>
      <c r="C44" s="1534" t="s">
        <v>972</v>
      </c>
      <c r="D44" s="1535">
        <v>9.9</v>
      </c>
      <c r="E44" s="1536">
        <f>+D44</f>
        <v>9.9</v>
      </c>
      <c r="F44" s="2956">
        <f>+H13</f>
        <v>983400</v>
      </c>
      <c r="G44" s="2956"/>
      <c r="H44" s="1537">
        <f>F44*E44</f>
        <v>9735660</v>
      </c>
      <c r="I44" s="1537">
        <f>+ROUND(H44*$B$36,)</f>
        <v>6814962</v>
      </c>
      <c r="J44" s="1538">
        <f>ROUND($C$50*(I44/$I$47),)</f>
        <v>27016</v>
      </c>
      <c r="K44" s="1537">
        <f>+ROUND($I44*$I$37,)</f>
        <v>9541</v>
      </c>
      <c r="L44" s="1537">
        <f>ROUND(J44*$K$37,)</f>
        <v>5403</v>
      </c>
      <c r="M44" s="1539">
        <f>+L44+K44+J44</f>
        <v>41960</v>
      </c>
      <c r="N44" s="1480"/>
      <c r="O44" s="1540"/>
      <c r="P44" s="1488"/>
      <c r="Q44" s="1488"/>
      <c r="R44" s="1488"/>
      <c r="S44" s="1488"/>
      <c r="T44" s="1488"/>
      <c r="U44" s="1488"/>
      <c r="V44" s="1488"/>
      <c r="W44" s="1488"/>
    </row>
    <row r="45" spans="2:23" ht="21.75" customHeight="1" thickTop="1" thickBot="1">
      <c r="B45" s="1533" t="s">
        <v>921</v>
      </c>
      <c r="C45" s="1534" t="s">
        <v>972</v>
      </c>
      <c r="D45" s="1535">
        <v>11.1</v>
      </c>
      <c r="E45" s="1536">
        <f>+D45</f>
        <v>11.1</v>
      </c>
      <c r="F45" s="2956">
        <f>+H14</f>
        <v>983400</v>
      </c>
      <c r="G45" s="2956"/>
      <c r="H45" s="1537">
        <f>F45*E45</f>
        <v>10915740</v>
      </c>
      <c r="I45" s="1537">
        <f>+ROUND(H45*$B$36,)</f>
        <v>7641018</v>
      </c>
      <c r="J45" s="1538">
        <f>ROUND($C$50*(I45/$I$47),)</f>
        <v>30290</v>
      </c>
      <c r="K45" s="1537">
        <f>+ROUND($I45*$I$37,)</f>
        <v>10697</v>
      </c>
      <c r="L45" s="1537">
        <f>ROUND(J45*$K$37,)</f>
        <v>6058</v>
      </c>
      <c r="M45" s="1539">
        <f>+L45+K45+J45</f>
        <v>47045</v>
      </c>
      <c r="N45" s="1480"/>
      <c r="O45" s="1540"/>
      <c r="P45" s="1488"/>
      <c r="Q45" s="1488"/>
      <c r="R45" s="1488"/>
      <c r="S45" s="1488"/>
      <c r="T45" s="1488"/>
      <c r="U45" s="1488"/>
      <c r="V45" s="1488"/>
      <c r="W45" s="1488"/>
    </row>
    <row r="46" spans="2:23" ht="21.75" customHeight="1" thickTop="1" thickBot="1">
      <c r="B46" s="1533" t="s">
        <v>922</v>
      </c>
      <c r="C46" s="1534" t="s">
        <v>972</v>
      </c>
      <c r="D46" s="1541">
        <v>268</v>
      </c>
      <c r="E46" s="1536">
        <f>+D46</f>
        <v>268</v>
      </c>
      <c r="F46" s="2956">
        <f>+H15</f>
        <v>3129000</v>
      </c>
      <c r="G46" s="2956"/>
      <c r="H46" s="1537">
        <f>F46*E46</f>
        <v>838572000</v>
      </c>
      <c r="I46" s="1537">
        <f>+ROUND(H46*$B$36,)</f>
        <v>587000400</v>
      </c>
      <c r="J46" s="1538">
        <f>ROUND($C$50*(I46/$I$47),)</f>
        <v>2326974</v>
      </c>
      <c r="K46" s="1537">
        <f>+ROUND($I46*$I$37,)</f>
        <v>821801</v>
      </c>
      <c r="L46" s="1537">
        <f>ROUND(J46*$K$37,)</f>
        <v>465395</v>
      </c>
      <c r="M46" s="1539">
        <f>+L46+K46+J46</f>
        <v>3614170</v>
      </c>
      <c r="N46" s="1480"/>
      <c r="O46" s="1542"/>
      <c r="P46" s="1488"/>
      <c r="Q46" s="1488"/>
      <c r="R46" s="1488"/>
      <c r="S46" s="1488"/>
      <c r="T46" s="1488"/>
      <c r="U46" s="1488"/>
      <c r="V46" s="1488"/>
      <c r="W46" s="1488"/>
    </row>
    <row r="47" spans="2:23" ht="21.75" customHeight="1" thickTop="1">
      <c r="B47" s="2941" t="s">
        <v>59</v>
      </c>
      <c r="C47" s="2942"/>
      <c r="D47" s="1543">
        <f>+SUM(D42:D46)</f>
        <v>15308.5</v>
      </c>
      <c r="E47" s="1543">
        <f>+SUM(E42:E46)</f>
        <v>15308.5</v>
      </c>
      <c r="F47" s="2943"/>
      <c r="G47" s="2943"/>
      <c r="H47" s="1544">
        <f t="shared" ref="H47:M47" si="0">+SUM(H42:H46)</f>
        <v>47855238900</v>
      </c>
      <c r="I47" s="1544">
        <f t="shared" si="0"/>
        <v>33498667230</v>
      </c>
      <c r="J47" s="1544">
        <f t="shared" si="0"/>
        <v>132794669</v>
      </c>
      <c r="K47" s="1544">
        <f t="shared" si="0"/>
        <v>46898134</v>
      </c>
      <c r="L47" s="1544">
        <f t="shared" si="0"/>
        <v>26558934</v>
      </c>
      <c r="M47" s="1545">
        <f t="shared" si="0"/>
        <v>206251737</v>
      </c>
      <c r="N47" s="1480"/>
      <c r="O47" s="1488"/>
      <c r="P47" s="1488"/>
      <c r="Q47" s="1488"/>
      <c r="R47" s="1488"/>
      <c r="S47" s="1488"/>
      <c r="T47" s="1488"/>
      <c r="U47" s="1488"/>
      <c r="V47" s="1488"/>
      <c r="W47" s="1488"/>
    </row>
    <row r="48" spans="2:23" ht="12.95" customHeight="1">
      <c r="N48" s="1480"/>
      <c r="U48" s="1488"/>
      <c r="V48" s="1488"/>
      <c r="W48" s="1488"/>
    </row>
    <row r="49" spans="2:23" s="1556" customFormat="1" ht="18" customHeight="1">
      <c r="B49" s="1546" t="s">
        <v>973</v>
      </c>
      <c r="C49" s="1547"/>
      <c r="D49" s="1548"/>
      <c r="E49" s="1549"/>
      <c r="F49" s="1550"/>
      <c r="G49" s="1551"/>
      <c r="H49" s="1552"/>
      <c r="I49" s="1553"/>
      <c r="J49" s="1553"/>
      <c r="K49" s="1553"/>
      <c r="L49" s="1554"/>
      <c r="M49" s="1555"/>
      <c r="T49" s="1488"/>
      <c r="U49" s="1557"/>
      <c r="V49" s="1557"/>
      <c r="W49" s="1557"/>
    </row>
    <row r="50" spans="2:23" s="1556" customFormat="1" ht="18" customHeight="1">
      <c r="B50" s="1558" t="s">
        <v>974</v>
      </c>
      <c r="C50" s="1559">
        <f>ROUND(2800000+(I47-1000000000)*0.004,0)</f>
        <v>132794669</v>
      </c>
      <c r="D50" s="1560"/>
      <c r="E50" s="1561"/>
      <c r="F50" s="1562"/>
      <c r="G50" s="1562"/>
      <c r="H50" s="1563"/>
      <c r="I50" s="1564"/>
      <c r="J50" s="1565"/>
      <c r="K50" s="1565"/>
      <c r="L50" s="1563"/>
      <c r="M50" s="1566"/>
      <c r="U50" s="1557"/>
      <c r="V50" s="1557"/>
      <c r="W50" s="1557"/>
    </row>
    <row r="51" spans="2:23" s="1556" customFormat="1" ht="18" customHeight="1">
      <c r="B51" s="1567" t="s">
        <v>975</v>
      </c>
      <c r="C51" s="1568" t="s">
        <v>976</v>
      </c>
      <c r="D51" s="1568"/>
      <c r="E51" s="1568"/>
      <c r="F51" s="1568"/>
      <c r="G51" s="1568"/>
      <c r="H51" s="1568"/>
      <c r="I51" s="1568"/>
      <c r="J51" s="1568"/>
      <c r="K51" s="1568"/>
      <c r="L51" s="1568"/>
      <c r="M51" s="1569"/>
      <c r="O51" s="1487" t="s">
        <v>977</v>
      </c>
      <c r="P51" s="1488"/>
      <c r="Q51" s="1488"/>
      <c r="R51" s="1488"/>
      <c r="S51" s="1488"/>
      <c r="T51" s="1557"/>
      <c r="U51" s="1557"/>
      <c r="V51" s="1557"/>
      <c r="W51" s="1557"/>
    </row>
    <row r="52" spans="2:23" ht="12.95" customHeight="1">
      <c r="B52" s="1519"/>
      <c r="C52" s="1570"/>
      <c r="M52" s="1491"/>
      <c r="N52" s="1480"/>
      <c r="O52" s="1557" t="s">
        <v>978</v>
      </c>
      <c r="P52" s="1557"/>
      <c r="Q52" s="1557"/>
      <c r="R52" s="1557"/>
      <c r="S52" s="1557"/>
      <c r="T52" s="1488"/>
      <c r="U52" s="1488"/>
      <c r="V52" s="1488"/>
      <c r="W52" s="1488"/>
    </row>
    <row r="53" spans="2:23" ht="12.95" customHeight="1">
      <c r="B53" s="1571" t="s">
        <v>1009</v>
      </c>
      <c r="C53" s="1572"/>
      <c r="D53" s="1572"/>
      <c r="E53" s="1572"/>
      <c r="F53" s="1572"/>
      <c r="G53" s="1572"/>
      <c r="H53" s="1572"/>
      <c r="I53" s="1572"/>
      <c r="J53" s="1573"/>
      <c r="K53" s="1572"/>
      <c r="L53" s="1572"/>
      <c r="M53" s="1574"/>
      <c r="N53" s="1572"/>
      <c r="O53" s="1487" t="s">
        <v>979</v>
      </c>
      <c r="P53" s="1488"/>
      <c r="Q53" s="1488"/>
      <c r="R53" s="1488"/>
      <c r="S53" s="1488"/>
      <c r="T53" s="1575"/>
      <c r="U53" s="1488"/>
      <c r="V53" s="1488"/>
      <c r="W53" s="1488"/>
    </row>
    <row r="54" spans="2:23">
      <c r="B54" s="1576"/>
      <c r="C54" s="1576"/>
      <c r="D54" s="1576"/>
      <c r="E54" s="1576"/>
      <c r="F54" s="1576"/>
      <c r="G54" s="1576"/>
      <c r="H54" s="1576"/>
      <c r="I54" s="1577"/>
      <c r="J54" s="1576"/>
      <c r="K54" s="1576"/>
      <c r="L54" s="1576"/>
      <c r="M54" s="2944" t="s">
        <v>980</v>
      </c>
      <c r="N54" s="2944"/>
      <c r="O54" s="1578" t="s">
        <v>930</v>
      </c>
      <c r="P54" s="1579"/>
      <c r="Q54" s="1578" t="s">
        <v>931</v>
      </c>
      <c r="R54" s="1580"/>
      <c r="S54" s="1580"/>
      <c r="T54" s="1581"/>
      <c r="U54" s="1488"/>
      <c r="V54" s="1488"/>
      <c r="W54" s="1488"/>
    </row>
    <row r="55" spans="2:23" ht="24">
      <c r="B55" s="1582" t="s">
        <v>981</v>
      </c>
      <c r="C55" s="1582" t="s">
        <v>982</v>
      </c>
      <c r="D55" s="1582" t="s">
        <v>964</v>
      </c>
      <c r="E55" s="2945" t="s">
        <v>966</v>
      </c>
      <c r="F55" s="2946"/>
      <c r="G55" s="1583" t="s">
        <v>983</v>
      </c>
      <c r="H55" s="1582" t="s">
        <v>932</v>
      </c>
      <c r="I55" s="1582" t="s">
        <v>930</v>
      </c>
      <c r="J55" s="1583" t="s">
        <v>984</v>
      </c>
      <c r="K55" s="1583" t="s">
        <v>985</v>
      </c>
      <c r="L55" s="1582" t="s">
        <v>986</v>
      </c>
      <c r="M55" s="1582" t="s">
        <v>987</v>
      </c>
      <c r="N55" s="1584" t="s">
        <v>988</v>
      </c>
      <c r="O55" s="1585" t="s">
        <v>989</v>
      </c>
      <c r="P55" s="1581"/>
      <c r="Q55" s="1585" t="s">
        <v>990</v>
      </c>
      <c r="R55" s="1586"/>
      <c r="S55" s="1586"/>
      <c r="T55" s="1579"/>
      <c r="U55" s="1488"/>
      <c r="V55" s="1488"/>
      <c r="W55" s="1488"/>
    </row>
    <row r="56" spans="2:23">
      <c r="B56" s="1587"/>
      <c r="C56" s="1588"/>
      <c r="D56" s="1589"/>
      <c r="E56" s="2947"/>
      <c r="F56" s="2948"/>
      <c r="G56" s="1590">
        <v>1</v>
      </c>
      <c r="H56" s="1588" t="s">
        <v>991</v>
      </c>
      <c r="I56" s="1591">
        <f>D42*F42+D43*F43+D44*F44+D45*F45+D46*F46-8000000000</f>
        <v>39855238900</v>
      </c>
      <c r="J56" s="1592">
        <f>(I56-20000000000)*6/1000+100000000</f>
        <v>219131433.40000001</v>
      </c>
      <c r="K56" s="1593">
        <f>+J47*(I56*0.7*0.004)/J47</f>
        <v>111594668.92</v>
      </c>
      <c r="L56" s="1592">
        <f>J56-K56</f>
        <v>107536764.48</v>
      </c>
      <c r="M56" s="1592">
        <f>ROUNDDOWN(L56*0.2,-1)</f>
        <v>21507350</v>
      </c>
      <c r="N56" s="1594">
        <f>ROUNDDOWN(L56+M56,-1)</f>
        <v>129044110</v>
      </c>
      <c r="O56" s="1578" t="s">
        <v>992</v>
      </c>
      <c r="P56" s="1579"/>
      <c r="Q56" s="1595" t="s">
        <v>993</v>
      </c>
      <c r="R56" s="1596"/>
      <c r="S56" s="1596"/>
      <c r="T56" s="1597"/>
      <c r="V56" s="1488"/>
      <c r="W56" s="1488"/>
    </row>
    <row r="57" spans="2:23">
      <c r="B57" s="1587"/>
      <c r="C57" s="1598"/>
      <c r="D57" s="1589"/>
      <c r="E57" s="2952"/>
      <c r="F57" s="2953"/>
      <c r="G57" s="1590">
        <v>1</v>
      </c>
      <c r="H57" s="1588" t="s">
        <v>991</v>
      </c>
      <c r="I57" s="1599"/>
      <c r="J57" s="1600"/>
      <c r="K57" s="1600"/>
      <c r="L57" s="1600"/>
      <c r="M57" s="1601"/>
      <c r="N57" s="1602"/>
      <c r="O57" s="1603" t="s">
        <v>994</v>
      </c>
      <c r="P57" s="1604"/>
      <c r="Q57" s="1605" t="s">
        <v>995</v>
      </c>
      <c r="R57" s="1606"/>
      <c r="S57" s="1606"/>
      <c r="T57" s="1607"/>
    </row>
    <row r="58" spans="2:23">
      <c r="M58" s="1491"/>
      <c r="N58" s="1480"/>
      <c r="P58" s="1488"/>
      <c r="Q58" s="1488"/>
      <c r="R58" s="1488"/>
      <c r="S58" s="1488"/>
      <c r="T58" s="1488"/>
      <c r="U58" s="1488"/>
    </row>
    <row r="59" spans="2:23" ht="17.25" customHeight="1">
      <c r="B59" s="1499"/>
      <c r="C59" s="1500"/>
      <c r="D59" s="1608"/>
      <c r="E59" s="1501"/>
      <c r="F59" s="1501"/>
      <c r="G59" s="1501"/>
      <c r="H59" s="1502"/>
      <c r="I59" s="1503"/>
      <c r="J59" s="1504"/>
      <c r="K59" s="1504"/>
      <c r="L59" s="1504"/>
      <c r="M59" s="1504"/>
      <c r="N59" s="1480"/>
      <c r="O59" s="1487" t="s">
        <v>996</v>
      </c>
    </row>
    <row r="60" spans="2:23">
      <c r="M60" s="1491"/>
      <c r="N60" s="1480"/>
      <c r="O60" s="1480" t="s">
        <v>997</v>
      </c>
    </row>
    <row r="61" spans="2:23">
      <c r="B61" s="1508"/>
      <c r="C61" s="1482"/>
      <c r="D61" s="1482"/>
      <c r="E61" s="1482"/>
      <c r="F61" s="1482"/>
      <c r="G61" s="1482"/>
      <c r="H61" s="1482"/>
      <c r="I61" s="1482"/>
      <c r="J61" s="1482"/>
      <c r="K61" s="1482"/>
      <c r="L61" s="1482"/>
      <c r="M61" s="1482"/>
      <c r="N61" s="1480"/>
      <c r="O61" s="1480" t="s">
        <v>998</v>
      </c>
    </row>
    <row r="62" spans="2:23">
      <c r="B62" s="2932"/>
      <c r="C62" s="2932"/>
      <c r="D62" s="2932"/>
      <c r="E62" s="2933"/>
      <c r="F62" s="2934"/>
      <c r="G62" s="2935"/>
      <c r="H62" s="2936"/>
      <c r="I62" s="2937"/>
      <c r="J62" s="2938"/>
      <c r="K62" s="2934"/>
      <c r="L62" s="2935"/>
      <c r="M62" s="2935"/>
      <c r="N62" s="1480"/>
    </row>
    <row r="63" spans="2:23">
      <c r="B63" s="2916"/>
      <c r="C63" s="2916"/>
      <c r="D63" s="2916"/>
      <c r="E63" s="2917"/>
      <c r="F63" s="2918"/>
      <c r="G63" s="2919"/>
      <c r="H63" s="2920"/>
      <c r="I63" s="2921"/>
      <c r="J63" s="2921"/>
      <c r="K63" s="2939"/>
      <c r="L63" s="2939"/>
      <c r="M63" s="2940"/>
      <c r="N63" s="1480"/>
    </row>
    <row r="64" spans="2:23">
      <c r="B64" s="2916"/>
      <c r="C64" s="2916"/>
      <c r="D64" s="2916"/>
      <c r="E64" s="2917"/>
      <c r="F64" s="2918"/>
      <c r="G64" s="2919"/>
      <c r="H64" s="2920"/>
      <c r="I64" s="2921"/>
      <c r="J64" s="2921"/>
      <c r="K64" s="2922"/>
      <c r="L64" s="2923"/>
      <c r="M64" s="2923"/>
      <c r="N64" s="1609"/>
    </row>
    <row r="65" spans="2:23" ht="15.75">
      <c r="B65" s="2924"/>
      <c r="C65" s="2924"/>
      <c r="D65" s="2924"/>
      <c r="E65" s="2925"/>
      <c r="F65" s="2926"/>
      <c r="G65" s="2927"/>
      <c r="H65" s="2928"/>
      <c r="I65" s="2929"/>
      <c r="J65" s="2929"/>
      <c r="K65" s="2930"/>
      <c r="L65" s="2931"/>
      <c r="M65" s="2931"/>
      <c r="N65" s="1609"/>
    </row>
    <row r="66" spans="2:23">
      <c r="N66" s="1609"/>
    </row>
    <row r="67" spans="2:23">
      <c r="N67" s="1609"/>
    </row>
    <row r="71" spans="2:23">
      <c r="V71" s="1609"/>
      <c r="W71" s="1609"/>
    </row>
    <row r="72" spans="2:23">
      <c r="V72" s="1609"/>
      <c r="W72" s="1609"/>
    </row>
    <row r="73" spans="2:23">
      <c r="P73" s="1609"/>
      <c r="Q73" s="1609"/>
      <c r="R73" s="1609"/>
      <c r="S73" s="1609"/>
      <c r="T73" s="1609"/>
      <c r="U73" s="1609"/>
      <c r="V73" s="1609"/>
      <c r="W73" s="1609"/>
    </row>
    <row r="74" spans="2:23">
      <c r="O74" s="1609" t="s">
        <v>999</v>
      </c>
      <c r="P74" s="1609"/>
      <c r="Q74" s="1609"/>
      <c r="R74" s="1609"/>
      <c r="S74" s="1609"/>
      <c r="T74" s="1609"/>
      <c r="U74" s="1609"/>
      <c r="V74" s="1609"/>
      <c r="W74" s="1609"/>
    </row>
    <row r="75" spans="2:23">
      <c r="O75" s="1609" t="s">
        <v>1000</v>
      </c>
      <c r="P75" s="1609"/>
      <c r="Q75" s="1609"/>
      <c r="R75" s="1609"/>
      <c r="S75" s="1609"/>
      <c r="T75" s="1609"/>
      <c r="U75" s="1609"/>
    </row>
    <row r="76" spans="2:23">
      <c r="O76" s="1609" t="s">
        <v>1001</v>
      </c>
      <c r="P76" s="1609"/>
      <c r="Q76" s="1609"/>
      <c r="R76" s="1609"/>
      <c r="S76" s="1609"/>
      <c r="T76" s="1609"/>
      <c r="U76" s="1609"/>
    </row>
    <row r="77" spans="2:23">
      <c r="O77" s="1609" t="s">
        <v>1002</v>
      </c>
    </row>
    <row r="79" spans="2:23">
      <c r="O79" s="1487" t="s">
        <v>1003</v>
      </c>
    </row>
    <row r="80" spans="2:23">
      <c r="O80" s="1480" t="s">
        <v>1004</v>
      </c>
    </row>
    <row r="81" spans="15:15">
      <c r="O81" s="1480" t="s">
        <v>1005</v>
      </c>
    </row>
  </sheetData>
  <mergeCells count="97">
    <mergeCell ref="B11:D11"/>
    <mergeCell ref="E11:G11"/>
    <mergeCell ref="H11:I11"/>
    <mergeCell ref="J11:M11"/>
    <mergeCell ref="J9:M9"/>
    <mergeCell ref="B10:D10"/>
    <mergeCell ref="E10:G10"/>
    <mergeCell ref="H10:I10"/>
    <mergeCell ref="J10:M10"/>
    <mergeCell ref="B12:D12"/>
    <mergeCell ref="E12:G12"/>
    <mergeCell ref="H12:I12"/>
    <mergeCell ref="J12:M12"/>
    <mergeCell ref="B13:D13"/>
    <mergeCell ref="E13:G13"/>
    <mergeCell ref="H13:I13"/>
    <mergeCell ref="J13:M13"/>
    <mergeCell ref="B14:D14"/>
    <mergeCell ref="E14:G14"/>
    <mergeCell ref="H14:I14"/>
    <mergeCell ref="J14:M14"/>
    <mergeCell ref="B15:D15"/>
    <mergeCell ref="E15:G15"/>
    <mergeCell ref="H15:I15"/>
    <mergeCell ref="J15:M15"/>
    <mergeCell ref="O21:P21"/>
    <mergeCell ref="Q21:T21"/>
    <mergeCell ref="B22:E22"/>
    <mergeCell ref="F22:H22"/>
    <mergeCell ref="I22:J22"/>
    <mergeCell ref="K22:M22"/>
    <mergeCell ref="O22:P22"/>
    <mergeCell ref="Q22:T22"/>
    <mergeCell ref="Q24:T24"/>
    <mergeCell ref="B23:E23"/>
    <mergeCell ref="F23:H23"/>
    <mergeCell ref="I23:J23"/>
    <mergeCell ref="K23:M23"/>
    <mergeCell ref="O23:P23"/>
    <mergeCell ref="Q23:T23"/>
    <mergeCell ref="B24:E24"/>
    <mergeCell ref="F24:H24"/>
    <mergeCell ref="I24:J24"/>
    <mergeCell ref="K24:M24"/>
    <mergeCell ref="O24:P24"/>
    <mergeCell ref="K25:M25"/>
    <mergeCell ref="B26:E26"/>
    <mergeCell ref="F26:H26"/>
    <mergeCell ref="I26:J26"/>
    <mergeCell ref="K26:M26"/>
    <mergeCell ref="B25:E25"/>
    <mergeCell ref="F25:H25"/>
    <mergeCell ref="I25:J25"/>
    <mergeCell ref="B30:C30"/>
    <mergeCell ref="D30:F30"/>
    <mergeCell ref="G30:H30"/>
    <mergeCell ref="I30:J30"/>
    <mergeCell ref="K30:M30"/>
    <mergeCell ref="B36:E36"/>
    <mergeCell ref="G36:H36"/>
    <mergeCell ref="I36:J36"/>
    <mergeCell ref="K36:L36"/>
    <mergeCell ref="B31:C31"/>
    <mergeCell ref="D31:F31"/>
    <mergeCell ref="G31:H31"/>
    <mergeCell ref="I31:J31"/>
    <mergeCell ref="G37:H37"/>
    <mergeCell ref="I37:J37"/>
    <mergeCell ref="K37:L37"/>
    <mergeCell ref="E57:F57"/>
    <mergeCell ref="F41:G41"/>
    <mergeCell ref="F42:G42"/>
    <mergeCell ref="F43:G43"/>
    <mergeCell ref="F44:G44"/>
    <mergeCell ref="F45:G45"/>
    <mergeCell ref="F46:G46"/>
    <mergeCell ref="B47:C47"/>
    <mergeCell ref="F47:G47"/>
    <mergeCell ref="M54:N54"/>
    <mergeCell ref="E55:F55"/>
    <mergeCell ref="E56:F56"/>
    <mergeCell ref="B62:E62"/>
    <mergeCell ref="F62:H62"/>
    <mergeCell ref="I62:J62"/>
    <mergeCell ref="K62:M62"/>
    <mergeCell ref="B63:E63"/>
    <mergeCell ref="F63:H63"/>
    <mergeCell ref="I63:J63"/>
    <mergeCell ref="K63:M63"/>
    <mergeCell ref="B64:E64"/>
    <mergeCell ref="F64:H64"/>
    <mergeCell ref="I64:J64"/>
    <mergeCell ref="K64:M64"/>
    <mergeCell ref="B65:E65"/>
    <mergeCell ref="F65:H65"/>
    <mergeCell ref="I65:J65"/>
    <mergeCell ref="K65:M65"/>
  </mergeCells>
  <phoneticPr fontId="2"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32</vt:i4>
      </vt:variant>
      <vt:variant>
        <vt:lpstr>이름 지정된 범위</vt:lpstr>
      </vt:variant>
      <vt:variant>
        <vt:i4>23</vt:i4>
      </vt:variant>
    </vt:vector>
  </HeadingPairs>
  <TitlesOfParts>
    <vt:vector size="55" baseType="lpstr">
      <vt:lpstr>민감도</vt:lpstr>
      <vt:lpstr>신설리츠vs PFV</vt:lpstr>
      <vt:lpstr>A&amp;R</vt:lpstr>
      <vt:lpstr>IM</vt:lpstr>
      <vt:lpstr>TIC</vt:lpstr>
      <vt:lpstr>Index</vt:lpstr>
      <vt:lpstr>IS(FY)</vt:lpstr>
      <vt:lpstr>CF(FY)</vt:lpstr>
      <vt:lpstr>BS(FY)</vt:lpstr>
      <vt:lpstr>NOI(M)</vt:lpstr>
      <vt:lpstr>FS_Detail(M)</vt:lpstr>
      <vt:lpstr>Rent-roll</vt:lpstr>
      <vt:lpstr>BS(M)</vt:lpstr>
      <vt:lpstr>IS(M)</vt:lpstr>
      <vt:lpstr>CF(M)</vt:lpstr>
      <vt:lpstr>CF(Y)</vt:lpstr>
      <vt:lpstr>Sell-down</vt:lpstr>
      <vt:lpstr>DSCR(선,중)</vt:lpstr>
      <vt:lpstr>Report-sj</vt:lpstr>
      <vt:lpstr>거래사례</vt:lpstr>
      <vt:lpstr>임대사례</vt:lpstr>
      <vt:lpstr>간주취득세</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2026-09-16T06:06:37Z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8eXLbswszlGAENgJB3E5j1n5RQ4202402010000000</vt:lpwstr>
  </property>
  <property fmtid="{D5CDD505-2E9C-101B-9397-08002B2CF9AE}" pid="3" name="docPath">
    <vt:lpwstr>QzpcVXNlcnNceW9uZ2h5ZW9uYWhuXERvd25sb2Fkc1wo7L2U656M7L2UKSDsvZTtgazroJnslYjslpFfRmluYW5jaWFsIE1vZGVsaW5nXzI2MDkxNV/snqzrrLTrtoTshJ3rs7Tqs6DshJwo7J246rCAdmVyKS54bHNt</vt:lpwstr>
  </property>
  <property fmtid="{D5CDD505-2E9C-101B-9397-08002B2CF9AE}" pid="4" name="docUid">
    <vt:lpwstr>QwB2ENzFg5AFuFVy1EGLSo_vNZE</vt:lpwstr>
  </property>
  <property fmtid="{D5CDD505-2E9C-101B-9397-08002B2CF9AE}" pid="5" name="parentBranchUid">
    <vt:lpwstr>Hjppe0ocVnAGgayM8tGrFg1p4pQ202402010000000</vt:lpwstr>
  </property>
</Properties>
</file>